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ЭтаКнига" defaultThemeVersion="164011"/>
  <bookViews>
    <workbookView xWindow="0" yWindow="0" windowWidth="19200" windowHeight="6470"/>
  </bookViews>
  <sheets>
    <sheet name="Перечень" sheetId="7" r:id="rId1"/>
  </sheets>
  <externalReferences>
    <externalReference r:id="rId2"/>
  </externalReferences>
  <definedNames>
    <definedName name="_xlnm._FilterDatabase" localSheetId="0" hidden="1">Перечень!$A$4:$V$2055</definedName>
    <definedName name="PATHPOS" localSheetId="0">Перечень!#REF!</definedName>
    <definedName name="ДО">[1]Данные!$B$1</definedName>
    <definedName name="долл">[1]Данные!$B$3</definedName>
    <definedName name="евро">[1]Данные!$B$4</definedName>
    <definedName name="ФИ_макс">[1]Данные!$B$5</definedName>
    <definedName name="ЭУ">[1]Данные!$B$7</definedName>
  </definedNames>
  <calcPr calcId="162913" fullPrecision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1987" i="7" l="1"/>
  <c r="P1987" i="7"/>
  <c r="P1919" i="7"/>
  <c r="P1906" i="7"/>
  <c r="P990" i="7"/>
  <c r="V925" i="7" l="1"/>
  <c r="P925" i="7"/>
  <c r="V924" i="7"/>
  <c r="P924" i="7"/>
  <c r="V923" i="7"/>
  <c r="P923" i="7"/>
  <c r="F925" i="7"/>
  <c r="O925" i="7"/>
  <c r="F924" i="7"/>
  <c r="O924" i="7"/>
  <c r="F923" i="7"/>
  <c r="O923" i="7"/>
  <c r="W6" i="7" l="1"/>
  <c r="X6" i="7" s="1"/>
  <c r="W7" i="7"/>
  <c r="X7" i="7" s="1"/>
  <c r="W8" i="7"/>
  <c r="X8" i="7" s="1"/>
  <c r="W9" i="7"/>
  <c r="X9" i="7" s="1"/>
  <c r="W10" i="7"/>
  <c r="X10" i="7" s="1"/>
  <c r="W11" i="7"/>
  <c r="X11" i="7" s="1"/>
  <c r="W12" i="7"/>
  <c r="X12" i="7" s="1"/>
  <c r="W13" i="7"/>
  <c r="X13" i="7" s="1"/>
  <c r="W14" i="7"/>
  <c r="X14" i="7" s="1"/>
  <c r="W15" i="7"/>
  <c r="X15" i="7" s="1"/>
  <c r="W16" i="7"/>
  <c r="X16" i="7" s="1"/>
  <c r="W17" i="7"/>
  <c r="X17" i="7" s="1"/>
  <c r="W18" i="7"/>
  <c r="X18" i="7" s="1"/>
  <c r="W19" i="7"/>
  <c r="X19" i="7" s="1"/>
  <c r="W20" i="7"/>
  <c r="X20" i="7" s="1"/>
  <c r="W21" i="7"/>
  <c r="X21" i="7" s="1"/>
  <c r="W22" i="7"/>
  <c r="X22" i="7" s="1"/>
  <c r="W23" i="7"/>
  <c r="X23" i="7" s="1"/>
  <c r="W24" i="7"/>
  <c r="X24" i="7" s="1"/>
  <c r="W25" i="7"/>
  <c r="X25" i="7" s="1"/>
  <c r="W26" i="7"/>
  <c r="X26" i="7" s="1"/>
  <c r="W27" i="7"/>
  <c r="X27" i="7" s="1"/>
  <c r="W28" i="7"/>
  <c r="X28" i="7" s="1"/>
  <c r="W29" i="7"/>
  <c r="X29" i="7" s="1"/>
  <c r="W30" i="7"/>
  <c r="X30" i="7" s="1"/>
  <c r="W31" i="7"/>
  <c r="X31" i="7" s="1"/>
  <c r="W32" i="7"/>
  <c r="X32" i="7" s="1"/>
  <c r="W33" i="7"/>
  <c r="X33" i="7" s="1"/>
  <c r="W34" i="7"/>
  <c r="X34" i="7" s="1"/>
  <c r="W35" i="7"/>
  <c r="X35" i="7" s="1"/>
  <c r="W36" i="7"/>
  <c r="X36" i="7" s="1"/>
  <c r="W37" i="7"/>
  <c r="X37" i="7" s="1"/>
  <c r="W38" i="7"/>
  <c r="X38" i="7" s="1"/>
  <c r="W39" i="7"/>
  <c r="X39" i="7" s="1"/>
  <c r="W40" i="7"/>
  <c r="X40" i="7" s="1"/>
  <c r="W41" i="7"/>
  <c r="X41" i="7" s="1"/>
  <c r="W42" i="7"/>
  <c r="X42" i="7" s="1"/>
  <c r="W43" i="7"/>
  <c r="X43" i="7" s="1"/>
  <c r="W44" i="7"/>
  <c r="X44" i="7" s="1"/>
  <c r="W45" i="7"/>
  <c r="X45" i="7" s="1"/>
  <c r="W46" i="7"/>
  <c r="X46" i="7" s="1"/>
  <c r="W47" i="7"/>
  <c r="X47" i="7" s="1"/>
  <c r="W48" i="7"/>
  <c r="X48" i="7" s="1"/>
  <c r="W49" i="7"/>
  <c r="X49" i="7" s="1"/>
  <c r="W50" i="7"/>
  <c r="X50" i="7" s="1"/>
  <c r="W51" i="7"/>
  <c r="X51" i="7" s="1"/>
  <c r="W52" i="7"/>
  <c r="X52" i="7" s="1"/>
  <c r="W53" i="7"/>
  <c r="X53" i="7" s="1"/>
  <c r="W54" i="7"/>
  <c r="X54" i="7" s="1"/>
  <c r="W56" i="7"/>
  <c r="X56" i="7" s="1"/>
  <c r="W57" i="7"/>
  <c r="X57" i="7" s="1"/>
  <c r="W58" i="7"/>
  <c r="X58" i="7" s="1"/>
  <c r="W59" i="7"/>
  <c r="X59" i="7" s="1"/>
  <c r="W60" i="7"/>
  <c r="X60" i="7" s="1"/>
  <c r="W62" i="7"/>
  <c r="X62" i="7" s="1"/>
  <c r="W63" i="7"/>
  <c r="X63" i="7" s="1"/>
  <c r="W64" i="7"/>
  <c r="X64" i="7" s="1"/>
  <c r="W66" i="7"/>
  <c r="X66" i="7" s="1"/>
  <c r="W67" i="7"/>
  <c r="X67" i="7" s="1"/>
  <c r="W68" i="7"/>
  <c r="X68" i="7" s="1"/>
  <c r="W69" i="7"/>
  <c r="X69" i="7" s="1"/>
  <c r="W70" i="7"/>
  <c r="X70" i="7" s="1"/>
  <c r="W71" i="7"/>
  <c r="X71" i="7" s="1"/>
  <c r="W72" i="7"/>
  <c r="X72" i="7" s="1"/>
  <c r="W73" i="7"/>
  <c r="X73" i="7" s="1"/>
  <c r="W74" i="7"/>
  <c r="X74" i="7" s="1"/>
  <c r="W75" i="7"/>
  <c r="X75" i="7" s="1"/>
  <c r="W76" i="7"/>
  <c r="X76" i="7" s="1"/>
  <c r="W77" i="7"/>
  <c r="X77" i="7" s="1"/>
  <c r="W78" i="7"/>
  <c r="X78" i="7" s="1"/>
  <c r="W79" i="7"/>
  <c r="X79" i="7" s="1"/>
  <c r="W80" i="7"/>
  <c r="X80" i="7" s="1"/>
  <c r="W81" i="7"/>
  <c r="X81" i="7" s="1"/>
  <c r="W82" i="7"/>
  <c r="X82" i="7" s="1"/>
  <c r="W83" i="7"/>
  <c r="X83" i="7" s="1"/>
  <c r="W84" i="7"/>
  <c r="X84" i="7" s="1"/>
  <c r="W86" i="7"/>
  <c r="X86" i="7" s="1"/>
  <c r="W87" i="7"/>
  <c r="X87" i="7" s="1"/>
  <c r="W88" i="7"/>
  <c r="X88" i="7" s="1"/>
  <c r="W89" i="7"/>
  <c r="X89" i="7" s="1"/>
  <c r="W90" i="7"/>
  <c r="X90" i="7" s="1"/>
  <c r="W91" i="7"/>
  <c r="X91" i="7" s="1"/>
  <c r="W92" i="7"/>
  <c r="X92" i="7" s="1"/>
  <c r="W93" i="7"/>
  <c r="X93" i="7" s="1"/>
  <c r="W94" i="7"/>
  <c r="X94" i="7" s="1"/>
  <c r="W95" i="7"/>
  <c r="X95" i="7" s="1"/>
  <c r="W96" i="7"/>
  <c r="X96" i="7" s="1"/>
  <c r="W97" i="7"/>
  <c r="X97" i="7" s="1"/>
  <c r="W98" i="7"/>
  <c r="X98" i="7" s="1"/>
  <c r="W99" i="7"/>
  <c r="X99" i="7" s="1"/>
  <c r="W100" i="7"/>
  <c r="X100" i="7" s="1"/>
  <c r="W101" i="7"/>
  <c r="X101" i="7" s="1"/>
  <c r="W102" i="7"/>
  <c r="X102" i="7" s="1"/>
  <c r="W103" i="7"/>
  <c r="X103" i="7" s="1"/>
  <c r="W104" i="7"/>
  <c r="X104" i="7" s="1"/>
  <c r="W105" i="7"/>
  <c r="X105" i="7" s="1"/>
  <c r="W106" i="7"/>
  <c r="X106" i="7" s="1"/>
  <c r="W107" i="7"/>
  <c r="X107" i="7" s="1"/>
  <c r="W108" i="7"/>
  <c r="X108" i="7" s="1"/>
  <c r="W109" i="7"/>
  <c r="X109" i="7" s="1"/>
  <c r="W111" i="7"/>
  <c r="X111" i="7" s="1"/>
  <c r="W112" i="7"/>
  <c r="X112" i="7" s="1"/>
  <c r="W113" i="7"/>
  <c r="X113" i="7" s="1"/>
  <c r="W114" i="7"/>
  <c r="X114" i="7" s="1"/>
  <c r="W115" i="7"/>
  <c r="X115" i="7" s="1"/>
  <c r="W116" i="7"/>
  <c r="X116" i="7" s="1"/>
  <c r="W118" i="7"/>
  <c r="X118" i="7" s="1"/>
  <c r="W119" i="7"/>
  <c r="X119" i="7" s="1"/>
  <c r="W120" i="7"/>
  <c r="X120" i="7" s="1"/>
  <c r="W122" i="7"/>
  <c r="X122" i="7" s="1"/>
  <c r="W124" i="7"/>
  <c r="X124" i="7" s="1"/>
  <c r="W125" i="7"/>
  <c r="X125" i="7" s="1"/>
  <c r="W126" i="7"/>
  <c r="X126" i="7" s="1"/>
  <c r="W127" i="7"/>
  <c r="X127" i="7" s="1"/>
  <c r="W128" i="7"/>
  <c r="X128" i="7" s="1"/>
  <c r="W129" i="7"/>
  <c r="X129" i="7" s="1"/>
  <c r="W130" i="7"/>
  <c r="X130" i="7" s="1"/>
  <c r="W131" i="7"/>
  <c r="X131" i="7" s="1"/>
  <c r="W132" i="7"/>
  <c r="X132" i="7" s="1"/>
  <c r="W134" i="7"/>
  <c r="X134" i="7" s="1"/>
  <c r="W135" i="7"/>
  <c r="X135" i="7" s="1"/>
  <c r="W137" i="7"/>
  <c r="X137" i="7" s="1"/>
  <c r="W138" i="7"/>
  <c r="X138" i="7" s="1"/>
  <c r="W139" i="7"/>
  <c r="X139" i="7" s="1"/>
  <c r="W140" i="7"/>
  <c r="X140" i="7" s="1"/>
  <c r="W141" i="7"/>
  <c r="X141" i="7" s="1"/>
  <c r="W142" i="7"/>
  <c r="X142" i="7" s="1"/>
  <c r="W143" i="7"/>
  <c r="X143" i="7" s="1"/>
  <c r="W144" i="7"/>
  <c r="X144" i="7" s="1"/>
  <c r="W145" i="7"/>
  <c r="X145" i="7" s="1"/>
  <c r="W147" i="7"/>
  <c r="X147" i="7" s="1"/>
  <c r="W148" i="7"/>
  <c r="X148" i="7" s="1"/>
  <c r="W149" i="7"/>
  <c r="X149" i="7" s="1"/>
  <c r="W150" i="7"/>
  <c r="X150" i="7" s="1"/>
  <c r="W151" i="7"/>
  <c r="X151" i="7" s="1"/>
  <c r="W152" i="7"/>
  <c r="X152" i="7" s="1"/>
  <c r="W153" i="7"/>
  <c r="X153" i="7" s="1"/>
  <c r="W154" i="7"/>
  <c r="X154" i="7" s="1"/>
  <c r="W155" i="7"/>
  <c r="X155" i="7" s="1"/>
  <c r="W156" i="7"/>
  <c r="X156" i="7" s="1"/>
  <c r="W157" i="7"/>
  <c r="X157" i="7" s="1"/>
  <c r="W158" i="7"/>
  <c r="X158" i="7" s="1"/>
  <c r="W159" i="7"/>
  <c r="X159" i="7" s="1"/>
  <c r="W160" i="7"/>
  <c r="X160" i="7" s="1"/>
  <c r="W161" i="7"/>
  <c r="X161" i="7" s="1"/>
  <c r="W162" i="7"/>
  <c r="X162" i="7" s="1"/>
  <c r="W163" i="7"/>
  <c r="X163" i="7" s="1"/>
  <c r="W165" i="7"/>
  <c r="X165" i="7" s="1"/>
  <c r="W166" i="7"/>
  <c r="X166" i="7" s="1"/>
  <c r="W167" i="7"/>
  <c r="X167" i="7" s="1"/>
  <c r="W169" i="7"/>
  <c r="X169" i="7" s="1"/>
  <c r="W170" i="7"/>
  <c r="X170" i="7" s="1"/>
  <c r="W172" i="7"/>
  <c r="X172" i="7" s="1"/>
  <c r="W173" i="7"/>
  <c r="X173" i="7" s="1"/>
  <c r="W174" i="7"/>
  <c r="X174" i="7" s="1"/>
  <c r="W175" i="7"/>
  <c r="X175" i="7" s="1"/>
  <c r="W176" i="7"/>
  <c r="X176" i="7" s="1"/>
  <c r="W177" i="7"/>
  <c r="X177" i="7" s="1"/>
  <c r="W178" i="7"/>
  <c r="X178" i="7" s="1"/>
  <c r="W179" i="7"/>
  <c r="X179" i="7" s="1"/>
  <c r="W180" i="7"/>
  <c r="X180" i="7" s="1"/>
  <c r="W181" i="7"/>
  <c r="X181" i="7" s="1"/>
  <c r="W182" i="7"/>
  <c r="X182" i="7" s="1"/>
  <c r="W183" i="7"/>
  <c r="X183" i="7" s="1"/>
  <c r="W184" i="7"/>
  <c r="X184" i="7" s="1"/>
  <c r="W185" i="7"/>
  <c r="X185" i="7" s="1"/>
  <c r="W186" i="7"/>
  <c r="X186" i="7" s="1"/>
  <c r="W187" i="7"/>
  <c r="X187" i="7" s="1"/>
  <c r="W188" i="7"/>
  <c r="X188" i="7" s="1"/>
  <c r="W189" i="7"/>
  <c r="X189" i="7" s="1"/>
  <c r="W190" i="7"/>
  <c r="X190" i="7" s="1"/>
  <c r="W191" i="7"/>
  <c r="X191" i="7" s="1"/>
  <c r="W192" i="7"/>
  <c r="X192" i="7" s="1"/>
  <c r="W193" i="7"/>
  <c r="X193" i="7" s="1"/>
  <c r="W194" i="7"/>
  <c r="X194" i="7" s="1"/>
  <c r="W195" i="7"/>
  <c r="X195" i="7" s="1"/>
  <c r="W196" i="7"/>
  <c r="X196" i="7" s="1"/>
  <c r="W197" i="7"/>
  <c r="X197" i="7" s="1"/>
  <c r="W198" i="7"/>
  <c r="X198" i="7" s="1"/>
  <c r="W199" i="7"/>
  <c r="X199" i="7" s="1"/>
  <c r="W200" i="7"/>
  <c r="X200" i="7" s="1"/>
  <c r="W201" i="7"/>
  <c r="X201" i="7" s="1"/>
  <c r="W202" i="7"/>
  <c r="X202" i="7" s="1"/>
  <c r="W203" i="7"/>
  <c r="X203" i="7" s="1"/>
  <c r="W204" i="7"/>
  <c r="X204" i="7" s="1"/>
  <c r="W205" i="7"/>
  <c r="X205" i="7" s="1"/>
  <c r="W206" i="7"/>
  <c r="X206" i="7" s="1"/>
  <c r="W207" i="7"/>
  <c r="X207" i="7" s="1"/>
  <c r="W208" i="7"/>
  <c r="X208" i="7" s="1"/>
  <c r="W209" i="7"/>
  <c r="X209" i="7" s="1"/>
  <c r="W210" i="7"/>
  <c r="X210" i="7" s="1"/>
  <c r="W211" i="7"/>
  <c r="X211" i="7" s="1"/>
  <c r="W212" i="7"/>
  <c r="X212" i="7" s="1"/>
  <c r="W213" i="7"/>
  <c r="X213" i="7" s="1"/>
  <c r="W214" i="7"/>
  <c r="X214" i="7" s="1"/>
  <c r="W215" i="7"/>
  <c r="X215" i="7" s="1"/>
  <c r="W216" i="7"/>
  <c r="X216" i="7" s="1"/>
  <c r="W217" i="7"/>
  <c r="X217" i="7" s="1"/>
  <c r="W218" i="7"/>
  <c r="X218" i="7" s="1"/>
  <c r="W219" i="7"/>
  <c r="X219" i="7" s="1"/>
  <c r="W220" i="7"/>
  <c r="X220" i="7" s="1"/>
  <c r="W221" i="7"/>
  <c r="X221" i="7" s="1"/>
  <c r="W222" i="7"/>
  <c r="X222" i="7" s="1"/>
  <c r="W223" i="7"/>
  <c r="X223" i="7" s="1"/>
  <c r="W224" i="7"/>
  <c r="X224" i="7" s="1"/>
  <c r="W225" i="7"/>
  <c r="X225" i="7" s="1"/>
  <c r="W226" i="7"/>
  <c r="X226" i="7" s="1"/>
  <c r="W227" i="7"/>
  <c r="X227" i="7" s="1"/>
  <c r="W228" i="7"/>
  <c r="X228" i="7" s="1"/>
  <c r="W229" i="7"/>
  <c r="X229" i="7" s="1"/>
  <c r="W230" i="7"/>
  <c r="X230" i="7" s="1"/>
  <c r="W231" i="7"/>
  <c r="X231" i="7" s="1"/>
  <c r="W232" i="7"/>
  <c r="X232" i="7" s="1"/>
  <c r="W233" i="7"/>
  <c r="X233" i="7" s="1"/>
  <c r="W234" i="7"/>
  <c r="X234" i="7" s="1"/>
  <c r="W235" i="7"/>
  <c r="X235" i="7" s="1"/>
  <c r="W236" i="7"/>
  <c r="X236" i="7" s="1"/>
  <c r="W237" i="7"/>
  <c r="X237" i="7" s="1"/>
  <c r="W238" i="7"/>
  <c r="X238" i="7" s="1"/>
  <c r="W239" i="7"/>
  <c r="X239" i="7" s="1"/>
  <c r="W240" i="7"/>
  <c r="X240" i="7" s="1"/>
  <c r="W241" i="7"/>
  <c r="X241" i="7" s="1"/>
  <c r="W242" i="7"/>
  <c r="X242" i="7" s="1"/>
  <c r="W243" i="7"/>
  <c r="X243" i="7" s="1"/>
  <c r="W244" i="7"/>
  <c r="X244" i="7" s="1"/>
  <c r="W245" i="7"/>
  <c r="X245" i="7" s="1"/>
  <c r="W246" i="7"/>
  <c r="X246" i="7" s="1"/>
  <c r="W247" i="7"/>
  <c r="X247" i="7" s="1"/>
  <c r="W248" i="7"/>
  <c r="X248" i="7" s="1"/>
  <c r="W249" i="7"/>
  <c r="X249" i="7" s="1"/>
  <c r="W250" i="7"/>
  <c r="X250" i="7" s="1"/>
  <c r="W251" i="7"/>
  <c r="X251" i="7" s="1"/>
  <c r="W252" i="7"/>
  <c r="X252" i="7" s="1"/>
  <c r="W253" i="7"/>
  <c r="X253" i="7" s="1"/>
  <c r="W254" i="7"/>
  <c r="X254" i="7" s="1"/>
  <c r="W255" i="7"/>
  <c r="X255" i="7" s="1"/>
  <c r="W256" i="7"/>
  <c r="X256" i="7" s="1"/>
  <c r="W257" i="7"/>
  <c r="X257" i="7" s="1"/>
  <c r="W258" i="7"/>
  <c r="X258" i="7" s="1"/>
  <c r="W259" i="7"/>
  <c r="X259" i="7" s="1"/>
  <c r="W260" i="7"/>
  <c r="X260" i="7" s="1"/>
  <c r="W261" i="7"/>
  <c r="X261" i="7" s="1"/>
  <c r="W262" i="7"/>
  <c r="X262" i="7" s="1"/>
  <c r="W263" i="7"/>
  <c r="X263" i="7" s="1"/>
  <c r="W264" i="7"/>
  <c r="X264" i="7" s="1"/>
  <c r="W265" i="7"/>
  <c r="X265" i="7" s="1"/>
  <c r="W266" i="7"/>
  <c r="X266" i="7" s="1"/>
  <c r="W268" i="7"/>
  <c r="X268" i="7" s="1"/>
  <c r="W269" i="7"/>
  <c r="X269" i="7" s="1"/>
  <c r="W270" i="7"/>
  <c r="X270" i="7" s="1"/>
  <c r="W271" i="7"/>
  <c r="X271" i="7" s="1"/>
  <c r="W272" i="7"/>
  <c r="X272" i="7" s="1"/>
  <c r="W273" i="7"/>
  <c r="X273" i="7" s="1"/>
  <c r="W274" i="7"/>
  <c r="X274" i="7" s="1"/>
  <c r="W275" i="7"/>
  <c r="X275" i="7" s="1"/>
  <c r="W276" i="7"/>
  <c r="X276" i="7" s="1"/>
  <c r="W277" i="7"/>
  <c r="X277" i="7" s="1"/>
  <c r="W278" i="7"/>
  <c r="X278" i="7" s="1"/>
  <c r="W279" i="7"/>
  <c r="X279" i="7" s="1"/>
  <c r="W280" i="7"/>
  <c r="X280" i="7" s="1"/>
  <c r="W281" i="7"/>
  <c r="X281" i="7" s="1"/>
  <c r="W282" i="7"/>
  <c r="X282" i="7" s="1"/>
  <c r="W283" i="7"/>
  <c r="X283" i="7" s="1"/>
  <c r="W284" i="7"/>
  <c r="X284" i="7" s="1"/>
  <c r="W285" i="7"/>
  <c r="X285" i="7" s="1"/>
  <c r="W286" i="7"/>
  <c r="X286" i="7" s="1"/>
  <c r="W287" i="7"/>
  <c r="X287" i="7" s="1"/>
  <c r="W288" i="7"/>
  <c r="X288" i="7" s="1"/>
  <c r="W289" i="7"/>
  <c r="X289" i="7" s="1"/>
  <c r="W290" i="7"/>
  <c r="X290" i="7" s="1"/>
  <c r="W291" i="7"/>
  <c r="X291" i="7" s="1"/>
  <c r="W292" i="7"/>
  <c r="X292" i="7" s="1"/>
  <c r="W293" i="7"/>
  <c r="X293" i="7" s="1"/>
  <c r="W294" i="7"/>
  <c r="X294" i="7" s="1"/>
  <c r="W295" i="7"/>
  <c r="X295" i="7" s="1"/>
  <c r="W296" i="7"/>
  <c r="X296" i="7" s="1"/>
  <c r="W297" i="7"/>
  <c r="X297" i="7" s="1"/>
  <c r="W298" i="7"/>
  <c r="X298" i="7" s="1"/>
  <c r="W299" i="7"/>
  <c r="X299" i="7" s="1"/>
  <c r="W300" i="7"/>
  <c r="X300" i="7" s="1"/>
  <c r="W301" i="7"/>
  <c r="X301" i="7" s="1"/>
  <c r="W302" i="7"/>
  <c r="X302" i="7" s="1"/>
  <c r="W303" i="7"/>
  <c r="X303" i="7" s="1"/>
  <c r="W304" i="7"/>
  <c r="X304" i="7" s="1"/>
  <c r="W305" i="7"/>
  <c r="X305" i="7" s="1"/>
  <c r="W306" i="7"/>
  <c r="X306" i="7" s="1"/>
  <c r="W307" i="7"/>
  <c r="X307" i="7" s="1"/>
  <c r="W308" i="7"/>
  <c r="X308" i="7" s="1"/>
  <c r="W309" i="7"/>
  <c r="X309" i="7" s="1"/>
  <c r="W310" i="7"/>
  <c r="X310" i="7" s="1"/>
  <c r="W311" i="7"/>
  <c r="X311" i="7" s="1"/>
  <c r="W312" i="7"/>
  <c r="X312" i="7" s="1"/>
  <c r="W313" i="7"/>
  <c r="X313" i="7" s="1"/>
  <c r="W314" i="7"/>
  <c r="X314" i="7" s="1"/>
  <c r="W315" i="7"/>
  <c r="X315" i="7" s="1"/>
  <c r="W317" i="7"/>
  <c r="X317" i="7" s="1"/>
  <c r="W318" i="7"/>
  <c r="X318" i="7" s="1"/>
  <c r="W319" i="7"/>
  <c r="X319" i="7" s="1"/>
  <c r="W321" i="7"/>
  <c r="X321" i="7" s="1"/>
  <c r="W322" i="7"/>
  <c r="X322" i="7" s="1"/>
  <c r="W323" i="7"/>
  <c r="X323" i="7" s="1"/>
  <c r="W324" i="7"/>
  <c r="X324" i="7" s="1"/>
  <c r="W325" i="7"/>
  <c r="X325" i="7" s="1"/>
  <c r="W326" i="7"/>
  <c r="X326" i="7" s="1"/>
  <c r="W328" i="7"/>
  <c r="X328" i="7" s="1"/>
  <c r="W329" i="7"/>
  <c r="X329" i="7" s="1"/>
  <c r="W331" i="7"/>
  <c r="X331" i="7" s="1"/>
  <c r="W332" i="7"/>
  <c r="X332" i="7" s="1"/>
  <c r="W333" i="7"/>
  <c r="X333" i="7" s="1"/>
  <c r="W334" i="7"/>
  <c r="X334" i="7" s="1"/>
  <c r="W335" i="7"/>
  <c r="X335" i="7" s="1"/>
  <c r="W337" i="7"/>
  <c r="X337" i="7" s="1"/>
  <c r="W338" i="7"/>
  <c r="X338" i="7" s="1"/>
  <c r="W339" i="7"/>
  <c r="X339" i="7" s="1"/>
  <c r="W340" i="7"/>
  <c r="X340" i="7" s="1"/>
  <c r="W341" i="7"/>
  <c r="X341" i="7" s="1"/>
  <c r="W343" i="7"/>
  <c r="X343" i="7" s="1"/>
  <c r="W344" i="7"/>
  <c r="X344" i="7" s="1"/>
  <c r="W345" i="7"/>
  <c r="X345" i="7" s="1"/>
  <c r="W346" i="7"/>
  <c r="X346" i="7" s="1"/>
  <c r="W347" i="7"/>
  <c r="X347" i="7" s="1"/>
  <c r="W348" i="7"/>
  <c r="X348" i="7" s="1"/>
  <c r="W349" i="7"/>
  <c r="X349" i="7" s="1"/>
  <c r="W350" i="7"/>
  <c r="X350" i="7" s="1"/>
  <c r="W351" i="7"/>
  <c r="X351" i="7" s="1"/>
  <c r="W352" i="7"/>
  <c r="X352" i="7" s="1"/>
  <c r="W353" i="7"/>
  <c r="X353" i="7" s="1"/>
  <c r="W354" i="7"/>
  <c r="X354" i="7" s="1"/>
  <c r="W355" i="7"/>
  <c r="X355" i="7" s="1"/>
  <c r="W356" i="7"/>
  <c r="X356" i="7" s="1"/>
  <c r="W357" i="7"/>
  <c r="X357" i="7" s="1"/>
  <c r="W358" i="7"/>
  <c r="X358" i="7" s="1"/>
  <c r="W359" i="7"/>
  <c r="X359" i="7" s="1"/>
  <c r="W360" i="7"/>
  <c r="X360" i="7" s="1"/>
  <c r="W361" i="7"/>
  <c r="X361" i="7" s="1"/>
  <c r="W362" i="7"/>
  <c r="X362" i="7" s="1"/>
  <c r="W363" i="7"/>
  <c r="X363" i="7" s="1"/>
  <c r="W364" i="7"/>
  <c r="X364" i="7" s="1"/>
  <c r="W365" i="7"/>
  <c r="X365" i="7" s="1"/>
  <c r="W367" i="7"/>
  <c r="X367" i="7" s="1"/>
  <c r="W368" i="7"/>
  <c r="X368" i="7" s="1"/>
  <c r="W369" i="7"/>
  <c r="X369" i="7" s="1"/>
  <c r="W370" i="7"/>
  <c r="X370" i="7" s="1"/>
  <c r="W371" i="7"/>
  <c r="X371" i="7" s="1"/>
  <c r="W372" i="7"/>
  <c r="X372" i="7" s="1"/>
  <c r="W373" i="7"/>
  <c r="X373" i="7" s="1"/>
  <c r="W374" i="7"/>
  <c r="X374" i="7" s="1"/>
  <c r="W375" i="7"/>
  <c r="X375" i="7" s="1"/>
  <c r="W376" i="7"/>
  <c r="X376" i="7" s="1"/>
  <c r="W377" i="7"/>
  <c r="X377" i="7" s="1"/>
  <c r="W378" i="7"/>
  <c r="X378" i="7" s="1"/>
  <c r="W379" i="7"/>
  <c r="X379" i="7" s="1"/>
  <c r="W380" i="7"/>
  <c r="X380" i="7" s="1"/>
  <c r="W381" i="7"/>
  <c r="X381" i="7" s="1"/>
  <c r="W382" i="7"/>
  <c r="X382" i="7" s="1"/>
  <c r="W383" i="7"/>
  <c r="X383" i="7" s="1"/>
  <c r="W384" i="7"/>
  <c r="X384" i="7" s="1"/>
  <c r="W385" i="7"/>
  <c r="X385" i="7" s="1"/>
  <c r="W386" i="7"/>
  <c r="X386" i="7" s="1"/>
  <c r="W387" i="7"/>
  <c r="X387" i="7" s="1"/>
  <c r="W388" i="7"/>
  <c r="X388" i="7" s="1"/>
  <c r="W389" i="7"/>
  <c r="X389" i="7" s="1"/>
  <c r="W390" i="7"/>
  <c r="X390" i="7" s="1"/>
  <c r="W391" i="7"/>
  <c r="X391" i="7" s="1"/>
  <c r="W392" i="7"/>
  <c r="X392" i="7" s="1"/>
  <c r="W393" i="7"/>
  <c r="X393" i="7" s="1"/>
  <c r="W394" i="7"/>
  <c r="X394" i="7" s="1"/>
  <c r="W395" i="7"/>
  <c r="X395" i="7" s="1"/>
  <c r="W396" i="7"/>
  <c r="X396" i="7" s="1"/>
  <c r="W397" i="7"/>
  <c r="X397" i="7" s="1"/>
  <c r="W398" i="7"/>
  <c r="X398" i="7" s="1"/>
  <c r="W399" i="7"/>
  <c r="X399" i="7" s="1"/>
  <c r="W400" i="7"/>
  <c r="X400" i="7" s="1"/>
  <c r="W401" i="7"/>
  <c r="X401" i="7" s="1"/>
  <c r="W402" i="7"/>
  <c r="X402" i="7" s="1"/>
  <c r="W403" i="7"/>
  <c r="X403" i="7" s="1"/>
  <c r="W404" i="7"/>
  <c r="X404" i="7" s="1"/>
  <c r="W405" i="7"/>
  <c r="X405" i="7" s="1"/>
  <c r="W406" i="7"/>
  <c r="X406" i="7" s="1"/>
  <c r="W407" i="7"/>
  <c r="X407" i="7" s="1"/>
  <c r="W408" i="7"/>
  <c r="X408" i="7" s="1"/>
  <c r="W409" i="7"/>
  <c r="X409" i="7" s="1"/>
  <c r="W410" i="7"/>
  <c r="X410" i="7" s="1"/>
  <c r="W411" i="7"/>
  <c r="X411" i="7" s="1"/>
  <c r="W412" i="7"/>
  <c r="X412" i="7" s="1"/>
  <c r="W413" i="7"/>
  <c r="X413" i="7" s="1"/>
  <c r="W414" i="7"/>
  <c r="X414" i="7" s="1"/>
  <c r="W415" i="7"/>
  <c r="X415" i="7" s="1"/>
  <c r="W416" i="7"/>
  <c r="X416" i="7" s="1"/>
  <c r="W417" i="7"/>
  <c r="X417" i="7" s="1"/>
  <c r="W418" i="7"/>
  <c r="X418" i="7" s="1"/>
  <c r="W419" i="7"/>
  <c r="X419" i="7" s="1"/>
  <c r="W420" i="7"/>
  <c r="X420" i="7" s="1"/>
  <c r="W421" i="7"/>
  <c r="X421" i="7" s="1"/>
  <c r="W422" i="7"/>
  <c r="X422" i="7" s="1"/>
  <c r="W423" i="7"/>
  <c r="X423" i="7" s="1"/>
  <c r="W424" i="7"/>
  <c r="X424" i="7" s="1"/>
  <c r="W425" i="7"/>
  <c r="X425" i="7" s="1"/>
  <c r="W426" i="7"/>
  <c r="X426" i="7" s="1"/>
  <c r="W427" i="7"/>
  <c r="X427" i="7" s="1"/>
  <c r="W428" i="7"/>
  <c r="X428" i="7" s="1"/>
  <c r="W429" i="7"/>
  <c r="X429" i="7" s="1"/>
  <c r="W430" i="7"/>
  <c r="X430" i="7" s="1"/>
  <c r="W431" i="7"/>
  <c r="X431" i="7" s="1"/>
  <c r="W432" i="7"/>
  <c r="X432" i="7" s="1"/>
  <c r="W433" i="7"/>
  <c r="X433" i="7" s="1"/>
  <c r="W434" i="7"/>
  <c r="X434" i="7" s="1"/>
  <c r="W435" i="7"/>
  <c r="X435" i="7" s="1"/>
  <c r="W436" i="7"/>
  <c r="X436" i="7" s="1"/>
  <c r="W437" i="7"/>
  <c r="X437" i="7" s="1"/>
  <c r="W438" i="7"/>
  <c r="X438" i="7" s="1"/>
  <c r="W439" i="7"/>
  <c r="X439" i="7" s="1"/>
  <c r="W440" i="7"/>
  <c r="X440" i="7" s="1"/>
  <c r="W441" i="7"/>
  <c r="X441" i="7" s="1"/>
  <c r="W442" i="7"/>
  <c r="X442" i="7" s="1"/>
  <c r="W443" i="7"/>
  <c r="X443" i="7" s="1"/>
  <c r="W444" i="7"/>
  <c r="X444" i="7" s="1"/>
  <c r="W445" i="7"/>
  <c r="X445" i="7" s="1"/>
  <c r="W446" i="7"/>
  <c r="X446" i="7" s="1"/>
  <c r="W447" i="7"/>
  <c r="X447" i="7" s="1"/>
  <c r="W448" i="7"/>
  <c r="X448" i="7" s="1"/>
  <c r="W449" i="7"/>
  <c r="X449" i="7" s="1"/>
  <c r="W450" i="7"/>
  <c r="X450" i="7" s="1"/>
  <c r="W451" i="7"/>
  <c r="X451" i="7" s="1"/>
  <c r="W452" i="7"/>
  <c r="X452" i="7" s="1"/>
  <c r="W453" i="7"/>
  <c r="X453" i="7" s="1"/>
  <c r="W454" i="7"/>
  <c r="X454" i="7" s="1"/>
  <c r="W455" i="7"/>
  <c r="X455" i="7" s="1"/>
  <c r="W456" i="7"/>
  <c r="X456" i="7" s="1"/>
  <c r="W458" i="7"/>
  <c r="X458" i="7" s="1"/>
  <c r="W460" i="7"/>
  <c r="X460" i="7" s="1"/>
  <c r="W461" i="7"/>
  <c r="X461" i="7" s="1"/>
  <c r="W462" i="7"/>
  <c r="X462" i="7" s="1"/>
  <c r="W463" i="7"/>
  <c r="X463" i="7" s="1"/>
  <c r="W464" i="7"/>
  <c r="X464" i="7" s="1"/>
  <c r="W465" i="7"/>
  <c r="X465" i="7" s="1"/>
  <c r="W466" i="7"/>
  <c r="X466" i="7" s="1"/>
  <c r="W467" i="7"/>
  <c r="X467" i="7" s="1"/>
  <c r="W468" i="7"/>
  <c r="X468" i="7" s="1"/>
  <c r="W469" i="7"/>
  <c r="X469" i="7" s="1"/>
  <c r="W470" i="7"/>
  <c r="X470" i="7" s="1"/>
  <c r="W471" i="7"/>
  <c r="X471" i="7" s="1"/>
  <c r="W472" i="7"/>
  <c r="X472" i="7" s="1"/>
  <c r="W473" i="7"/>
  <c r="X473" i="7" s="1"/>
  <c r="W474" i="7"/>
  <c r="X474" i="7" s="1"/>
  <c r="W475" i="7"/>
  <c r="X475" i="7" s="1"/>
  <c r="W476" i="7"/>
  <c r="X476" i="7" s="1"/>
  <c r="W477" i="7"/>
  <c r="X477" i="7" s="1"/>
  <c r="W478" i="7"/>
  <c r="X478" i="7" s="1"/>
  <c r="W479" i="7"/>
  <c r="X479" i="7" s="1"/>
  <c r="W481" i="7"/>
  <c r="X481" i="7" s="1"/>
  <c r="W482" i="7"/>
  <c r="X482" i="7" s="1"/>
  <c r="W483" i="7"/>
  <c r="X483" i="7" s="1"/>
  <c r="W484" i="7"/>
  <c r="X484" i="7" s="1"/>
  <c r="W485" i="7"/>
  <c r="X485" i="7" s="1"/>
  <c r="W486" i="7"/>
  <c r="X486" i="7" s="1"/>
  <c r="W488" i="7"/>
  <c r="X488" i="7" s="1"/>
  <c r="W490" i="7"/>
  <c r="X490" i="7" s="1"/>
  <c r="W491" i="7"/>
  <c r="X491" i="7" s="1"/>
  <c r="W492" i="7"/>
  <c r="X492" i="7" s="1"/>
  <c r="W494" i="7"/>
  <c r="X494" i="7" s="1"/>
  <c r="W495" i="7"/>
  <c r="X495" i="7" s="1"/>
  <c r="W496" i="7"/>
  <c r="X496" i="7" s="1"/>
  <c r="W497" i="7"/>
  <c r="X497" i="7" s="1"/>
  <c r="W498" i="7"/>
  <c r="X498" i="7" s="1"/>
  <c r="W499" i="7"/>
  <c r="X499" i="7" s="1"/>
  <c r="W500" i="7"/>
  <c r="X500" i="7" s="1"/>
  <c r="W501" i="7"/>
  <c r="X501" i="7" s="1"/>
  <c r="W502" i="7"/>
  <c r="X502" i="7" s="1"/>
  <c r="W503" i="7"/>
  <c r="X503" i="7" s="1"/>
  <c r="W504" i="7"/>
  <c r="X504" i="7" s="1"/>
  <c r="W505" i="7"/>
  <c r="X505" i="7" s="1"/>
  <c r="W506" i="7"/>
  <c r="X506" i="7" s="1"/>
  <c r="W507" i="7"/>
  <c r="X507" i="7" s="1"/>
  <c r="W508" i="7"/>
  <c r="X508" i="7" s="1"/>
  <c r="W509" i="7"/>
  <c r="X509" i="7" s="1"/>
  <c r="W510" i="7"/>
  <c r="X510" i="7" s="1"/>
  <c r="W511" i="7"/>
  <c r="X511" i="7" s="1"/>
  <c r="W512" i="7"/>
  <c r="X512" i="7" s="1"/>
  <c r="W513" i="7"/>
  <c r="X513" i="7" s="1"/>
  <c r="W514" i="7"/>
  <c r="X514" i="7" s="1"/>
  <c r="W515" i="7"/>
  <c r="X515" i="7" s="1"/>
  <c r="W516" i="7"/>
  <c r="X516" i="7" s="1"/>
  <c r="W517" i="7"/>
  <c r="X517" i="7" s="1"/>
  <c r="W518" i="7"/>
  <c r="X518" i="7" s="1"/>
  <c r="W520" i="7"/>
  <c r="X520" i="7" s="1"/>
  <c r="W521" i="7"/>
  <c r="X521" i="7" s="1"/>
  <c r="W522" i="7"/>
  <c r="X522" i="7" s="1"/>
  <c r="W523" i="7"/>
  <c r="X523" i="7" s="1"/>
  <c r="W524" i="7"/>
  <c r="X524" i="7" s="1"/>
  <c r="W525" i="7"/>
  <c r="X525" i="7" s="1"/>
  <c r="W527" i="7"/>
  <c r="X527" i="7" s="1"/>
  <c r="W529" i="7"/>
  <c r="X529" i="7" s="1"/>
  <c r="W530" i="7"/>
  <c r="X530" i="7" s="1"/>
  <c r="W531" i="7"/>
  <c r="X531" i="7" s="1"/>
  <c r="W532" i="7"/>
  <c r="X532" i="7" s="1"/>
  <c r="W533" i="7"/>
  <c r="X533" i="7" s="1"/>
  <c r="W534" i="7"/>
  <c r="X534" i="7" s="1"/>
  <c r="W535" i="7"/>
  <c r="X535" i="7" s="1"/>
  <c r="W536" i="7"/>
  <c r="X536" i="7" s="1"/>
  <c r="W538" i="7"/>
  <c r="X538" i="7" s="1"/>
  <c r="W539" i="7"/>
  <c r="X539" i="7" s="1"/>
  <c r="W540" i="7"/>
  <c r="X540" i="7" s="1"/>
  <c r="W541" i="7"/>
  <c r="X541" i="7" s="1"/>
  <c r="W542" i="7"/>
  <c r="X542" i="7" s="1"/>
  <c r="W543" i="7"/>
  <c r="X543" i="7" s="1"/>
  <c r="W544" i="7"/>
  <c r="X544" i="7" s="1"/>
  <c r="W545" i="7"/>
  <c r="X545" i="7" s="1"/>
  <c r="W546" i="7"/>
  <c r="X546" i="7" s="1"/>
  <c r="W547" i="7"/>
  <c r="X547" i="7" s="1"/>
  <c r="W548" i="7"/>
  <c r="X548" i="7" s="1"/>
  <c r="W549" i="7"/>
  <c r="X549" i="7" s="1"/>
  <c r="W550" i="7"/>
  <c r="X550" i="7" s="1"/>
  <c r="W551" i="7"/>
  <c r="X551" i="7" s="1"/>
  <c r="W552" i="7"/>
  <c r="X552" i="7" s="1"/>
  <c r="W553" i="7"/>
  <c r="X553" i="7" s="1"/>
  <c r="W554" i="7"/>
  <c r="X554" i="7" s="1"/>
  <c r="W555" i="7"/>
  <c r="X555" i="7" s="1"/>
  <c r="W556" i="7"/>
  <c r="X556" i="7" s="1"/>
  <c r="W557" i="7"/>
  <c r="X557" i="7" s="1"/>
  <c r="W558" i="7"/>
  <c r="X558" i="7" s="1"/>
  <c r="W559" i="7"/>
  <c r="X559" i="7" s="1"/>
  <c r="W560" i="7"/>
  <c r="X560" i="7" s="1"/>
  <c r="W561" i="7"/>
  <c r="X561" i="7" s="1"/>
  <c r="W562" i="7"/>
  <c r="X562" i="7" s="1"/>
  <c r="W563" i="7"/>
  <c r="X563" i="7" s="1"/>
  <c r="W564" i="7"/>
  <c r="X564" i="7" s="1"/>
  <c r="W565" i="7"/>
  <c r="X565" i="7" s="1"/>
  <c r="W566" i="7"/>
  <c r="X566" i="7" s="1"/>
  <c r="W567" i="7"/>
  <c r="X567" i="7" s="1"/>
  <c r="W568" i="7"/>
  <c r="X568" i="7" s="1"/>
  <c r="W569" i="7"/>
  <c r="X569" i="7" s="1"/>
  <c r="W570" i="7"/>
  <c r="X570" i="7" s="1"/>
  <c r="W571" i="7"/>
  <c r="X571" i="7" s="1"/>
  <c r="W572" i="7"/>
  <c r="X572" i="7" s="1"/>
  <c r="W573" i="7"/>
  <c r="X573" i="7" s="1"/>
  <c r="W574" i="7"/>
  <c r="X574" i="7" s="1"/>
  <c r="W575" i="7"/>
  <c r="X575" i="7" s="1"/>
  <c r="W576" i="7"/>
  <c r="X576" i="7" s="1"/>
  <c r="W577" i="7"/>
  <c r="X577" i="7" s="1"/>
  <c r="W578" i="7"/>
  <c r="X578" i="7" s="1"/>
  <c r="W579" i="7"/>
  <c r="X579" i="7" s="1"/>
  <c r="W580" i="7"/>
  <c r="X580" i="7" s="1"/>
  <c r="W581" i="7"/>
  <c r="X581" i="7" s="1"/>
  <c r="W582" i="7"/>
  <c r="X582" i="7" s="1"/>
  <c r="W583" i="7"/>
  <c r="X583" i="7" s="1"/>
  <c r="W584" i="7"/>
  <c r="X584" i="7" s="1"/>
  <c r="W585" i="7"/>
  <c r="X585" i="7" s="1"/>
  <c r="W586" i="7"/>
  <c r="X586" i="7" s="1"/>
  <c r="W587" i="7"/>
  <c r="X587" i="7" s="1"/>
  <c r="W588" i="7"/>
  <c r="X588" i="7" s="1"/>
  <c r="W589" i="7"/>
  <c r="X589" i="7" s="1"/>
  <c r="W590" i="7"/>
  <c r="X590" i="7" s="1"/>
  <c r="W591" i="7"/>
  <c r="X591" i="7" s="1"/>
  <c r="W592" i="7"/>
  <c r="X592" i="7" s="1"/>
  <c r="W593" i="7"/>
  <c r="X593" i="7" s="1"/>
  <c r="W594" i="7"/>
  <c r="X594" i="7" s="1"/>
  <c r="W595" i="7"/>
  <c r="X595" i="7" s="1"/>
  <c r="W596" i="7"/>
  <c r="X596" i="7" s="1"/>
  <c r="W597" i="7"/>
  <c r="X597" i="7" s="1"/>
  <c r="W598" i="7"/>
  <c r="X598" i="7" s="1"/>
  <c r="W599" i="7"/>
  <c r="X599" i="7" s="1"/>
  <c r="W600" i="7"/>
  <c r="X600" i="7" s="1"/>
  <c r="W601" i="7"/>
  <c r="X601" i="7" s="1"/>
  <c r="W602" i="7"/>
  <c r="X602" i="7" s="1"/>
  <c r="W603" i="7"/>
  <c r="X603" i="7" s="1"/>
  <c r="W604" i="7"/>
  <c r="X604" i="7" s="1"/>
  <c r="W605" i="7"/>
  <c r="X605" i="7" s="1"/>
  <c r="W606" i="7"/>
  <c r="X606" i="7" s="1"/>
  <c r="W607" i="7"/>
  <c r="X607" i="7" s="1"/>
  <c r="W608" i="7"/>
  <c r="X608" i="7" s="1"/>
  <c r="W609" i="7"/>
  <c r="X609" i="7" s="1"/>
  <c r="W610" i="7"/>
  <c r="X610" i="7" s="1"/>
  <c r="W611" i="7"/>
  <c r="X611" i="7" s="1"/>
  <c r="W612" i="7"/>
  <c r="X612" i="7" s="1"/>
  <c r="W613" i="7"/>
  <c r="X613" i="7" s="1"/>
  <c r="W614" i="7"/>
  <c r="X614" i="7" s="1"/>
  <c r="W615" i="7"/>
  <c r="X615" i="7" s="1"/>
  <c r="W616" i="7"/>
  <c r="X616" i="7" s="1"/>
  <c r="W617" i="7"/>
  <c r="X617" i="7" s="1"/>
  <c r="W618" i="7"/>
  <c r="X618" i="7" s="1"/>
  <c r="W619" i="7"/>
  <c r="X619" i="7" s="1"/>
  <c r="W620" i="7"/>
  <c r="X620" i="7" s="1"/>
  <c r="W621" i="7"/>
  <c r="X621" i="7" s="1"/>
  <c r="W622" i="7"/>
  <c r="X622" i="7" s="1"/>
  <c r="W623" i="7"/>
  <c r="X623" i="7" s="1"/>
  <c r="W624" i="7"/>
  <c r="X624" i="7" s="1"/>
  <c r="W625" i="7"/>
  <c r="X625" i="7" s="1"/>
  <c r="W626" i="7"/>
  <c r="X626" i="7" s="1"/>
  <c r="W627" i="7"/>
  <c r="X627" i="7" s="1"/>
  <c r="W628" i="7"/>
  <c r="X628" i="7" s="1"/>
  <c r="W629" i="7"/>
  <c r="X629" i="7" s="1"/>
  <c r="W630" i="7"/>
  <c r="X630" i="7" s="1"/>
  <c r="W631" i="7"/>
  <c r="X631" i="7" s="1"/>
  <c r="W632" i="7"/>
  <c r="X632" i="7" s="1"/>
  <c r="W633" i="7"/>
  <c r="X633" i="7" s="1"/>
  <c r="W634" i="7"/>
  <c r="X634" i="7" s="1"/>
  <c r="W635" i="7"/>
  <c r="X635" i="7" s="1"/>
  <c r="W636" i="7"/>
  <c r="X636" i="7" s="1"/>
  <c r="W637" i="7"/>
  <c r="X637" i="7" s="1"/>
  <c r="W638" i="7"/>
  <c r="X638" i="7" s="1"/>
  <c r="W639" i="7"/>
  <c r="X639" i="7" s="1"/>
  <c r="W640" i="7"/>
  <c r="X640" i="7" s="1"/>
  <c r="W641" i="7"/>
  <c r="X641" i="7" s="1"/>
  <c r="W642" i="7"/>
  <c r="X642" i="7" s="1"/>
  <c r="W643" i="7"/>
  <c r="X643" i="7" s="1"/>
  <c r="W644" i="7"/>
  <c r="X644" i="7" s="1"/>
  <c r="W645" i="7"/>
  <c r="X645" i="7" s="1"/>
  <c r="W646" i="7"/>
  <c r="X646" i="7" s="1"/>
  <c r="W647" i="7"/>
  <c r="X647" i="7" s="1"/>
  <c r="W648" i="7"/>
  <c r="X648" i="7" s="1"/>
  <c r="W649" i="7"/>
  <c r="X649" i="7" s="1"/>
  <c r="W650" i="7"/>
  <c r="X650" i="7" s="1"/>
  <c r="W651" i="7"/>
  <c r="X651" i="7" s="1"/>
  <c r="W652" i="7"/>
  <c r="X652" i="7" s="1"/>
  <c r="W653" i="7"/>
  <c r="X653" i="7" s="1"/>
  <c r="W654" i="7"/>
  <c r="X654" i="7" s="1"/>
  <c r="W655" i="7"/>
  <c r="X655" i="7" s="1"/>
  <c r="W656" i="7"/>
  <c r="X656" i="7" s="1"/>
  <c r="W657" i="7"/>
  <c r="X657" i="7" s="1"/>
  <c r="W658" i="7"/>
  <c r="X658" i="7" s="1"/>
  <c r="W659" i="7"/>
  <c r="X659" i="7" s="1"/>
  <c r="W660" i="7"/>
  <c r="X660" i="7" s="1"/>
  <c r="W661" i="7"/>
  <c r="X661" i="7" s="1"/>
  <c r="W662" i="7"/>
  <c r="X662" i="7" s="1"/>
  <c r="W663" i="7"/>
  <c r="X663" i="7" s="1"/>
  <c r="W664" i="7"/>
  <c r="X664" i="7" s="1"/>
  <c r="W665" i="7"/>
  <c r="X665" i="7" s="1"/>
  <c r="W666" i="7"/>
  <c r="X666" i="7" s="1"/>
  <c r="W667" i="7"/>
  <c r="X667" i="7" s="1"/>
  <c r="W668" i="7"/>
  <c r="X668" i="7" s="1"/>
  <c r="W669" i="7"/>
  <c r="X669" i="7" s="1"/>
  <c r="W670" i="7"/>
  <c r="X670" i="7" s="1"/>
  <c r="W671" i="7"/>
  <c r="X671" i="7" s="1"/>
  <c r="W673" i="7"/>
  <c r="X673" i="7" s="1"/>
  <c r="W674" i="7"/>
  <c r="X674" i="7" s="1"/>
  <c r="W675" i="7"/>
  <c r="X675" i="7" s="1"/>
  <c r="W676" i="7"/>
  <c r="X676" i="7" s="1"/>
  <c r="W677" i="7"/>
  <c r="X677" i="7" s="1"/>
  <c r="W678" i="7"/>
  <c r="X678" i="7" s="1"/>
  <c r="W679" i="7"/>
  <c r="X679" i="7" s="1"/>
  <c r="W680" i="7"/>
  <c r="X680" i="7" s="1"/>
  <c r="W681" i="7"/>
  <c r="X681" i="7" s="1"/>
  <c r="W682" i="7"/>
  <c r="X682" i="7" s="1"/>
  <c r="W683" i="7"/>
  <c r="X683" i="7" s="1"/>
  <c r="W684" i="7"/>
  <c r="X684" i="7" s="1"/>
  <c r="W685" i="7"/>
  <c r="X685" i="7" s="1"/>
  <c r="W686" i="7"/>
  <c r="X686" i="7" s="1"/>
  <c r="W687" i="7"/>
  <c r="X687" i="7" s="1"/>
  <c r="W688" i="7"/>
  <c r="X688" i="7" s="1"/>
  <c r="W689" i="7"/>
  <c r="X689" i="7" s="1"/>
  <c r="W690" i="7"/>
  <c r="X690" i="7" s="1"/>
  <c r="W691" i="7"/>
  <c r="X691" i="7" s="1"/>
  <c r="W692" i="7"/>
  <c r="X692" i="7" s="1"/>
  <c r="W693" i="7"/>
  <c r="X693" i="7" s="1"/>
  <c r="W694" i="7"/>
  <c r="X694" i="7" s="1"/>
  <c r="W695" i="7"/>
  <c r="X695" i="7" s="1"/>
  <c r="W696" i="7"/>
  <c r="X696" i="7" s="1"/>
  <c r="W697" i="7"/>
  <c r="X697" i="7" s="1"/>
  <c r="W698" i="7"/>
  <c r="X698" i="7" s="1"/>
  <c r="W699" i="7"/>
  <c r="X699" i="7" s="1"/>
  <c r="W700" i="7"/>
  <c r="X700" i="7" s="1"/>
  <c r="W701" i="7"/>
  <c r="X701" i="7" s="1"/>
  <c r="W702" i="7"/>
  <c r="X702" i="7" s="1"/>
  <c r="W703" i="7"/>
  <c r="X703" i="7" s="1"/>
  <c r="W704" i="7"/>
  <c r="X704" i="7" s="1"/>
  <c r="W705" i="7"/>
  <c r="X705" i="7" s="1"/>
  <c r="W706" i="7"/>
  <c r="X706" i="7" s="1"/>
  <c r="W707" i="7"/>
  <c r="X707" i="7" s="1"/>
  <c r="W708" i="7"/>
  <c r="X708" i="7" s="1"/>
  <c r="W709" i="7"/>
  <c r="X709" i="7" s="1"/>
  <c r="W710" i="7"/>
  <c r="X710" i="7" s="1"/>
  <c r="W711" i="7"/>
  <c r="X711" i="7" s="1"/>
  <c r="W712" i="7"/>
  <c r="X712" i="7" s="1"/>
  <c r="W713" i="7"/>
  <c r="X713" i="7" s="1"/>
  <c r="W714" i="7"/>
  <c r="X714" i="7" s="1"/>
  <c r="W715" i="7"/>
  <c r="X715" i="7" s="1"/>
  <c r="W716" i="7"/>
  <c r="X716" i="7" s="1"/>
  <c r="W717" i="7"/>
  <c r="X717" i="7" s="1"/>
  <c r="W718" i="7"/>
  <c r="X718" i="7" s="1"/>
  <c r="W719" i="7"/>
  <c r="X719" i="7" s="1"/>
  <c r="W720" i="7"/>
  <c r="X720" i="7" s="1"/>
  <c r="W721" i="7"/>
  <c r="X721" i="7" s="1"/>
  <c r="W722" i="7"/>
  <c r="X722" i="7" s="1"/>
  <c r="W723" i="7"/>
  <c r="X723" i="7" s="1"/>
  <c r="W724" i="7"/>
  <c r="X724" i="7" s="1"/>
  <c r="W725" i="7"/>
  <c r="X725" i="7" s="1"/>
  <c r="W726" i="7"/>
  <c r="X726" i="7" s="1"/>
  <c r="W727" i="7"/>
  <c r="X727" i="7" s="1"/>
  <c r="W728" i="7"/>
  <c r="X728" i="7" s="1"/>
  <c r="W729" i="7"/>
  <c r="X729" i="7" s="1"/>
  <c r="W730" i="7"/>
  <c r="X730" i="7" s="1"/>
  <c r="W731" i="7"/>
  <c r="X731" i="7" s="1"/>
  <c r="W732" i="7"/>
  <c r="X732" i="7" s="1"/>
  <c r="W733" i="7"/>
  <c r="X733" i="7" s="1"/>
  <c r="W734" i="7"/>
  <c r="X734" i="7" s="1"/>
  <c r="W735" i="7"/>
  <c r="X735" i="7" s="1"/>
  <c r="W736" i="7"/>
  <c r="X736" i="7" s="1"/>
  <c r="W737" i="7"/>
  <c r="X737" i="7" s="1"/>
  <c r="W738" i="7"/>
  <c r="X738" i="7" s="1"/>
  <c r="W739" i="7"/>
  <c r="X739" i="7" s="1"/>
  <c r="W740" i="7"/>
  <c r="X740" i="7" s="1"/>
  <c r="W741" i="7"/>
  <c r="X741" i="7" s="1"/>
  <c r="W742" i="7"/>
  <c r="X742" i="7" s="1"/>
  <c r="W743" i="7"/>
  <c r="X743" i="7" s="1"/>
  <c r="W744" i="7"/>
  <c r="X744" i="7" s="1"/>
  <c r="W745" i="7"/>
  <c r="X745" i="7" s="1"/>
  <c r="W746" i="7"/>
  <c r="X746" i="7" s="1"/>
  <c r="W747" i="7"/>
  <c r="X747" i="7" s="1"/>
  <c r="W748" i="7"/>
  <c r="X748" i="7" s="1"/>
  <c r="W749" i="7"/>
  <c r="X749" i="7" s="1"/>
  <c r="W750" i="7"/>
  <c r="X750" i="7" s="1"/>
  <c r="W751" i="7"/>
  <c r="X751" i="7" s="1"/>
  <c r="W752" i="7"/>
  <c r="X752" i="7" s="1"/>
  <c r="W753" i="7"/>
  <c r="X753" i="7" s="1"/>
  <c r="W754" i="7"/>
  <c r="X754" i="7" s="1"/>
  <c r="W756" i="7"/>
  <c r="X756" i="7" s="1"/>
  <c r="W757" i="7"/>
  <c r="X757" i="7" s="1"/>
  <c r="W758" i="7"/>
  <c r="X758" i="7" s="1"/>
  <c r="W759" i="7"/>
  <c r="X759" i="7" s="1"/>
  <c r="W760" i="7"/>
  <c r="X760" i="7" s="1"/>
  <c r="W761" i="7"/>
  <c r="X761" i="7" s="1"/>
  <c r="W762" i="7"/>
  <c r="X762" i="7" s="1"/>
  <c r="W763" i="7"/>
  <c r="X763" i="7" s="1"/>
  <c r="W764" i="7"/>
  <c r="X764" i="7" s="1"/>
  <c r="W765" i="7"/>
  <c r="X765" i="7" s="1"/>
  <c r="W766" i="7"/>
  <c r="X766" i="7" s="1"/>
  <c r="W767" i="7"/>
  <c r="X767" i="7" s="1"/>
  <c r="W768" i="7"/>
  <c r="X768" i="7" s="1"/>
  <c r="W769" i="7"/>
  <c r="X769" i="7" s="1"/>
  <c r="W770" i="7"/>
  <c r="X770" i="7" s="1"/>
  <c r="W771" i="7"/>
  <c r="X771" i="7" s="1"/>
  <c r="W772" i="7"/>
  <c r="X772" i="7" s="1"/>
  <c r="W773" i="7"/>
  <c r="X773" i="7" s="1"/>
  <c r="W774" i="7"/>
  <c r="X774" i="7" s="1"/>
  <c r="W775" i="7"/>
  <c r="X775" i="7" s="1"/>
  <c r="W776" i="7"/>
  <c r="X776" i="7" s="1"/>
  <c r="W777" i="7"/>
  <c r="X777" i="7" s="1"/>
  <c r="W778" i="7"/>
  <c r="X778" i="7" s="1"/>
  <c r="W779" i="7"/>
  <c r="X779" i="7" s="1"/>
  <c r="W780" i="7"/>
  <c r="X780" i="7" s="1"/>
  <c r="W781" i="7"/>
  <c r="X781" i="7" s="1"/>
  <c r="W782" i="7"/>
  <c r="X782" i="7" s="1"/>
  <c r="W783" i="7"/>
  <c r="X783" i="7" s="1"/>
  <c r="W784" i="7"/>
  <c r="X784" i="7" s="1"/>
  <c r="W785" i="7"/>
  <c r="X785" i="7" s="1"/>
  <c r="W786" i="7"/>
  <c r="X786" i="7" s="1"/>
  <c r="W787" i="7"/>
  <c r="X787" i="7" s="1"/>
  <c r="W788" i="7"/>
  <c r="X788" i="7" s="1"/>
  <c r="W789" i="7"/>
  <c r="X789" i="7" s="1"/>
  <c r="W790" i="7"/>
  <c r="X790" i="7" s="1"/>
  <c r="W791" i="7"/>
  <c r="X791" i="7" s="1"/>
  <c r="W792" i="7"/>
  <c r="X792" i="7" s="1"/>
  <c r="W793" i="7"/>
  <c r="X793" i="7" s="1"/>
  <c r="W794" i="7"/>
  <c r="X794" i="7" s="1"/>
  <c r="W795" i="7"/>
  <c r="X795" i="7" s="1"/>
  <c r="W796" i="7"/>
  <c r="X796" i="7" s="1"/>
  <c r="W797" i="7"/>
  <c r="X797" i="7" s="1"/>
  <c r="W798" i="7"/>
  <c r="X798" i="7" s="1"/>
  <c r="W799" i="7"/>
  <c r="X799" i="7" s="1"/>
  <c r="W800" i="7"/>
  <c r="X800" i="7" s="1"/>
  <c r="W801" i="7"/>
  <c r="X801" i="7" s="1"/>
  <c r="W802" i="7"/>
  <c r="X802" i="7" s="1"/>
  <c r="W803" i="7"/>
  <c r="X803" i="7" s="1"/>
  <c r="W804" i="7"/>
  <c r="X804" i="7" s="1"/>
  <c r="W805" i="7"/>
  <c r="X805" i="7" s="1"/>
  <c r="W806" i="7"/>
  <c r="X806" i="7" s="1"/>
  <c r="W807" i="7"/>
  <c r="X807" i="7" s="1"/>
  <c r="W808" i="7"/>
  <c r="X808" i="7" s="1"/>
  <c r="W809" i="7"/>
  <c r="X809" i="7" s="1"/>
  <c r="W810" i="7"/>
  <c r="X810" i="7" s="1"/>
  <c r="W811" i="7"/>
  <c r="X811" i="7" s="1"/>
  <c r="W812" i="7"/>
  <c r="X812" i="7" s="1"/>
  <c r="W813" i="7"/>
  <c r="X813" i="7" s="1"/>
  <c r="W814" i="7"/>
  <c r="X814" i="7" s="1"/>
  <c r="W815" i="7"/>
  <c r="X815" i="7" s="1"/>
  <c r="W816" i="7"/>
  <c r="X816" i="7" s="1"/>
  <c r="W817" i="7"/>
  <c r="X817" i="7" s="1"/>
  <c r="W818" i="7"/>
  <c r="X818" i="7" s="1"/>
  <c r="W819" i="7"/>
  <c r="X819" i="7" s="1"/>
  <c r="W820" i="7"/>
  <c r="X820" i="7" s="1"/>
  <c r="W821" i="7"/>
  <c r="X821" i="7" s="1"/>
  <c r="W822" i="7"/>
  <c r="X822" i="7" s="1"/>
  <c r="W823" i="7"/>
  <c r="X823" i="7" s="1"/>
  <c r="W824" i="7"/>
  <c r="X824" i="7" s="1"/>
  <c r="W825" i="7"/>
  <c r="X825" i="7" s="1"/>
  <c r="W826" i="7"/>
  <c r="X826" i="7" s="1"/>
  <c r="W827" i="7"/>
  <c r="X827" i="7" s="1"/>
  <c r="W828" i="7"/>
  <c r="X828" i="7" s="1"/>
  <c r="W829" i="7"/>
  <c r="X829" i="7" s="1"/>
  <c r="W830" i="7"/>
  <c r="X830" i="7" s="1"/>
  <c r="W831" i="7"/>
  <c r="X831" i="7" s="1"/>
  <c r="W832" i="7"/>
  <c r="X832" i="7" s="1"/>
  <c r="W833" i="7"/>
  <c r="X833" i="7" s="1"/>
  <c r="W834" i="7"/>
  <c r="X834" i="7" s="1"/>
  <c r="W835" i="7"/>
  <c r="X835" i="7" s="1"/>
  <c r="W836" i="7"/>
  <c r="X836" i="7" s="1"/>
  <c r="W837" i="7"/>
  <c r="X837" i="7" s="1"/>
  <c r="W838" i="7"/>
  <c r="X838" i="7" s="1"/>
  <c r="W839" i="7"/>
  <c r="X839" i="7" s="1"/>
  <c r="W840" i="7"/>
  <c r="X840" i="7" s="1"/>
  <c r="W841" i="7"/>
  <c r="X841" i="7" s="1"/>
  <c r="W842" i="7"/>
  <c r="X842" i="7" s="1"/>
  <c r="W843" i="7"/>
  <c r="X843" i="7" s="1"/>
  <c r="W844" i="7"/>
  <c r="X844" i="7" s="1"/>
  <c r="W845" i="7"/>
  <c r="X845" i="7" s="1"/>
  <c r="W846" i="7"/>
  <c r="X846" i="7" s="1"/>
  <c r="W847" i="7"/>
  <c r="X847" i="7" s="1"/>
  <c r="W848" i="7"/>
  <c r="X848" i="7" s="1"/>
  <c r="W849" i="7"/>
  <c r="X849" i="7" s="1"/>
  <c r="W850" i="7"/>
  <c r="X850" i="7" s="1"/>
  <c r="W851" i="7"/>
  <c r="X851" i="7" s="1"/>
  <c r="W852" i="7"/>
  <c r="X852" i="7" s="1"/>
  <c r="W853" i="7"/>
  <c r="X853" i="7" s="1"/>
  <c r="W854" i="7"/>
  <c r="X854" i="7" s="1"/>
  <c r="W855" i="7"/>
  <c r="X855" i="7" s="1"/>
  <c r="W856" i="7"/>
  <c r="X856" i="7" s="1"/>
  <c r="W857" i="7"/>
  <c r="X857" i="7" s="1"/>
  <c r="W858" i="7"/>
  <c r="X858" i="7" s="1"/>
  <c r="W859" i="7"/>
  <c r="X859" i="7" s="1"/>
  <c r="W860" i="7"/>
  <c r="X860" i="7" s="1"/>
  <c r="W861" i="7"/>
  <c r="X861" i="7" s="1"/>
  <c r="W862" i="7"/>
  <c r="X862" i="7" s="1"/>
  <c r="W863" i="7"/>
  <c r="X863" i="7" s="1"/>
  <c r="W864" i="7"/>
  <c r="X864" i="7" s="1"/>
  <c r="W865" i="7"/>
  <c r="X865" i="7" s="1"/>
  <c r="W866" i="7"/>
  <c r="X866" i="7" s="1"/>
  <c r="W867" i="7"/>
  <c r="X867" i="7" s="1"/>
  <c r="W868" i="7"/>
  <c r="X868" i="7" s="1"/>
  <c r="W869" i="7"/>
  <c r="X869" i="7" s="1"/>
  <c r="W870" i="7"/>
  <c r="X870" i="7" s="1"/>
  <c r="W871" i="7"/>
  <c r="X871" i="7" s="1"/>
  <c r="W872" i="7"/>
  <c r="X872" i="7" s="1"/>
  <c r="W873" i="7"/>
  <c r="X873" i="7" s="1"/>
  <c r="W874" i="7"/>
  <c r="X874" i="7" s="1"/>
  <c r="W875" i="7"/>
  <c r="X875" i="7" s="1"/>
  <c r="W876" i="7"/>
  <c r="X876" i="7" s="1"/>
  <c r="W877" i="7"/>
  <c r="X877" i="7" s="1"/>
  <c r="W879" i="7"/>
  <c r="X879" i="7" s="1"/>
  <c r="W880" i="7"/>
  <c r="X880" i="7" s="1"/>
  <c r="W881" i="7"/>
  <c r="X881" i="7" s="1"/>
  <c r="W882" i="7"/>
  <c r="X882" i="7" s="1"/>
  <c r="W883" i="7"/>
  <c r="X883" i="7" s="1"/>
  <c r="W884" i="7"/>
  <c r="X884" i="7" s="1"/>
  <c r="W885" i="7"/>
  <c r="X885" i="7" s="1"/>
  <c r="W886" i="7"/>
  <c r="X886" i="7" s="1"/>
  <c r="W887" i="7"/>
  <c r="X887" i="7" s="1"/>
  <c r="W888" i="7"/>
  <c r="X888" i="7" s="1"/>
  <c r="W889" i="7"/>
  <c r="X889" i="7" s="1"/>
  <c r="W890" i="7"/>
  <c r="X890" i="7" s="1"/>
  <c r="W891" i="7"/>
  <c r="X891" i="7" s="1"/>
  <c r="W892" i="7"/>
  <c r="X892" i="7" s="1"/>
  <c r="W893" i="7"/>
  <c r="X893" i="7" s="1"/>
  <c r="W894" i="7"/>
  <c r="X894" i="7" s="1"/>
  <c r="W895" i="7"/>
  <c r="X895" i="7" s="1"/>
  <c r="W896" i="7"/>
  <c r="X896" i="7" s="1"/>
  <c r="W897" i="7"/>
  <c r="X897" i="7" s="1"/>
  <c r="W898" i="7"/>
  <c r="X898" i="7" s="1"/>
  <c r="W899" i="7"/>
  <c r="X899" i="7" s="1"/>
  <c r="W900" i="7"/>
  <c r="X900" i="7" s="1"/>
  <c r="W901" i="7"/>
  <c r="X901" i="7" s="1"/>
  <c r="W902" i="7"/>
  <c r="X902" i="7" s="1"/>
  <c r="W903" i="7"/>
  <c r="X903" i="7" s="1"/>
  <c r="W904" i="7"/>
  <c r="X904" i="7" s="1"/>
  <c r="W905" i="7"/>
  <c r="X905" i="7" s="1"/>
  <c r="W906" i="7"/>
  <c r="X906" i="7" s="1"/>
  <c r="W907" i="7"/>
  <c r="X907" i="7" s="1"/>
  <c r="W908" i="7"/>
  <c r="X908" i="7" s="1"/>
  <c r="W909" i="7"/>
  <c r="X909" i="7" s="1"/>
  <c r="W910" i="7"/>
  <c r="X910" i="7" s="1"/>
  <c r="W911" i="7"/>
  <c r="X911" i="7" s="1"/>
  <c r="W912" i="7"/>
  <c r="X912" i="7" s="1"/>
  <c r="W913" i="7"/>
  <c r="X913" i="7" s="1"/>
  <c r="W914" i="7"/>
  <c r="X914" i="7" s="1"/>
  <c r="W915" i="7"/>
  <c r="X915" i="7" s="1"/>
  <c r="W916" i="7"/>
  <c r="X916" i="7" s="1"/>
  <c r="W917" i="7"/>
  <c r="X917" i="7" s="1"/>
  <c r="W918" i="7"/>
  <c r="X918" i="7" s="1"/>
  <c r="W919" i="7"/>
  <c r="X919" i="7" s="1"/>
  <c r="W920" i="7"/>
  <c r="X920" i="7" s="1"/>
  <c r="W921" i="7"/>
  <c r="X921" i="7" s="1"/>
  <c r="W922" i="7"/>
  <c r="X922" i="7" s="1"/>
  <c r="W923" i="7"/>
  <c r="X923" i="7" s="1"/>
  <c r="W924" i="7"/>
  <c r="X924" i="7" s="1"/>
  <c r="W925" i="7"/>
  <c r="X925" i="7" s="1"/>
  <c r="W926" i="7"/>
  <c r="X926" i="7" s="1"/>
  <c r="W927" i="7"/>
  <c r="X927" i="7" s="1"/>
  <c r="W928" i="7"/>
  <c r="X928" i="7" s="1"/>
  <c r="W929" i="7"/>
  <c r="X929" i="7" s="1"/>
  <c r="W930" i="7"/>
  <c r="X930" i="7" s="1"/>
  <c r="W931" i="7"/>
  <c r="X931" i="7" s="1"/>
  <c r="W932" i="7"/>
  <c r="X932" i="7" s="1"/>
  <c r="W933" i="7"/>
  <c r="X933" i="7" s="1"/>
  <c r="W934" i="7"/>
  <c r="X934" i="7" s="1"/>
  <c r="W935" i="7"/>
  <c r="X935" i="7" s="1"/>
  <c r="W936" i="7"/>
  <c r="X936" i="7" s="1"/>
  <c r="W937" i="7"/>
  <c r="X937" i="7" s="1"/>
  <c r="W938" i="7"/>
  <c r="X938" i="7" s="1"/>
  <c r="W939" i="7"/>
  <c r="X939" i="7" s="1"/>
  <c r="W940" i="7"/>
  <c r="X940" i="7" s="1"/>
  <c r="W941" i="7"/>
  <c r="X941" i="7" s="1"/>
  <c r="W942" i="7"/>
  <c r="X942" i="7" s="1"/>
  <c r="W943" i="7"/>
  <c r="X943" i="7" s="1"/>
  <c r="W944" i="7"/>
  <c r="X944" i="7" s="1"/>
  <c r="W945" i="7"/>
  <c r="X945" i="7" s="1"/>
  <c r="W946" i="7"/>
  <c r="X946" i="7" s="1"/>
  <c r="W947" i="7"/>
  <c r="X947" i="7" s="1"/>
  <c r="W948" i="7"/>
  <c r="X948" i="7" s="1"/>
  <c r="W949" i="7"/>
  <c r="X949" i="7" s="1"/>
  <c r="W950" i="7"/>
  <c r="X950" i="7" s="1"/>
  <c r="W951" i="7"/>
  <c r="X951" i="7" s="1"/>
  <c r="W952" i="7"/>
  <c r="X952" i="7" s="1"/>
  <c r="W953" i="7"/>
  <c r="X953" i="7" s="1"/>
  <c r="W954" i="7"/>
  <c r="X954" i="7" s="1"/>
  <c r="W955" i="7"/>
  <c r="X955" i="7" s="1"/>
  <c r="W956" i="7"/>
  <c r="X956" i="7" s="1"/>
  <c r="W957" i="7"/>
  <c r="X957" i="7" s="1"/>
  <c r="W958" i="7"/>
  <c r="X958" i="7" s="1"/>
  <c r="W959" i="7"/>
  <c r="X959" i="7" s="1"/>
  <c r="W960" i="7"/>
  <c r="X960" i="7" s="1"/>
  <c r="W961" i="7"/>
  <c r="X961" i="7" s="1"/>
  <c r="W962" i="7"/>
  <c r="X962" i="7" s="1"/>
  <c r="W963" i="7"/>
  <c r="X963" i="7" s="1"/>
  <c r="W964" i="7"/>
  <c r="X964" i="7" s="1"/>
  <c r="W965" i="7"/>
  <c r="X965" i="7" s="1"/>
  <c r="W966" i="7"/>
  <c r="X966" i="7" s="1"/>
  <c r="W967" i="7"/>
  <c r="X967" i="7" s="1"/>
  <c r="W968" i="7"/>
  <c r="X968" i="7" s="1"/>
  <c r="W969" i="7"/>
  <c r="X969" i="7" s="1"/>
  <c r="W970" i="7"/>
  <c r="X970" i="7" s="1"/>
  <c r="W971" i="7"/>
  <c r="X971" i="7" s="1"/>
  <c r="W972" i="7"/>
  <c r="X972" i="7" s="1"/>
  <c r="W973" i="7"/>
  <c r="X973" i="7" s="1"/>
  <c r="W974" i="7"/>
  <c r="X974" i="7" s="1"/>
  <c r="W975" i="7"/>
  <c r="X975" i="7" s="1"/>
  <c r="W977" i="7"/>
  <c r="X977" i="7" s="1"/>
  <c r="W979" i="7"/>
  <c r="X979" i="7" s="1"/>
  <c r="W980" i="7"/>
  <c r="X980" i="7" s="1"/>
  <c r="W981" i="7"/>
  <c r="X981" i="7" s="1"/>
  <c r="W982" i="7"/>
  <c r="X982" i="7" s="1"/>
  <c r="W983" i="7"/>
  <c r="X983" i="7" s="1"/>
  <c r="W984" i="7"/>
  <c r="X984" i="7" s="1"/>
  <c r="W985" i="7"/>
  <c r="X985" i="7" s="1"/>
  <c r="W986" i="7"/>
  <c r="X986" i="7" s="1"/>
  <c r="W987" i="7"/>
  <c r="X987" i="7" s="1"/>
  <c r="W988" i="7"/>
  <c r="X988" i="7" s="1"/>
  <c r="W989" i="7"/>
  <c r="X989" i="7" s="1"/>
  <c r="W991" i="7"/>
  <c r="X991" i="7" s="1"/>
  <c r="W992" i="7"/>
  <c r="X992" i="7" s="1"/>
  <c r="W993" i="7"/>
  <c r="X993" i="7" s="1"/>
  <c r="W994" i="7"/>
  <c r="X994" i="7" s="1"/>
  <c r="W995" i="7"/>
  <c r="X995" i="7" s="1"/>
  <c r="W997" i="7"/>
  <c r="X997" i="7" s="1"/>
  <c r="W998" i="7"/>
  <c r="X998" i="7" s="1"/>
  <c r="W999" i="7"/>
  <c r="X999" i="7" s="1"/>
  <c r="W1000" i="7"/>
  <c r="X1000" i="7" s="1"/>
  <c r="W1001" i="7"/>
  <c r="X1001" i="7" s="1"/>
  <c r="W1003" i="7"/>
  <c r="X1003" i="7" s="1"/>
  <c r="W1004" i="7"/>
  <c r="X1004" i="7" s="1"/>
  <c r="W1005" i="7"/>
  <c r="X1005" i="7" s="1"/>
  <c r="W1006" i="7"/>
  <c r="X1006" i="7" s="1"/>
  <c r="W1007" i="7"/>
  <c r="X1007" i="7" s="1"/>
  <c r="W1009" i="7"/>
  <c r="X1009" i="7" s="1"/>
  <c r="W1010" i="7"/>
  <c r="X1010" i="7" s="1"/>
  <c r="W1011" i="7"/>
  <c r="X1011" i="7" s="1"/>
  <c r="W1012" i="7"/>
  <c r="X1012" i="7" s="1"/>
  <c r="W1013" i="7"/>
  <c r="X1013" i="7" s="1"/>
  <c r="W1014" i="7"/>
  <c r="X1014" i="7" s="1"/>
  <c r="W1015" i="7"/>
  <c r="X1015" i="7" s="1"/>
  <c r="W1016" i="7"/>
  <c r="X1016" i="7" s="1"/>
  <c r="W1017" i="7"/>
  <c r="X1017" i="7" s="1"/>
  <c r="W1018" i="7"/>
  <c r="X1018" i="7" s="1"/>
  <c r="W1019" i="7"/>
  <c r="X1019" i="7" s="1"/>
  <c r="W1020" i="7"/>
  <c r="X1020" i="7" s="1"/>
  <c r="W1022" i="7"/>
  <c r="X1022" i="7" s="1"/>
  <c r="W1023" i="7"/>
  <c r="X1023" i="7" s="1"/>
  <c r="W1024" i="7"/>
  <c r="X1024" i="7" s="1"/>
  <c r="W1025" i="7"/>
  <c r="X1025" i="7" s="1"/>
  <c r="W1026" i="7"/>
  <c r="X1026" i="7" s="1"/>
  <c r="W1027" i="7"/>
  <c r="X1027" i="7" s="1"/>
  <c r="W1028" i="7"/>
  <c r="X1028" i="7" s="1"/>
  <c r="W1029" i="7"/>
  <c r="X1029" i="7" s="1"/>
  <c r="W1030" i="7"/>
  <c r="X1030" i="7" s="1"/>
  <c r="W1032" i="7"/>
  <c r="X1032" i="7" s="1"/>
  <c r="W1033" i="7"/>
  <c r="X1033" i="7" s="1"/>
  <c r="W1034" i="7"/>
  <c r="X1034" i="7" s="1"/>
  <c r="W1035" i="7"/>
  <c r="X1035" i="7" s="1"/>
  <c r="W1036" i="7"/>
  <c r="X1036" i="7" s="1"/>
  <c r="W1037" i="7"/>
  <c r="X1037" i="7" s="1"/>
  <c r="W1038" i="7"/>
  <c r="X1038" i="7" s="1"/>
  <c r="W1040" i="7"/>
  <c r="X1040" i="7" s="1"/>
  <c r="W1041" i="7"/>
  <c r="X1041" i="7" s="1"/>
  <c r="W1042" i="7"/>
  <c r="X1042" i="7" s="1"/>
  <c r="W1043" i="7"/>
  <c r="X1043" i="7" s="1"/>
  <c r="W1044" i="7"/>
  <c r="X1044" i="7" s="1"/>
  <c r="W1045" i="7"/>
  <c r="X1045" i="7" s="1"/>
  <c r="W1046" i="7"/>
  <c r="X1046" i="7" s="1"/>
  <c r="W1047" i="7"/>
  <c r="X1047" i="7" s="1"/>
  <c r="W1049" i="7"/>
  <c r="X1049" i="7" s="1"/>
  <c r="W1050" i="7"/>
  <c r="X1050" i="7" s="1"/>
  <c r="W1051" i="7"/>
  <c r="X1051" i="7" s="1"/>
  <c r="W1053" i="7"/>
  <c r="X1053" i="7" s="1"/>
  <c r="W1054" i="7"/>
  <c r="X1054" i="7" s="1"/>
  <c r="W1055" i="7"/>
  <c r="X1055" i="7" s="1"/>
  <c r="W1056" i="7"/>
  <c r="X1056" i="7" s="1"/>
  <c r="W1057" i="7"/>
  <c r="X1057" i="7" s="1"/>
  <c r="W1058" i="7"/>
  <c r="X1058" i="7" s="1"/>
  <c r="W1059" i="7"/>
  <c r="X1059" i="7" s="1"/>
  <c r="W1060" i="7"/>
  <c r="X1060" i="7" s="1"/>
  <c r="W1061" i="7"/>
  <c r="X1061" i="7" s="1"/>
  <c r="W1062" i="7"/>
  <c r="X1062" i="7" s="1"/>
  <c r="W1063" i="7"/>
  <c r="X1063" i="7" s="1"/>
  <c r="W1064" i="7"/>
  <c r="X1064" i="7" s="1"/>
  <c r="W1065" i="7"/>
  <c r="X1065" i="7" s="1"/>
  <c r="W1066" i="7"/>
  <c r="X1066" i="7" s="1"/>
  <c r="W1067" i="7"/>
  <c r="X1067" i="7" s="1"/>
  <c r="W1068" i="7"/>
  <c r="X1068" i="7" s="1"/>
  <c r="W1069" i="7"/>
  <c r="X1069" i="7" s="1"/>
  <c r="W1070" i="7"/>
  <c r="X1070" i="7" s="1"/>
  <c r="W1071" i="7"/>
  <c r="X1071" i="7" s="1"/>
  <c r="W1072" i="7"/>
  <c r="X1072" i="7" s="1"/>
  <c r="W1073" i="7"/>
  <c r="X1073" i="7" s="1"/>
  <c r="W1074" i="7"/>
  <c r="X1074" i="7" s="1"/>
  <c r="W1075" i="7"/>
  <c r="X1075" i="7" s="1"/>
  <c r="W1076" i="7"/>
  <c r="X1076" i="7" s="1"/>
  <c r="W1077" i="7"/>
  <c r="X1077" i="7" s="1"/>
  <c r="W1078" i="7"/>
  <c r="X1078" i="7" s="1"/>
  <c r="W1079" i="7"/>
  <c r="X1079" i="7" s="1"/>
  <c r="W1080" i="7"/>
  <c r="X1080" i="7" s="1"/>
  <c r="W1081" i="7"/>
  <c r="X1081" i="7" s="1"/>
  <c r="W1082" i="7"/>
  <c r="X1082" i="7" s="1"/>
  <c r="W1083" i="7"/>
  <c r="X1083" i="7" s="1"/>
  <c r="W1084" i="7"/>
  <c r="X1084" i="7" s="1"/>
  <c r="W1085" i="7"/>
  <c r="X1085" i="7" s="1"/>
  <c r="W1086" i="7"/>
  <c r="X1086" i="7" s="1"/>
  <c r="W1087" i="7"/>
  <c r="X1087" i="7" s="1"/>
  <c r="W1088" i="7"/>
  <c r="X1088" i="7" s="1"/>
  <c r="W1089" i="7"/>
  <c r="X1089" i="7" s="1"/>
  <c r="W1090" i="7"/>
  <c r="X1090" i="7" s="1"/>
  <c r="W1091" i="7"/>
  <c r="X1091" i="7" s="1"/>
  <c r="W1092" i="7"/>
  <c r="X1092" i="7" s="1"/>
  <c r="W1093" i="7"/>
  <c r="X1093" i="7" s="1"/>
  <c r="W1094" i="7"/>
  <c r="X1094" i="7" s="1"/>
  <c r="W1095" i="7"/>
  <c r="X1095" i="7" s="1"/>
  <c r="W1096" i="7"/>
  <c r="X1096" i="7" s="1"/>
  <c r="W1097" i="7"/>
  <c r="X1097" i="7" s="1"/>
  <c r="W1098" i="7"/>
  <c r="X1098" i="7" s="1"/>
  <c r="W1099" i="7"/>
  <c r="X1099" i="7" s="1"/>
  <c r="W1100" i="7"/>
  <c r="X1100" i="7" s="1"/>
  <c r="W1101" i="7"/>
  <c r="X1101" i="7" s="1"/>
  <c r="W1102" i="7"/>
  <c r="X1102" i="7" s="1"/>
  <c r="W1103" i="7"/>
  <c r="X1103" i="7" s="1"/>
  <c r="W1104" i="7"/>
  <c r="X1104" i="7" s="1"/>
  <c r="W1105" i="7"/>
  <c r="X1105" i="7" s="1"/>
  <c r="W1106" i="7"/>
  <c r="X1106" i="7" s="1"/>
  <c r="W1107" i="7"/>
  <c r="X1107" i="7" s="1"/>
  <c r="W1108" i="7"/>
  <c r="X1108" i="7" s="1"/>
  <c r="W1109" i="7"/>
  <c r="X1109" i="7" s="1"/>
  <c r="W1110" i="7"/>
  <c r="X1110" i="7" s="1"/>
  <c r="W1111" i="7"/>
  <c r="X1111" i="7" s="1"/>
  <c r="W1112" i="7"/>
  <c r="X1112" i="7" s="1"/>
  <c r="W1113" i="7"/>
  <c r="X1113" i="7" s="1"/>
  <c r="W1114" i="7"/>
  <c r="X1114" i="7" s="1"/>
  <c r="W1115" i="7"/>
  <c r="X1115" i="7" s="1"/>
  <c r="W1116" i="7"/>
  <c r="X1116" i="7" s="1"/>
  <c r="W1117" i="7"/>
  <c r="X1117" i="7" s="1"/>
  <c r="W1118" i="7"/>
  <c r="X1118" i="7" s="1"/>
  <c r="W1119" i="7"/>
  <c r="X1119" i="7" s="1"/>
  <c r="W1120" i="7"/>
  <c r="X1120" i="7" s="1"/>
  <c r="W1121" i="7"/>
  <c r="X1121" i="7" s="1"/>
  <c r="W1122" i="7"/>
  <c r="X1122" i="7" s="1"/>
  <c r="W1123" i="7"/>
  <c r="X1123" i="7" s="1"/>
  <c r="W1124" i="7"/>
  <c r="X1124" i="7" s="1"/>
  <c r="W1125" i="7"/>
  <c r="X1125" i="7" s="1"/>
  <c r="W1127" i="7"/>
  <c r="X1127" i="7" s="1"/>
  <c r="W1128" i="7"/>
  <c r="X1128" i="7" s="1"/>
  <c r="W1129" i="7"/>
  <c r="X1129" i="7" s="1"/>
  <c r="W1130" i="7"/>
  <c r="X1130" i="7" s="1"/>
  <c r="W1131" i="7"/>
  <c r="X1131" i="7" s="1"/>
  <c r="W1132" i="7"/>
  <c r="X1132" i="7" s="1"/>
  <c r="W1133" i="7"/>
  <c r="X1133" i="7" s="1"/>
  <c r="W1134" i="7"/>
  <c r="X1134" i="7" s="1"/>
  <c r="W1135" i="7"/>
  <c r="X1135" i="7" s="1"/>
  <c r="W1136" i="7"/>
  <c r="X1136" i="7" s="1"/>
  <c r="W1137" i="7"/>
  <c r="X1137" i="7" s="1"/>
  <c r="W1138" i="7"/>
  <c r="X1138" i="7" s="1"/>
  <c r="W1139" i="7"/>
  <c r="X1139" i="7" s="1"/>
  <c r="W1140" i="7"/>
  <c r="X1140" i="7" s="1"/>
  <c r="W1141" i="7"/>
  <c r="X1141" i="7" s="1"/>
  <c r="W1142" i="7"/>
  <c r="X1142" i="7" s="1"/>
  <c r="W1143" i="7"/>
  <c r="X1143" i="7" s="1"/>
  <c r="W1144" i="7"/>
  <c r="X1144" i="7" s="1"/>
  <c r="W1145" i="7"/>
  <c r="X1145" i="7" s="1"/>
  <c r="W1146" i="7"/>
  <c r="X1146" i="7" s="1"/>
  <c r="W1147" i="7"/>
  <c r="X1147" i="7" s="1"/>
  <c r="W1148" i="7"/>
  <c r="X1148" i="7" s="1"/>
  <c r="W1150" i="7"/>
  <c r="X1150" i="7" s="1"/>
  <c r="W1151" i="7"/>
  <c r="X1151" i="7" s="1"/>
  <c r="W1152" i="7"/>
  <c r="X1152" i="7" s="1"/>
  <c r="W1153" i="7"/>
  <c r="X1153" i="7" s="1"/>
  <c r="W1154" i="7"/>
  <c r="X1154" i="7" s="1"/>
  <c r="W1155" i="7"/>
  <c r="X1155" i="7" s="1"/>
  <c r="W1156" i="7"/>
  <c r="X1156" i="7" s="1"/>
  <c r="W1157" i="7"/>
  <c r="X1157" i="7" s="1"/>
  <c r="W1158" i="7"/>
  <c r="X1158" i="7" s="1"/>
  <c r="W1159" i="7"/>
  <c r="X1159" i="7" s="1"/>
  <c r="W1160" i="7"/>
  <c r="X1160" i="7" s="1"/>
  <c r="W1161" i="7"/>
  <c r="X1161" i="7" s="1"/>
  <c r="W1162" i="7"/>
  <c r="X1162" i="7" s="1"/>
  <c r="W1163" i="7"/>
  <c r="X1163" i="7" s="1"/>
  <c r="W1164" i="7"/>
  <c r="X1164" i="7" s="1"/>
  <c r="W1165" i="7"/>
  <c r="X1165" i="7" s="1"/>
  <c r="W1166" i="7"/>
  <c r="X1166" i="7" s="1"/>
  <c r="W1167" i="7"/>
  <c r="X1167" i="7" s="1"/>
  <c r="W1168" i="7"/>
  <c r="X1168" i="7" s="1"/>
  <c r="W1169" i="7"/>
  <c r="X1169" i="7" s="1"/>
  <c r="W1171" i="7"/>
  <c r="X1171" i="7" s="1"/>
  <c r="W1172" i="7"/>
  <c r="X1172" i="7" s="1"/>
  <c r="W1173" i="7"/>
  <c r="X1173" i="7" s="1"/>
  <c r="W1174" i="7"/>
  <c r="X1174" i="7" s="1"/>
  <c r="W1175" i="7"/>
  <c r="X1175" i="7" s="1"/>
  <c r="W1176" i="7"/>
  <c r="X1176" i="7" s="1"/>
  <c r="W1177" i="7"/>
  <c r="X1177" i="7" s="1"/>
  <c r="W1178" i="7"/>
  <c r="X1178" i="7" s="1"/>
  <c r="W1179" i="7"/>
  <c r="X1179" i="7" s="1"/>
  <c r="W1180" i="7"/>
  <c r="X1180" i="7" s="1"/>
  <c r="W1181" i="7"/>
  <c r="X1181" i="7" s="1"/>
  <c r="W1182" i="7"/>
  <c r="X1182" i="7" s="1"/>
  <c r="W1183" i="7"/>
  <c r="X1183" i="7" s="1"/>
  <c r="W1184" i="7"/>
  <c r="X1184" i="7" s="1"/>
  <c r="W1185" i="7"/>
  <c r="X1185" i="7" s="1"/>
  <c r="W1186" i="7"/>
  <c r="X1186" i="7" s="1"/>
  <c r="W1187" i="7"/>
  <c r="X1187" i="7" s="1"/>
  <c r="W1188" i="7"/>
  <c r="X1188" i="7" s="1"/>
  <c r="W1189" i="7"/>
  <c r="X1189" i="7" s="1"/>
  <c r="W1190" i="7"/>
  <c r="X1190" i="7" s="1"/>
  <c r="W1191" i="7"/>
  <c r="X1191" i="7" s="1"/>
  <c r="W1193" i="7"/>
  <c r="X1193" i="7" s="1"/>
  <c r="W1194" i="7"/>
  <c r="X1194" i="7" s="1"/>
  <c r="W1196" i="7"/>
  <c r="X1196" i="7" s="1"/>
  <c r="W1197" i="7"/>
  <c r="X1197" i="7" s="1"/>
  <c r="W1198" i="7"/>
  <c r="X1198" i="7" s="1"/>
  <c r="W1199" i="7"/>
  <c r="X1199" i="7" s="1"/>
  <c r="W1200" i="7"/>
  <c r="X1200" i="7" s="1"/>
  <c r="W1201" i="7"/>
  <c r="X1201" i="7" s="1"/>
  <c r="W1202" i="7"/>
  <c r="X1202" i="7" s="1"/>
  <c r="W1204" i="7"/>
  <c r="X1204" i="7" s="1"/>
  <c r="W1205" i="7"/>
  <c r="X1205" i="7" s="1"/>
  <c r="W1206" i="7"/>
  <c r="X1206" i="7" s="1"/>
  <c r="W1207" i="7"/>
  <c r="X1207" i="7" s="1"/>
  <c r="W1208" i="7"/>
  <c r="X1208" i="7" s="1"/>
  <c r="W1209" i="7"/>
  <c r="X1209" i="7" s="1"/>
  <c r="W1210" i="7"/>
  <c r="X1210" i="7" s="1"/>
  <c r="W1211" i="7"/>
  <c r="X1211" i="7" s="1"/>
  <c r="W1212" i="7"/>
  <c r="X1212" i="7" s="1"/>
  <c r="W1213" i="7"/>
  <c r="X1213" i="7" s="1"/>
  <c r="W1214" i="7"/>
  <c r="X1214" i="7" s="1"/>
  <c r="W1215" i="7"/>
  <c r="X1215" i="7" s="1"/>
  <c r="W1216" i="7"/>
  <c r="X1216" i="7" s="1"/>
  <c r="W1217" i="7"/>
  <c r="X1217" i="7" s="1"/>
  <c r="W1218" i="7"/>
  <c r="X1218" i="7" s="1"/>
  <c r="W1219" i="7"/>
  <c r="X1219" i="7" s="1"/>
  <c r="W1220" i="7"/>
  <c r="X1220" i="7" s="1"/>
  <c r="W1221" i="7"/>
  <c r="X1221" i="7" s="1"/>
  <c r="W1222" i="7"/>
  <c r="X1222" i="7" s="1"/>
  <c r="W1223" i="7"/>
  <c r="X1223" i="7" s="1"/>
  <c r="W1224" i="7"/>
  <c r="X1224" i="7" s="1"/>
  <c r="W1225" i="7"/>
  <c r="X1225" i="7" s="1"/>
  <c r="W1226" i="7"/>
  <c r="X1226" i="7" s="1"/>
  <c r="W1227" i="7"/>
  <c r="X1227" i="7" s="1"/>
  <c r="W1228" i="7"/>
  <c r="X1228" i="7" s="1"/>
  <c r="W1229" i="7"/>
  <c r="X1229" i="7" s="1"/>
  <c r="W1230" i="7"/>
  <c r="X1230" i="7" s="1"/>
  <c r="W1231" i="7"/>
  <c r="X1231" i="7" s="1"/>
  <c r="W1232" i="7"/>
  <c r="X1232" i="7" s="1"/>
  <c r="W1233" i="7"/>
  <c r="X1233" i="7" s="1"/>
  <c r="W1234" i="7"/>
  <c r="X1234" i="7" s="1"/>
  <c r="W1235" i="7"/>
  <c r="X1235" i="7" s="1"/>
  <c r="W1236" i="7"/>
  <c r="X1236" i="7" s="1"/>
  <c r="W1237" i="7"/>
  <c r="X1237" i="7" s="1"/>
  <c r="W1238" i="7"/>
  <c r="X1238" i="7" s="1"/>
  <c r="W1239" i="7"/>
  <c r="X1239" i="7" s="1"/>
  <c r="W1240" i="7"/>
  <c r="X1240" i="7" s="1"/>
  <c r="W1241" i="7"/>
  <c r="X1241" i="7" s="1"/>
  <c r="W1242" i="7"/>
  <c r="X1242" i="7" s="1"/>
  <c r="W1243" i="7"/>
  <c r="X1243" i="7" s="1"/>
  <c r="W1244" i="7"/>
  <c r="X1244" i="7" s="1"/>
  <c r="W1245" i="7"/>
  <c r="X1245" i="7" s="1"/>
  <c r="W1246" i="7"/>
  <c r="X1246" i="7" s="1"/>
  <c r="W1247" i="7"/>
  <c r="X1247" i="7" s="1"/>
  <c r="W1248" i="7"/>
  <c r="X1248" i="7" s="1"/>
  <c r="W1249" i="7"/>
  <c r="X1249" i="7" s="1"/>
  <c r="W1250" i="7"/>
  <c r="X1250" i="7" s="1"/>
  <c r="W1251" i="7"/>
  <c r="X1251" i="7" s="1"/>
  <c r="W1252" i="7"/>
  <c r="X1252" i="7" s="1"/>
  <c r="W1253" i="7"/>
  <c r="X1253" i="7" s="1"/>
  <c r="W1254" i="7"/>
  <c r="X1254" i="7" s="1"/>
  <c r="W1255" i="7"/>
  <c r="X1255" i="7" s="1"/>
  <c r="W1256" i="7"/>
  <c r="X1256" i="7" s="1"/>
  <c r="W1257" i="7"/>
  <c r="X1257" i="7" s="1"/>
  <c r="W1259" i="7"/>
  <c r="X1259" i="7" s="1"/>
  <c r="W1260" i="7"/>
  <c r="X1260" i="7" s="1"/>
  <c r="W1261" i="7"/>
  <c r="X1261" i="7" s="1"/>
  <c r="W1262" i="7"/>
  <c r="X1262" i="7" s="1"/>
  <c r="W1263" i="7"/>
  <c r="X1263" i="7" s="1"/>
  <c r="W1264" i="7"/>
  <c r="X1264" i="7" s="1"/>
  <c r="W1265" i="7"/>
  <c r="X1265" i="7" s="1"/>
  <c r="W1266" i="7"/>
  <c r="X1266" i="7" s="1"/>
  <c r="W1267" i="7"/>
  <c r="X1267" i="7" s="1"/>
  <c r="W1268" i="7"/>
  <c r="X1268" i="7" s="1"/>
  <c r="W1269" i="7"/>
  <c r="X1269" i="7" s="1"/>
  <c r="W1270" i="7"/>
  <c r="X1270" i="7" s="1"/>
  <c r="W1271" i="7"/>
  <c r="X1271" i="7" s="1"/>
  <c r="W1272" i="7"/>
  <c r="X1272" i="7" s="1"/>
  <c r="W1273" i="7"/>
  <c r="X1273" i="7" s="1"/>
  <c r="W1274" i="7"/>
  <c r="X1274" i="7" s="1"/>
  <c r="W1275" i="7"/>
  <c r="X1275" i="7" s="1"/>
  <c r="W1276" i="7"/>
  <c r="X1276" i="7" s="1"/>
  <c r="W1277" i="7"/>
  <c r="X1277" i="7" s="1"/>
  <c r="W1278" i="7"/>
  <c r="X1278" i="7" s="1"/>
  <c r="W1279" i="7"/>
  <c r="X1279" i="7" s="1"/>
  <c r="W1280" i="7"/>
  <c r="X1280" i="7" s="1"/>
  <c r="W1281" i="7"/>
  <c r="X1281" i="7" s="1"/>
  <c r="W1282" i="7"/>
  <c r="X1282" i="7" s="1"/>
  <c r="W1283" i="7"/>
  <c r="X1283" i="7" s="1"/>
  <c r="W1284" i="7"/>
  <c r="X1284" i="7" s="1"/>
  <c r="W1285" i="7"/>
  <c r="X1285" i="7" s="1"/>
  <c r="W1286" i="7"/>
  <c r="X1286" i="7" s="1"/>
  <c r="W1287" i="7"/>
  <c r="X1287" i="7" s="1"/>
  <c r="W1288" i="7"/>
  <c r="X1288" i="7" s="1"/>
  <c r="W1289" i="7"/>
  <c r="X1289" i="7" s="1"/>
  <c r="W1290" i="7"/>
  <c r="X1290" i="7" s="1"/>
  <c r="W1291" i="7"/>
  <c r="X1291" i="7" s="1"/>
  <c r="W1292" i="7"/>
  <c r="X1292" i="7" s="1"/>
  <c r="W1293" i="7"/>
  <c r="X1293" i="7" s="1"/>
  <c r="W1294" i="7"/>
  <c r="X1294" i="7" s="1"/>
  <c r="W1295" i="7"/>
  <c r="X1295" i="7" s="1"/>
  <c r="W1296" i="7"/>
  <c r="X1296" i="7" s="1"/>
  <c r="W1298" i="7"/>
  <c r="X1298" i="7" s="1"/>
  <c r="W1299" i="7"/>
  <c r="X1299" i="7" s="1"/>
  <c r="W1300" i="7"/>
  <c r="X1300" i="7" s="1"/>
  <c r="W1301" i="7"/>
  <c r="X1301" i="7" s="1"/>
  <c r="W1302" i="7"/>
  <c r="X1302" i="7" s="1"/>
  <c r="W1304" i="7"/>
  <c r="X1304" i="7" s="1"/>
  <c r="W1305" i="7"/>
  <c r="X1305" i="7" s="1"/>
  <c r="W1307" i="7"/>
  <c r="X1307" i="7" s="1"/>
  <c r="W1308" i="7"/>
  <c r="X1308" i="7" s="1"/>
  <c r="W1309" i="7"/>
  <c r="X1309" i="7" s="1"/>
  <c r="W1311" i="7"/>
  <c r="X1311" i="7" s="1"/>
  <c r="W1312" i="7"/>
  <c r="X1312" i="7" s="1"/>
  <c r="W1313" i="7"/>
  <c r="X1313" i="7" s="1"/>
  <c r="W1314" i="7"/>
  <c r="X1314" i="7" s="1"/>
  <c r="W1316" i="7"/>
  <c r="X1316" i="7" s="1"/>
  <c r="W1317" i="7"/>
  <c r="X1317" i="7" s="1"/>
  <c r="W1318" i="7"/>
  <c r="X1318" i="7" s="1"/>
  <c r="W1319" i="7"/>
  <c r="X1319" i="7" s="1"/>
  <c r="W1320" i="7"/>
  <c r="X1320" i="7" s="1"/>
  <c r="W1322" i="7"/>
  <c r="X1322" i="7" s="1"/>
  <c r="W1323" i="7"/>
  <c r="X1323" i="7" s="1"/>
  <c r="W1324" i="7"/>
  <c r="X1324" i="7" s="1"/>
  <c r="W1325" i="7"/>
  <c r="X1325" i="7" s="1"/>
  <c r="W1326" i="7"/>
  <c r="X1326" i="7" s="1"/>
  <c r="W1327" i="7"/>
  <c r="X1327" i="7" s="1"/>
  <c r="W1328" i="7"/>
  <c r="X1328" i="7" s="1"/>
  <c r="W1329" i="7"/>
  <c r="X1329" i="7" s="1"/>
  <c r="W1330" i="7"/>
  <c r="X1330" i="7" s="1"/>
  <c r="W1331" i="7"/>
  <c r="X1331" i="7" s="1"/>
  <c r="W1332" i="7"/>
  <c r="X1332" i="7" s="1"/>
  <c r="W1333" i="7"/>
  <c r="X1333" i="7" s="1"/>
  <c r="W1334" i="7"/>
  <c r="X1334" i="7" s="1"/>
  <c r="W1335" i="7"/>
  <c r="X1335" i="7" s="1"/>
  <c r="W1336" i="7"/>
  <c r="X1336" i="7" s="1"/>
  <c r="W1337" i="7"/>
  <c r="X1337" i="7" s="1"/>
  <c r="W1338" i="7"/>
  <c r="X1338" i="7" s="1"/>
  <c r="W1340" i="7"/>
  <c r="X1340" i="7" s="1"/>
  <c r="W1341" i="7"/>
  <c r="X1341" i="7" s="1"/>
  <c r="W1342" i="7"/>
  <c r="X1342" i="7" s="1"/>
  <c r="W1343" i="7"/>
  <c r="X1343" i="7" s="1"/>
  <c r="W1344" i="7"/>
  <c r="X1344" i="7" s="1"/>
  <c r="W1345" i="7"/>
  <c r="X1345" i="7" s="1"/>
  <c r="W1347" i="7"/>
  <c r="X1347" i="7" s="1"/>
  <c r="W1348" i="7"/>
  <c r="X1348" i="7" s="1"/>
  <c r="W1349" i="7"/>
  <c r="X1349" i="7" s="1"/>
  <c r="W1351" i="7"/>
  <c r="X1351" i="7" s="1"/>
  <c r="W1352" i="7"/>
  <c r="X1352" i="7" s="1"/>
  <c r="W1353" i="7"/>
  <c r="X1353" i="7" s="1"/>
  <c r="W1355" i="7"/>
  <c r="X1355" i="7" s="1"/>
  <c r="W1357" i="7"/>
  <c r="X1357" i="7" s="1"/>
  <c r="W1358" i="7"/>
  <c r="X1358" i="7" s="1"/>
  <c r="W1359" i="7"/>
  <c r="X1359" i="7" s="1"/>
  <c r="W1360" i="7"/>
  <c r="X1360" i="7" s="1"/>
  <c r="W1361" i="7"/>
  <c r="X1361" i="7" s="1"/>
  <c r="W1362" i="7"/>
  <c r="X1362" i="7" s="1"/>
  <c r="W1363" i="7"/>
  <c r="X1363" i="7" s="1"/>
  <c r="W1364" i="7"/>
  <c r="X1364" i="7" s="1"/>
  <c r="W1365" i="7"/>
  <c r="X1365" i="7" s="1"/>
  <c r="W1367" i="7"/>
  <c r="X1367" i="7" s="1"/>
  <c r="W1368" i="7"/>
  <c r="X1368" i="7" s="1"/>
  <c r="W1370" i="7"/>
  <c r="X1370" i="7" s="1"/>
  <c r="W1371" i="7"/>
  <c r="X1371" i="7" s="1"/>
  <c r="W1372" i="7"/>
  <c r="X1372" i="7" s="1"/>
  <c r="W1373" i="7"/>
  <c r="X1373" i="7" s="1"/>
  <c r="W1374" i="7"/>
  <c r="X1374" i="7" s="1"/>
  <c r="W1375" i="7"/>
  <c r="X1375" i="7" s="1"/>
  <c r="W1377" i="7"/>
  <c r="X1377" i="7" s="1"/>
  <c r="W1378" i="7"/>
  <c r="X1378" i="7" s="1"/>
  <c r="W1379" i="7"/>
  <c r="X1379" i="7" s="1"/>
  <c r="W1380" i="7"/>
  <c r="X1380" i="7" s="1"/>
  <c r="W1381" i="7"/>
  <c r="X1381" i="7" s="1"/>
  <c r="W1382" i="7"/>
  <c r="X1382" i="7" s="1"/>
  <c r="W1383" i="7"/>
  <c r="X1383" i="7" s="1"/>
  <c r="W1384" i="7"/>
  <c r="X1384" i="7" s="1"/>
  <c r="W1385" i="7"/>
  <c r="X1385" i="7" s="1"/>
  <c r="W1386" i="7"/>
  <c r="X1386" i="7" s="1"/>
  <c r="W1387" i="7"/>
  <c r="X1387" i="7" s="1"/>
  <c r="W1388" i="7"/>
  <c r="X1388" i="7" s="1"/>
  <c r="W1389" i="7"/>
  <c r="X1389" i="7" s="1"/>
  <c r="W1390" i="7"/>
  <c r="X1390" i="7" s="1"/>
  <c r="W1391" i="7"/>
  <c r="X1391" i="7" s="1"/>
  <c r="W1392" i="7"/>
  <c r="X1392" i="7" s="1"/>
  <c r="W1393" i="7"/>
  <c r="X1393" i="7" s="1"/>
  <c r="W1394" i="7"/>
  <c r="X1394" i="7" s="1"/>
  <c r="W1395" i="7"/>
  <c r="X1395" i="7" s="1"/>
  <c r="W1396" i="7"/>
  <c r="X1396" i="7" s="1"/>
  <c r="W1397" i="7"/>
  <c r="X1397" i="7" s="1"/>
  <c r="W1398" i="7"/>
  <c r="X1398" i="7" s="1"/>
  <c r="W1399" i="7"/>
  <c r="X1399" i="7" s="1"/>
  <c r="W1400" i="7"/>
  <c r="X1400" i="7" s="1"/>
  <c r="W1401" i="7"/>
  <c r="X1401" i="7" s="1"/>
  <c r="W1402" i="7"/>
  <c r="X1402" i="7" s="1"/>
  <c r="W1403" i="7"/>
  <c r="X1403" i="7" s="1"/>
  <c r="W1404" i="7"/>
  <c r="X1404" i="7" s="1"/>
  <c r="W1405" i="7"/>
  <c r="X1405" i="7" s="1"/>
  <c r="W1406" i="7"/>
  <c r="X1406" i="7" s="1"/>
  <c r="W1407" i="7"/>
  <c r="X1407" i="7" s="1"/>
  <c r="W1408" i="7"/>
  <c r="X1408" i="7" s="1"/>
  <c r="W1409" i="7"/>
  <c r="X1409" i="7" s="1"/>
  <c r="W1410" i="7"/>
  <c r="X1410" i="7" s="1"/>
  <c r="W1411" i="7"/>
  <c r="X1411" i="7" s="1"/>
  <c r="W1412" i="7"/>
  <c r="X1412" i="7" s="1"/>
  <c r="W1413" i="7"/>
  <c r="X1413" i="7" s="1"/>
  <c r="W1414" i="7"/>
  <c r="X1414" i="7" s="1"/>
  <c r="W1415" i="7"/>
  <c r="X1415" i="7" s="1"/>
  <c r="W1416" i="7"/>
  <c r="X1416" i="7" s="1"/>
  <c r="W1417" i="7"/>
  <c r="X1417" i="7" s="1"/>
  <c r="W1419" i="7"/>
  <c r="X1419" i="7" s="1"/>
  <c r="W1420" i="7"/>
  <c r="X1420" i="7" s="1"/>
  <c r="W1422" i="7"/>
  <c r="X1422" i="7" s="1"/>
  <c r="W1423" i="7"/>
  <c r="X1423" i="7" s="1"/>
  <c r="W1425" i="7"/>
  <c r="X1425" i="7" s="1"/>
  <c r="W1426" i="7"/>
  <c r="X1426" i="7" s="1"/>
  <c r="W1428" i="7"/>
  <c r="X1428" i="7" s="1"/>
  <c r="W1429" i="7"/>
  <c r="X1429" i="7" s="1"/>
  <c r="W1430" i="7"/>
  <c r="X1430" i="7" s="1"/>
  <c r="W1431" i="7"/>
  <c r="X1431" i="7" s="1"/>
  <c r="W1432" i="7"/>
  <c r="X1432" i="7" s="1"/>
  <c r="W1433" i="7"/>
  <c r="X1433" i="7" s="1"/>
  <c r="W1434" i="7"/>
  <c r="X1434" i="7" s="1"/>
  <c r="W1435" i="7"/>
  <c r="X1435" i="7" s="1"/>
  <c r="W1436" i="7"/>
  <c r="X1436" i="7" s="1"/>
  <c r="W1437" i="7"/>
  <c r="X1437" i="7" s="1"/>
  <c r="W1439" i="7"/>
  <c r="X1439" i="7" s="1"/>
  <c r="W1440" i="7"/>
  <c r="X1440" i="7" s="1"/>
  <c r="W1441" i="7"/>
  <c r="X1441" i="7" s="1"/>
  <c r="W1442" i="7"/>
  <c r="X1442" i="7" s="1"/>
  <c r="W1443" i="7"/>
  <c r="X1443" i="7" s="1"/>
  <c r="W1444" i="7"/>
  <c r="X1444" i="7" s="1"/>
  <c r="W1445" i="7"/>
  <c r="X1445" i="7" s="1"/>
  <c r="W1446" i="7"/>
  <c r="X1446" i="7" s="1"/>
  <c r="W1448" i="7"/>
  <c r="X1448" i="7" s="1"/>
  <c r="W1449" i="7"/>
  <c r="X1449" i="7" s="1"/>
  <c r="W1450" i="7"/>
  <c r="X1450" i="7" s="1"/>
  <c r="W1451" i="7"/>
  <c r="X1451" i="7" s="1"/>
  <c r="W1452" i="7"/>
  <c r="X1452" i="7" s="1"/>
  <c r="W1453" i="7"/>
  <c r="X1453" i="7" s="1"/>
  <c r="W1454" i="7"/>
  <c r="X1454" i="7" s="1"/>
  <c r="W1455" i="7"/>
  <c r="X1455" i="7" s="1"/>
  <c r="W1456" i="7"/>
  <c r="X1456" i="7" s="1"/>
  <c r="W1457" i="7"/>
  <c r="X1457" i="7" s="1"/>
  <c r="W1458" i="7"/>
  <c r="X1458" i="7" s="1"/>
  <c r="W1460" i="7"/>
  <c r="X1460" i="7" s="1"/>
  <c r="W1461" i="7"/>
  <c r="X1461" i="7" s="1"/>
  <c r="W1462" i="7"/>
  <c r="X1462" i="7" s="1"/>
  <c r="W1463" i="7"/>
  <c r="X1463" i="7" s="1"/>
  <c r="W1464" i="7"/>
  <c r="X1464" i="7" s="1"/>
  <c r="W1466" i="7"/>
  <c r="X1466" i="7" s="1"/>
  <c r="W1467" i="7"/>
  <c r="X1467" i="7" s="1"/>
  <c r="W1468" i="7"/>
  <c r="X1468" i="7" s="1"/>
  <c r="W1469" i="7"/>
  <c r="X1469" i="7" s="1"/>
  <c r="W1470" i="7"/>
  <c r="X1470" i="7" s="1"/>
  <c r="W1471" i="7"/>
  <c r="X1471" i="7" s="1"/>
  <c r="W1473" i="7"/>
  <c r="X1473" i="7" s="1"/>
  <c r="W1474" i="7"/>
  <c r="X1474" i="7" s="1"/>
  <c r="W1475" i="7"/>
  <c r="X1475" i="7" s="1"/>
  <c r="W1476" i="7"/>
  <c r="X1476" i="7" s="1"/>
  <c r="W1478" i="7"/>
  <c r="X1478" i="7" s="1"/>
  <c r="W1479" i="7"/>
  <c r="X1479" i="7" s="1"/>
  <c r="W1480" i="7"/>
  <c r="X1480" i="7" s="1"/>
  <c r="W1481" i="7"/>
  <c r="X1481" i="7" s="1"/>
  <c r="W1482" i="7"/>
  <c r="X1482" i="7" s="1"/>
  <c r="W1483" i="7"/>
  <c r="X1483" i="7" s="1"/>
  <c r="W1484" i="7"/>
  <c r="X1484" i="7" s="1"/>
  <c r="W1485" i="7"/>
  <c r="X1485" i="7" s="1"/>
  <c r="W1486" i="7"/>
  <c r="X1486" i="7" s="1"/>
  <c r="W1487" i="7"/>
  <c r="X1487" i="7" s="1"/>
  <c r="W1488" i="7"/>
  <c r="X1488" i="7" s="1"/>
  <c r="W1489" i="7"/>
  <c r="X1489" i="7" s="1"/>
  <c r="W1490" i="7"/>
  <c r="X1490" i="7" s="1"/>
  <c r="W1491" i="7"/>
  <c r="X1491" i="7" s="1"/>
  <c r="W1493" i="7"/>
  <c r="X1493" i="7" s="1"/>
  <c r="W1494" i="7"/>
  <c r="X1494" i="7" s="1"/>
  <c r="W1495" i="7"/>
  <c r="X1495" i="7" s="1"/>
  <c r="W1496" i="7"/>
  <c r="X1496" i="7" s="1"/>
  <c r="W1497" i="7"/>
  <c r="X1497" i="7" s="1"/>
  <c r="W1498" i="7"/>
  <c r="X1498" i="7" s="1"/>
  <c r="W1499" i="7"/>
  <c r="X1499" i="7" s="1"/>
  <c r="W1500" i="7"/>
  <c r="X1500" i="7" s="1"/>
  <c r="W1501" i="7"/>
  <c r="X1501" i="7" s="1"/>
  <c r="W1502" i="7"/>
  <c r="X1502" i="7" s="1"/>
  <c r="W1503" i="7"/>
  <c r="X1503" i="7" s="1"/>
  <c r="W1504" i="7"/>
  <c r="X1504" i="7" s="1"/>
  <c r="W1505" i="7"/>
  <c r="X1505" i="7" s="1"/>
  <c r="W1506" i="7"/>
  <c r="X1506" i="7" s="1"/>
  <c r="W1508" i="7"/>
  <c r="X1508" i="7" s="1"/>
  <c r="W1509" i="7"/>
  <c r="X1509" i="7" s="1"/>
  <c r="W1510" i="7"/>
  <c r="X1510" i="7" s="1"/>
  <c r="W1511" i="7"/>
  <c r="X1511" i="7" s="1"/>
  <c r="W1512" i="7"/>
  <c r="X1512" i="7" s="1"/>
  <c r="W1513" i="7"/>
  <c r="X1513" i="7" s="1"/>
  <c r="W1514" i="7"/>
  <c r="X1514" i="7" s="1"/>
  <c r="W1516" i="7"/>
  <c r="X1516" i="7" s="1"/>
  <c r="W1517" i="7"/>
  <c r="X1517" i="7" s="1"/>
  <c r="W1519" i="7"/>
  <c r="X1519" i="7" s="1"/>
  <c r="W1520" i="7"/>
  <c r="X1520" i="7" s="1"/>
  <c r="W1521" i="7"/>
  <c r="X1521" i="7" s="1"/>
  <c r="W1522" i="7"/>
  <c r="X1522" i="7" s="1"/>
  <c r="W1523" i="7"/>
  <c r="X1523" i="7" s="1"/>
  <c r="W1524" i="7"/>
  <c r="X1524" i="7" s="1"/>
  <c r="W1525" i="7"/>
  <c r="X1525" i="7" s="1"/>
  <c r="W1526" i="7"/>
  <c r="X1526" i="7" s="1"/>
  <c r="W1528" i="7"/>
  <c r="X1528" i="7" s="1"/>
  <c r="W1529" i="7"/>
  <c r="X1529" i="7" s="1"/>
  <c r="W1530" i="7"/>
  <c r="X1530" i="7" s="1"/>
  <c r="W1531" i="7"/>
  <c r="X1531" i="7" s="1"/>
  <c r="W1532" i="7"/>
  <c r="X1532" i="7" s="1"/>
  <c r="W1533" i="7"/>
  <c r="X1533" i="7" s="1"/>
  <c r="W1534" i="7"/>
  <c r="X1534" i="7" s="1"/>
  <c r="W1535" i="7"/>
  <c r="X1535" i="7" s="1"/>
  <c r="W1536" i="7"/>
  <c r="X1536" i="7" s="1"/>
  <c r="W1537" i="7"/>
  <c r="X1537" i="7" s="1"/>
  <c r="W1539" i="7"/>
  <c r="X1539" i="7" s="1"/>
  <c r="W1541" i="7"/>
  <c r="X1541" i="7" s="1"/>
  <c r="W1542" i="7"/>
  <c r="X1542" i="7" s="1"/>
  <c r="W1543" i="7"/>
  <c r="X1543" i="7" s="1"/>
  <c r="W1544" i="7"/>
  <c r="X1544" i="7" s="1"/>
  <c r="W1545" i="7"/>
  <c r="X1545" i="7" s="1"/>
  <c r="W1547" i="7"/>
  <c r="X1547" i="7" s="1"/>
  <c r="W1548" i="7"/>
  <c r="X1548" i="7" s="1"/>
  <c r="W1550" i="7"/>
  <c r="X1550" i="7" s="1"/>
  <c r="W1551" i="7"/>
  <c r="X1551" i="7" s="1"/>
  <c r="W1552" i="7"/>
  <c r="X1552" i="7" s="1"/>
  <c r="W1553" i="7"/>
  <c r="X1553" i="7" s="1"/>
  <c r="W1554" i="7"/>
  <c r="X1554" i="7" s="1"/>
  <c r="W1556" i="7"/>
  <c r="X1556" i="7" s="1"/>
  <c r="W1557" i="7"/>
  <c r="X1557" i="7" s="1"/>
  <c r="W1558" i="7"/>
  <c r="X1558" i="7" s="1"/>
  <c r="W1559" i="7"/>
  <c r="X1559" i="7" s="1"/>
  <c r="W1560" i="7"/>
  <c r="X1560" i="7" s="1"/>
  <c r="W1561" i="7"/>
  <c r="X1561" i="7" s="1"/>
  <c r="W1563" i="7"/>
  <c r="X1563" i="7" s="1"/>
  <c r="W1565" i="7"/>
  <c r="X1565" i="7" s="1"/>
  <c r="W1567" i="7"/>
  <c r="X1567" i="7" s="1"/>
  <c r="W1568" i="7"/>
  <c r="X1568" i="7" s="1"/>
  <c r="W1569" i="7"/>
  <c r="X1569" i="7" s="1"/>
  <c r="W1571" i="7"/>
  <c r="X1571" i="7" s="1"/>
  <c r="W1572" i="7"/>
  <c r="X1572" i="7" s="1"/>
  <c r="W1573" i="7"/>
  <c r="X1573" i="7" s="1"/>
  <c r="W1574" i="7"/>
  <c r="X1574" i="7" s="1"/>
  <c r="W1575" i="7"/>
  <c r="X1575" i="7" s="1"/>
  <c r="W1576" i="7"/>
  <c r="X1576" i="7" s="1"/>
  <c r="W1577" i="7"/>
  <c r="X1577" i="7" s="1"/>
  <c r="W1578" i="7"/>
  <c r="X1578" i="7" s="1"/>
  <c r="W1579" i="7"/>
  <c r="X1579" i="7" s="1"/>
  <c r="W1580" i="7"/>
  <c r="X1580" i="7" s="1"/>
  <c r="W1581" i="7"/>
  <c r="X1581" i="7" s="1"/>
  <c r="W1582" i="7"/>
  <c r="X1582" i="7" s="1"/>
  <c r="W1583" i="7"/>
  <c r="X1583" i="7" s="1"/>
  <c r="W1584" i="7"/>
  <c r="X1584" i="7" s="1"/>
  <c r="W1585" i="7"/>
  <c r="X1585" i="7" s="1"/>
  <c r="W1586" i="7"/>
  <c r="X1586" i="7" s="1"/>
  <c r="W1587" i="7"/>
  <c r="X1587" i="7" s="1"/>
  <c r="W1588" i="7"/>
  <c r="X1588" i="7" s="1"/>
  <c r="W1589" i="7"/>
  <c r="X1589" i="7" s="1"/>
  <c r="W1590" i="7"/>
  <c r="X1590" i="7" s="1"/>
  <c r="W1591" i="7"/>
  <c r="X1591" i="7" s="1"/>
  <c r="W1592" i="7"/>
  <c r="X1592" i="7" s="1"/>
  <c r="W1593" i="7"/>
  <c r="X1593" i="7" s="1"/>
  <c r="W1594" i="7"/>
  <c r="X1594" i="7" s="1"/>
  <c r="W1595" i="7"/>
  <c r="X1595" i="7" s="1"/>
  <c r="W1596" i="7"/>
  <c r="X1596" i="7" s="1"/>
  <c r="W1597" i="7"/>
  <c r="X1597" i="7" s="1"/>
  <c r="W1598" i="7"/>
  <c r="X1598" i="7" s="1"/>
  <c r="W1599" i="7"/>
  <c r="X1599" i="7" s="1"/>
  <c r="W1600" i="7"/>
  <c r="X1600" i="7" s="1"/>
  <c r="W1601" i="7"/>
  <c r="X1601" i="7" s="1"/>
  <c r="W1602" i="7"/>
  <c r="X1602" i="7" s="1"/>
  <c r="W1603" i="7"/>
  <c r="X1603" i="7" s="1"/>
  <c r="W1604" i="7"/>
  <c r="X1604" i="7" s="1"/>
  <c r="W1605" i="7"/>
  <c r="X1605" i="7" s="1"/>
  <c r="W1606" i="7"/>
  <c r="X1606" i="7" s="1"/>
  <c r="W1607" i="7"/>
  <c r="X1607" i="7" s="1"/>
  <c r="W1608" i="7"/>
  <c r="X1608" i="7" s="1"/>
  <c r="W1609" i="7"/>
  <c r="X1609" i="7" s="1"/>
  <c r="W1610" i="7"/>
  <c r="X1610" i="7" s="1"/>
  <c r="W1611" i="7"/>
  <c r="X1611" i="7" s="1"/>
  <c r="W1612" i="7"/>
  <c r="X1612" i="7" s="1"/>
  <c r="W1613" i="7"/>
  <c r="X1613" i="7" s="1"/>
  <c r="W1614" i="7"/>
  <c r="X1614" i="7" s="1"/>
  <c r="W1615" i="7"/>
  <c r="X1615" i="7" s="1"/>
  <c r="W1616" i="7"/>
  <c r="X1616" i="7" s="1"/>
  <c r="W1617" i="7"/>
  <c r="X1617" i="7" s="1"/>
  <c r="W1618" i="7"/>
  <c r="X1618" i="7" s="1"/>
  <c r="W1619" i="7"/>
  <c r="X1619" i="7" s="1"/>
  <c r="W1620" i="7"/>
  <c r="X1620" i="7" s="1"/>
  <c r="W1621" i="7"/>
  <c r="X1621" i="7" s="1"/>
  <c r="W1622" i="7"/>
  <c r="X1622" i="7" s="1"/>
  <c r="W1623" i="7"/>
  <c r="X1623" i="7" s="1"/>
  <c r="W1624" i="7"/>
  <c r="X1624" i="7" s="1"/>
  <c r="W1625" i="7"/>
  <c r="X1625" i="7" s="1"/>
  <c r="W1626" i="7"/>
  <c r="X1626" i="7" s="1"/>
  <c r="W1627" i="7"/>
  <c r="X1627" i="7" s="1"/>
  <c r="W1628" i="7"/>
  <c r="X1628" i="7" s="1"/>
  <c r="W1629" i="7"/>
  <c r="X1629" i="7" s="1"/>
  <c r="W1630" i="7"/>
  <c r="X1630" i="7" s="1"/>
  <c r="W1631" i="7"/>
  <c r="X1631" i="7" s="1"/>
  <c r="W1632" i="7"/>
  <c r="X1632" i="7" s="1"/>
  <c r="W1633" i="7"/>
  <c r="X1633" i="7" s="1"/>
  <c r="W1634" i="7"/>
  <c r="X1634" i="7" s="1"/>
  <c r="W1635" i="7"/>
  <c r="X1635" i="7" s="1"/>
  <c r="W1636" i="7"/>
  <c r="X1636" i="7" s="1"/>
  <c r="W1637" i="7"/>
  <c r="X1637" i="7" s="1"/>
  <c r="W1639" i="7"/>
  <c r="X1639" i="7" s="1"/>
  <c r="W1640" i="7"/>
  <c r="X1640" i="7" s="1"/>
  <c r="W1641" i="7"/>
  <c r="X1641" i="7" s="1"/>
  <c r="W1642" i="7"/>
  <c r="X1642" i="7" s="1"/>
  <c r="W1643" i="7"/>
  <c r="X1643" i="7" s="1"/>
  <c r="W1644" i="7"/>
  <c r="X1644" i="7" s="1"/>
  <c r="W1645" i="7"/>
  <c r="X1645" i="7" s="1"/>
  <c r="W1647" i="7"/>
  <c r="X1647" i="7" s="1"/>
  <c r="W1648" i="7"/>
  <c r="X1648" i="7" s="1"/>
  <c r="W1649" i="7"/>
  <c r="X1649" i="7" s="1"/>
  <c r="W1650" i="7"/>
  <c r="X1650" i="7" s="1"/>
  <c r="W1651" i="7"/>
  <c r="X1651" i="7" s="1"/>
  <c r="W1652" i="7"/>
  <c r="X1652" i="7" s="1"/>
  <c r="W1653" i="7"/>
  <c r="X1653" i="7" s="1"/>
  <c r="W1654" i="7"/>
  <c r="X1654" i="7" s="1"/>
  <c r="W1655" i="7"/>
  <c r="X1655" i="7" s="1"/>
  <c r="W1656" i="7"/>
  <c r="X1656" i="7" s="1"/>
  <c r="W1657" i="7"/>
  <c r="X1657" i="7" s="1"/>
  <c r="W1658" i="7"/>
  <c r="X1658" i="7" s="1"/>
  <c r="W1659" i="7"/>
  <c r="X1659" i="7" s="1"/>
  <c r="W1660" i="7"/>
  <c r="X1660" i="7" s="1"/>
  <c r="W1661" i="7"/>
  <c r="X1661" i="7" s="1"/>
  <c r="W1662" i="7"/>
  <c r="X1662" i="7" s="1"/>
  <c r="W1663" i="7"/>
  <c r="X1663" i="7" s="1"/>
  <c r="W1664" i="7"/>
  <c r="X1664" i="7" s="1"/>
  <c r="W1665" i="7"/>
  <c r="X1665" i="7" s="1"/>
  <c r="W1666" i="7"/>
  <c r="X1666" i="7" s="1"/>
  <c r="W1667" i="7"/>
  <c r="X1667" i="7" s="1"/>
  <c r="W1668" i="7"/>
  <c r="X1668" i="7" s="1"/>
  <c r="W1669" i="7"/>
  <c r="X1669" i="7" s="1"/>
  <c r="W1670" i="7"/>
  <c r="X1670" i="7" s="1"/>
  <c r="W1671" i="7"/>
  <c r="X1671" i="7" s="1"/>
  <c r="W1672" i="7"/>
  <c r="X1672" i="7" s="1"/>
  <c r="W1673" i="7"/>
  <c r="X1673" i="7" s="1"/>
  <c r="W1674" i="7"/>
  <c r="X1674" i="7" s="1"/>
  <c r="W1675" i="7"/>
  <c r="X1675" i="7" s="1"/>
  <c r="W1677" i="7"/>
  <c r="X1677" i="7" s="1"/>
  <c r="W1678" i="7"/>
  <c r="X1678" i="7" s="1"/>
  <c r="W1680" i="7"/>
  <c r="X1680" i="7" s="1"/>
  <c r="W1682" i="7"/>
  <c r="X1682" i="7" s="1"/>
  <c r="W1683" i="7"/>
  <c r="X1683" i="7" s="1"/>
  <c r="W1684" i="7"/>
  <c r="X1684" i="7" s="1"/>
  <c r="W1685" i="7"/>
  <c r="X1685" i="7" s="1"/>
  <c r="W1686" i="7"/>
  <c r="X1686" i="7" s="1"/>
  <c r="W1687" i="7"/>
  <c r="X1687" i="7" s="1"/>
  <c r="W1689" i="7"/>
  <c r="X1689" i="7" s="1"/>
  <c r="W1690" i="7"/>
  <c r="X1690" i="7" s="1"/>
  <c r="W1691" i="7"/>
  <c r="X1691" i="7" s="1"/>
  <c r="W1692" i="7"/>
  <c r="X1692" i="7" s="1"/>
  <c r="W1693" i="7"/>
  <c r="X1693" i="7" s="1"/>
  <c r="W1694" i="7"/>
  <c r="X1694" i="7" s="1"/>
  <c r="W1696" i="7"/>
  <c r="X1696" i="7" s="1"/>
  <c r="W1697" i="7"/>
  <c r="X1697" i="7" s="1"/>
  <c r="W1698" i="7"/>
  <c r="X1698" i="7" s="1"/>
  <c r="W1699" i="7"/>
  <c r="X1699" i="7" s="1"/>
  <c r="W1700" i="7"/>
  <c r="X1700" i="7" s="1"/>
  <c r="W1701" i="7"/>
  <c r="X1701" i="7" s="1"/>
  <c r="W1702" i="7"/>
  <c r="X1702" i="7" s="1"/>
  <c r="W1703" i="7"/>
  <c r="X1703" i="7" s="1"/>
  <c r="W1704" i="7"/>
  <c r="X1704" i="7" s="1"/>
  <c r="W1705" i="7"/>
  <c r="X1705" i="7" s="1"/>
  <c r="W1706" i="7"/>
  <c r="X1706" i="7" s="1"/>
  <c r="W1707" i="7"/>
  <c r="X1707" i="7" s="1"/>
  <c r="W1708" i="7"/>
  <c r="X1708" i="7" s="1"/>
  <c r="W1709" i="7"/>
  <c r="X1709" i="7" s="1"/>
  <c r="W1711" i="7"/>
  <c r="X1711" i="7" s="1"/>
  <c r="W1712" i="7"/>
  <c r="X1712" i="7" s="1"/>
  <c r="W1713" i="7"/>
  <c r="X1713" i="7" s="1"/>
  <c r="W1715" i="7"/>
  <c r="X1715" i="7" s="1"/>
  <c r="W1716" i="7"/>
  <c r="X1716" i="7" s="1"/>
  <c r="W1717" i="7"/>
  <c r="X1717" i="7" s="1"/>
  <c r="W1718" i="7"/>
  <c r="X1718" i="7" s="1"/>
  <c r="W1719" i="7"/>
  <c r="X1719" i="7" s="1"/>
  <c r="W1720" i="7"/>
  <c r="X1720" i="7" s="1"/>
  <c r="W1721" i="7"/>
  <c r="X1721" i="7" s="1"/>
  <c r="W1723" i="7"/>
  <c r="X1723" i="7" s="1"/>
  <c r="W1724" i="7"/>
  <c r="X1724" i="7" s="1"/>
  <c r="W1725" i="7"/>
  <c r="X1725" i="7" s="1"/>
  <c r="W1726" i="7"/>
  <c r="X1726" i="7" s="1"/>
  <c r="W1727" i="7"/>
  <c r="X1727" i="7" s="1"/>
  <c r="W1728" i="7"/>
  <c r="X1728" i="7" s="1"/>
  <c r="W1729" i="7"/>
  <c r="X1729" i="7" s="1"/>
  <c r="W1730" i="7"/>
  <c r="X1730" i="7" s="1"/>
  <c r="W1731" i="7"/>
  <c r="X1731" i="7" s="1"/>
  <c r="W1732" i="7"/>
  <c r="X1732" i="7" s="1"/>
  <c r="W1733" i="7"/>
  <c r="X1733" i="7" s="1"/>
  <c r="W1735" i="7"/>
  <c r="X1735" i="7" s="1"/>
  <c r="W1736" i="7"/>
  <c r="X1736" i="7" s="1"/>
  <c r="W1738" i="7"/>
  <c r="X1738" i="7" s="1"/>
  <c r="W1739" i="7"/>
  <c r="X1739" i="7" s="1"/>
  <c r="W1741" i="7"/>
  <c r="X1741" i="7" s="1"/>
  <c r="W1742" i="7"/>
  <c r="X1742" i="7" s="1"/>
  <c r="W1743" i="7"/>
  <c r="X1743" i="7" s="1"/>
  <c r="W1745" i="7"/>
  <c r="X1745" i="7" s="1"/>
  <c r="W1746" i="7"/>
  <c r="X1746" i="7" s="1"/>
  <c r="W1747" i="7"/>
  <c r="X1747" i="7" s="1"/>
  <c r="W1748" i="7"/>
  <c r="X1748" i="7" s="1"/>
  <c r="W1749" i="7"/>
  <c r="X1749" i="7" s="1"/>
  <c r="W1750" i="7"/>
  <c r="X1750" i="7" s="1"/>
  <c r="W1751" i="7"/>
  <c r="X1751" i="7" s="1"/>
  <c r="W1753" i="7"/>
  <c r="X1753" i="7" s="1"/>
  <c r="W1754" i="7"/>
  <c r="X1754" i="7" s="1"/>
  <c r="W1755" i="7"/>
  <c r="X1755" i="7" s="1"/>
  <c r="W1756" i="7"/>
  <c r="X1756" i="7" s="1"/>
  <c r="W1757" i="7"/>
  <c r="X1757" i="7" s="1"/>
  <c r="W1758" i="7"/>
  <c r="X1758" i="7" s="1"/>
  <c r="W1759" i="7"/>
  <c r="X1759" i="7" s="1"/>
  <c r="W1760" i="7"/>
  <c r="X1760" i="7" s="1"/>
  <c r="W1761" i="7"/>
  <c r="X1761" i="7" s="1"/>
  <c r="W1762" i="7"/>
  <c r="X1762" i="7" s="1"/>
  <c r="W1763" i="7"/>
  <c r="X1763" i="7" s="1"/>
  <c r="W1765" i="7"/>
  <c r="X1765" i="7" s="1"/>
  <c r="W1767" i="7"/>
  <c r="X1767" i="7" s="1"/>
  <c r="W1768" i="7"/>
  <c r="X1768" i="7" s="1"/>
  <c r="W1770" i="7"/>
  <c r="X1770" i="7" s="1"/>
  <c r="W1772" i="7"/>
  <c r="X1772" i="7" s="1"/>
  <c r="W1773" i="7"/>
  <c r="X1773" i="7" s="1"/>
  <c r="W1774" i="7"/>
  <c r="X1774" i="7" s="1"/>
  <c r="W1775" i="7"/>
  <c r="X1775" i="7" s="1"/>
  <c r="W1777" i="7"/>
  <c r="X1777" i="7" s="1"/>
  <c r="W1778" i="7"/>
  <c r="X1778" i="7" s="1"/>
  <c r="W1779" i="7"/>
  <c r="X1779" i="7" s="1"/>
  <c r="W1781" i="7"/>
  <c r="X1781" i="7" s="1"/>
  <c r="W1782" i="7"/>
  <c r="X1782" i="7" s="1"/>
  <c r="W1783" i="7"/>
  <c r="X1783" i="7" s="1"/>
  <c r="W1784" i="7"/>
  <c r="X1784" i="7" s="1"/>
  <c r="W1785" i="7"/>
  <c r="X1785" i="7" s="1"/>
  <c r="W1787" i="7"/>
  <c r="X1787" i="7" s="1"/>
  <c r="W1788" i="7"/>
  <c r="X1788" i="7" s="1"/>
  <c r="W1790" i="7"/>
  <c r="X1790" i="7" s="1"/>
  <c r="W1791" i="7"/>
  <c r="X1791" i="7" s="1"/>
  <c r="W1793" i="7"/>
  <c r="X1793" i="7" s="1"/>
  <c r="W1794" i="7"/>
  <c r="X1794" i="7" s="1"/>
  <c r="W1795" i="7"/>
  <c r="X1795" i="7" s="1"/>
  <c r="W1796" i="7"/>
  <c r="X1796" i="7" s="1"/>
  <c r="W1797" i="7"/>
  <c r="X1797" i="7" s="1"/>
  <c r="W1798" i="7"/>
  <c r="X1798" i="7" s="1"/>
  <c r="W1799" i="7"/>
  <c r="X1799" i="7" s="1"/>
  <c r="W1800" i="7"/>
  <c r="X1800" i="7" s="1"/>
  <c r="W1801" i="7"/>
  <c r="X1801" i="7" s="1"/>
  <c r="W1802" i="7"/>
  <c r="X1802" i="7" s="1"/>
  <c r="W1803" i="7"/>
  <c r="X1803" i="7" s="1"/>
  <c r="W1804" i="7"/>
  <c r="X1804" i="7" s="1"/>
  <c r="W1805" i="7"/>
  <c r="X1805" i="7" s="1"/>
  <c r="W1806" i="7"/>
  <c r="X1806" i="7" s="1"/>
  <c r="W1807" i="7"/>
  <c r="X1807" i="7" s="1"/>
  <c r="W1808" i="7"/>
  <c r="X1808" i="7" s="1"/>
  <c r="W1809" i="7"/>
  <c r="X1809" i="7" s="1"/>
  <c r="W1810" i="7"/>
  <c r="X1810" i="7" s="1"/>
  <c r="W1811" i="7"/>
  <c r="X1811" i="7" s="1"/>
  <c r="W1812" i="7"/>
  <c r="X1812" i="7" s="1"/>
  <c r="W1813" i="7"/>
  <c r="X1813" i="7" s="1"/>
  <c r="W1814" i="7"/>
  <c r="X1814" i="7" s="1"/>
  <c r="W1815" i="7"/>
  <c r="X1815" i="7" s="1"/>
  <c r="W1816" i="7"/>
  <c r="X1816" i="7" s="1"/>
  <c r="W1817" i="7"/>
  <c r="X1817" i="7" s="1"/>
  <c r="W1818" i="7"/>
  <c r="X1818" i="7" s="1"/>
  <c r="W1819" i="7"/>
  <c r="X1819" i="7" s="1"/>
  <c r="W1820" i="7"/>
  <c r="X1820" i="7" s="1"/>
  <c r="W1821" i="7"/>
  <c r="X1821" i="7" s="1"/>
  <c r="W1822" i="7"/>
  <c r="X1822" i="7" s="1"/>
  <c r="W1823" i="7"/>
  <c r="X1823" i="7" s="1"/>
  <c r="W1824" i="7"/>
  <c r="X1824" i="7" s="1"/>
  <c r="W1825" i="7"/>
  <c r="X1825" i="7" s="1"/>
  <c r="W1826" i="7"/>
  <c r="X1826" i="7" s="1"/>
  <c r="W1827" i="7"/>
  <c r="X1827" i="7" s="1"/>
  <c r="W1828" i="7"/>
  <c r="X1828" i="7" s="1"/>
  <c r="W1829" i="7"/>
  <c r="X1829" i="7" s="1"/>
  <c r="W1830" i="7"/>
  <c r="X1830" i="7" s="1"/>
  <c r="W1831" i="7"/>
  <c r="X1831" i="7" s="1"/>
  <c r="W1832" i="7"/>
  <c r="X1832" i="7" s="1"/>
  <c r="W1833" i="7"/>
  <c r="X1833" i="7" s="1"/>
  <c r="W1834" i="7"/>
  <c r="X1834" i="7" s="1"/>
  <c r="W1835" i="7"/>
  <c r="X1835" i="7" s="1"/>
  <c r="W1836" i="7"/>
  <c r="X1836" i="7" s="1"/>
  <c r="W1837" i="7"/>
  <c r="X1837" i="7" s="1"/>
  <c r="W1838" i="7"/>
  <c r="X1838" i="7" s="1"/>
  <c r="W1839" i="7"/>
  <c r="X1839" i="7" s="1"/>
  <c r="W1840" i="7"/>
  <c r="X1840" i="7" s="1"/>
  <c r="W1841" i="7"/>
  <c r="X1841" i="7" s="1"/>
  <c r="W1842" i="7"/>
  <c r="X1842" i="7" s="1"/>
  <c r="W1843" i="7"/>
  <c r="X1843" i="7" s="1"/>
  <c r="W1844" i="7"/>
  <c r="X1844" i="7" s="1"/>
  <c r="W1845" i="7"/>
  <c r="X1845" i="7" s="1"/>
  <c r="W1846" i="7"/>
  <c r="X1846" i="7" s="1"/>
  <c r="W1847" i="7"/>
  <c r="X1847" i="7" s="1"/>
  <c r="W1848" i="7"/>
  <c r="X1848" i="7" s="1"/>
  <c r="W1849" i="7"/>
  <c r="X1849" i="7" s="1"/>
  <c r="W1850" i="7"/>
  <c r="X1850" i="7" s="1"/>
  <c r="W1851" i="7"/>
  <c r="X1851" i="7" s="1"/>
  <c r="W1852" i="7"/>
  <c r="X1852" i="7" s="1"/>
  <c r="W1853" i="7"/>
  <c r="X1853" i="7" s="1"/>
  <c r="W1854" i="7"/>
  <c r="X1854" i="7" s="1"/>
  <c r="W1855" i="7"/>
  <c r="X1855" i="7" s="1"/>
  <c r="W1856" i="7"/>
  <c r="X1856" i="7" s="1"/>
  <c r="W1857" i="7"/>
  <c r="X1857" i="7" s="1"/>
  <c r="W1858" i="7"/>
  <c r="X1858" i="7" s="1"/>
  <c r="W1859" i="7"/>
  <c r="X1859" i="7" s="1"/>
  <c r="W1860" i="7"/>
  <c r="X1860" i="7" s="1"/>
  <c r="W1861" i="7"/>
  <c r="X1861" i="7" s="1"/>
  <c r="W1862" i="7"/>
  <c r="X1862" i="7" s="1"/>
  <c r="W1863" i="7"/>
  <c r="X1863" i="7" s="1"/>
  <c r="W1864" i="7"/>
  <c r="X1864" i="7" s="1"/>
  <c r="W1865" i="7"/>
  <c r="X1865" i="7" s="1"/>
  <c r="W1866" i="7"/>
  <c r="X1866" i="7" s="1"/>
  <c r="W1867" i="7"/>
  <c r="X1867" i="7" s="1"/>
  <c r="W1868" i="7"/>
  <c r="X1868" i="7" s="1"/>
  <c r="W1869" i="7"/>
  <c r="X1869" i="7" s="1"/>
  <c r="W1870" i="7"/>
  <c r="X1870" i="7" s="1"/>
  <c r="W1871" i="7"/>
  <c r="X1871" i="7" s="1"/>
  <c r="W1872" i="7"/>
  <c r="X1872" i="7" s="1"/>
  <c r="W1873" i="7"/>
  <c r="X1873" i="7" s="1"/>
  <c r="W1874" i="7"/>
  <c r="X1874" i="7" s="1"/>
  <c r="W1875" i="7"/>
  <c r="X1875" i="7" s="1"/>
  <c r="W1876" i="7"/>
  <c r="X1876" i="7" s="1"/>
  <c r="W1877" i="7"/>
  <c r="X1877" i="7" s="1"/>
  <c r="W1878" i="7"/>
  <c r="X1878" i="7" s="1"/>
  <c r="W1879" i="7"/>
  <c r="X1879" i="7" s="1"/>
  <c r="W1880" i="7"/>
  <c r="X1880" i="7" s="1"/>
  <c r="W1881" i="7"/>
  <c r="X1881" i="7" s="1"/>
  <c r="W1882" i="7"/>
  <c r="X1882" i="7" s="1"/>
  <c r="W1883" i="7"/>
  <c r="X1883" i="7" s="1"/>
  <c r="W1884" i="7"/>
  <c r="X1884" i="7" s="1"/>
  <c r="W1885" i="7"/>
  <c r="X1885" i="7" s="1"/>
  <c r="W1886" i="7"/>
  <c r="X1886" i="7" s="1"/>
  <c r="W1887" i="7"/>
  <c r="X1887" i="7" s="1"/>
  <c r="W1888" i="7"/>
  <c r="X1888" i="7" s="1"/>
  <c r="W1889" i="7"/>
  <c r="X1889" i="7" s="1"/>
  <c r="W1890" i="7"/>
  <c r="X1890" i="7" s="1"/>
  <c r="W1892" i="7"/>
  <c r="X1892" i="7" s="1"/>
  <c r="W1893" i="7"/>
  <c r="X1893" i="7" s="1"/>
  <c r="W1894" i="7"/>
  <c r="X1894" i="7" s="1"/>
  <c r="W1895" i="7"/>
  <c r="X1895" i="7" s="1"/>
  <c r="W1896" i="7"/>
  <c r="X1896" i="7" s="1"/>
  <c r="W1897" i="7"/>
  <c r="X1897" i="7" s="1"/>
  <c r="W1898" i="7"/>
  <c r="X1898" i="7" s="1"/>
  <c r="W1899" i="7"/>
  <c r="X1899" i="7" s="1"/>
  <c r="W1900" i="7"/>
  <c r="X1900" i="7" s="1"/>
  <c r="W1901" i="7"/>
  <c r="X1901" i="7" s="1"/>
  <c r="W1902" i="7"/>
  <c r="X1902" i="7" s="1"/>
  <c r="W1904" i="7"/>
  <c r="X1904" i="7" s="1"/>
  <c r="W1905" i="7"/>
  <c r="X1905" i="7" s="1"/>
  <c r="W1907" i="7"/>
  <c r="X1907" i="7" s="1"/>
  <c r="W1908" i="7"/>
  <c r="X1908" i="7" s="1"/>
  <c r="W1909" i="7"/>
  <c r="X1909" i="7" s="1"/>
  <c r="W1910" i="7"/>
  <c r="X1910" i="7" s="1"/>
  <c r="W1911" i="7"/>
  <c r="X1911" i="7" s="1"/>
  <c r="W1912" i="7"/>
  <c r="X1912" i="7" s="1"/>
  <c r="W1913" i="7"/>
  <c r="X1913" i="7" s="1"/>
  <c r="W1914" i="7"/>
  <c r="X1914" i="7" s="1"/>
  <c r="W1915" i="7"/>
  <c r="X1915" i="7" s="1"/>
  <c r="W1916" i="7"/>
  <c r="X1916" i="7" s="1"/>
  <c r="W1918" i="7"/>
  <c r="X1918" i="7" s="1"/>
  <c r="W1920" i="7"/>
  <c r="X1920" i="7" s="1"/>
  <c r="W1921" i="7"/>
  <c r="X1921" i="7" s="1"/>
  <c r="W1922" i="7"/>
  <c r="X1922" i="7" s="1"/>
  <c r="W1923" i="7"/>
  <c r="X1923" i="7" s="1"/>
  <c r="W1924" i="7"/>
  <c r="X1924" i="7" s="1"/>
  <c r="W1925" i="7"/>
  <c r="X1925" i="7" s="1"/>
  <c r="W1926" i="7"/>
  <c r="X1926" i="7" s="1"/>
  <c r="W1927" i="7"/>
  <c r="X1927" i="7" s="1"/>
  <c r="W1928" i="7"/>
  <c r="X1928" i="7" s="1"/>
  <c r="W1929" i="7"/>
  <c r="X1929" i="7" s="1"/>
  <c r="W1930" i="7"/>
  <c r="X1930" i="7" s="1"/>
  <c r="W1931" i="7"/>
  <c r="X1931" i="7" s="1"/>
  <c r="W1932" i="7"/>
  <c r="X1932" i="7" s="1"/>
  <c r="W1933" i="7"/>
  <c r="X1933" i="7" s="1"/>
  <c r="W1934" i="7"/>
  <c r="X1934" i="7" s="1"/>
  <c r="W1935" i="7"/>
  <c r="X1935" i="7" s="1"/>
  <c r="W1936" i="7"/>
  <c r="X1936" i="7" s="1"/>
  <c r="W1937" i="7"/>
  <c r="X1937" i="7" s="1"/>
  <c r="W1938" i="7"/>
  <c r="X1938" i="7" s="1"/>
  <c r="W1939" i="7"/>
  <c r="X1939" i="7" s="1"/>
  <c r="W1940" i="7"/>
  <c r="X1940" i="7" s="1"/>
  <c r="W1941" i="7"/>
  <c r="X1941" i="7" s="1"/>
  <c r="W1942" i="7"/>
  <c r="X1942" i="7" s="1"/>
  <c r="W1943" i="7"/>
  <c r="X1943" i="7" s="1"/>
  <c r="W1944" i="7"/>
  <c r="X1944" i="7" s="1"/>
  <c r="W1945" i="7"/>
  <c r="X1945" i="7" s="1"/>
  <c r="W1946" i="7"/>
  <c r="X1946" i="7" s="1"/>
  <c r="W1947" i="7"/>
  <c r="X1947" i="7" s="1"/>
  <c r="W1948" i="7"/>
  <c r="X1948" i="7" s="1"/>
  <c r="W1949" i="7"/>
  <c r="X1949" i="7" s="1"/>
  <c r="W1950" i="7"/>
  <c r="X1950" i="7" s="1"/>
  <c r="W1952" i="7"/>
  <c r="X1952" i="7" s="1"/>
  <c r="W1953" i="7"/>
  <c r="X1953" i="7" s="1"/>
  <c r="W1954" i="7"/>
  <c r="X1954" i="7" s="1"/>
  <c r="W1955" i="7"/>
  <c r="X1955" i="7" s="1"/>
  <c r="W1956" i="7"/>
  <c r="X1956" i="7" s="1"/>
  <c r="W1957" i="7"/>
  <c r="X1957" i="7" s="1"/>
  <c r="W1958" i="7"/>
  <c r="X1958" i="7" s="1"/>
  <c r="W1959" i="7"/>
  <c r="X1959" i="7" s="1"/>
  <c r="W1960" i="7"/>
  <c r="X1960" i="7" s="1"/>
  <c r="W1961" i="7"/>
  <c r="X1961" i="7" s="1"/>
  <c r="W1962" i="7"/>
  <c r="X1962" i="7" s="1"/>
  <c r="W1963" i="7"/>
  <c r="X1963" i="7" s="1"/>
  <c r="W1964" i="7"/>
  <c r="X1964" i="7" s="1"/>
  <c r="W1965" i="7"/>
  <c r="X1965" i="7" s="1"/>
  <c r="W1966" i="7"/>
  <c r="X1966" i="7" s="1"/>
  <c r="W1967" i="7"/>
  <c r="X1967" i="7" s="1"/>
  <c r="W1968" i="7"/>
  <c r="X1968" i="7" s="1"/>
  <c r="W1969" i="7"/>
  <c r="X1969" i="7" s="1"/>
  <c r="W1970" i="7"/>
  <c r="X1970" i="7" s="1"/>
  <c r="W1971" i="7"/>
  <c r="X1971" i="7" s="1"/>
  <c r="W1972" i="7"/>
  <c r="X1972" i="7" s="1"/>
  <c r="W1973" i="7"/>
  <c r="X1973" i="7" s="1"/>
  <c r="W1974" i="7"/>
  <c r="X1974" i="7" s="1"/>
  <c r="W1975" i="7"/>
  <c r="X1975" i="7" s="1"/>
  <c r="W1976" i="7"/>
  <c r="X1976" i="7" s="1"/>
  <c r="W1977" i="7"/>
  <c r="X1977" i="7" s="1"/>
  <c r="W1979" i="7"/>
  <c r="X1979" i="7" s="1"/>
  <c r="W1980" i="7"/>
  <c r="X1980" i="7" s="1"/>
  <c r="W1981" i="7"/>
  <c r="X1981" i="7" s="1"/>
  <c r="W1982" i="7"/>
  <c r="X1982" i="7" s="1"/>
  <c r="W1983" i="7"/>
  <c r="X1983" i="7" s="1"/>
  <c r="W1984" i="7"/>
  <c r="X1984" i="7" s="1"/>
  <c r="W1985" i="7"/>
  <c r="X1985" i="7" s="1"/>
  <c r="W1986" i="7"/>
  <c r="X1986" i="7" s="1"/>
  <c r="W1988" i="7"/>
  <c r="X1988" i="7" s="1"/>
  <c r="W1989" i="7"/>
  <c r="X1989" i="7" s="1"/>
  <c r="W1990" i="7"/>
  <c r="X1990" i="7" s="1"/>
  <c r="W1991" i="7"/>
  <c r="X1991" i="7" s="1"/>
  <c r="W1992" i="7"/>
  <c r="X1992" i="7" s="1"/>
  <c r="W1993" i="7"/>
  <c r="X1993" i="7" s="1"/>
  <c r="W1994" i="7"/>
  <c r="X1994" i="7" s="1"/>
  <c r="W1995" i="7"/>
  <c r="X1995" i="7" s="1"/>
  <c r="W1996" i="7"/>
  <c r="X1996" i="7" s="1"/>
  <c r="W1997" i="7"/>
  <c r="X1997" i="7" s="1"/>
  <c r="W1998" i="7"/>
  <c r="X1998" i="7" s="1"/>
  <c r="W1999" i="7"/>
  <c r="X1999" i="7" s="1"/>
  <c r="W2000" i="7"/>
  <c r="X2000" i="7" s="1"/>
  <c r="W2001" i="7"/>
  <c r="X2001" i="7" s="1"/>
  <c r="W2002" i="7"/>
  <c r="X2002" i="7" s="1"/>
  <c r="W2003" i="7"/>
  <c r="X2003" i="7" s="1"/>
  <c r="W2004" i="7"/>
  <c r="X2004" i="7" s="1"/>
  <c r="W2005" i="7"/>
  <c r="X2005" i="7" s="1"/>
  <c r="W2006" i="7"/>
  <c r="X2006" i="7" s="1"/>
  <c r="W2007" i="7"/>
  <c r="X2007" i="7" s="1"/>
  <c r="W2009" i="7"/>
  <c r="X2009" i="7" s="1"/>
  <c r="W2010" i="7"/>
  <c r="X2010" i="7" s="1"/>
  <c r="W2011" i="7"/>
  <c r="X2011" i="7" s="1"/>
  <c r="W2012" i="7"/>
  <c r="X2012" i="7" s="1"/>
  <c r="W2013" i="7"/>
  <c r="X2013" i="7" s="1"/>
  <c r="W2014" i="7"/>
  <c r="X2014" i="7" s="1"/>
  <c r="W2015" i="7"/>
  <c r="X2015" i="7" s="1"/>
  <c r="W2016" i="7"/>
  <c r="X2016" i="7" s="1"/>
  <c r="W2017" i="7"/>
  <c r="X2017" i="7" s="1"/>
  <c r="W2018" i="7"/>
  <c r="X2018" i="7" s="1"/>
  <c r="W2019" i="7"/>
  <c r="X2019" i="7" s="1"/>
  <c r="W2021" i="7"/>
  <c r="X2021" i="7" s="1"/>
  <c r="W2022" i="7"/>
  <c r="X2022" i="7" s="1"/>
  <c r="W2023" i="7"/>
  <c r="X2023" i="7" s="1"/>
  <c r="W2024" i="7"/>
  <c r="X2024" i="7" s="1"/>
  <c r="W2025" i="7"/>
  <c r="X2025" i="7" s="1"/>
  <c r="W2026" i="7"/>
  <c r="X2026" i="7" s="1"/>
  <c r="W2027" i="7"/>
  <c r="X2027" i="7" s="1"/>
  <c r="W2028" i="7"/>
  <c r="X2028" i="7" s="1"/>
  <c r="W2029" i="7"/>
  <c r="X2029" i="7" s="1"/>
  <c r="W2030" i="7"/>
  <c r="X2030" i="7" s="1"/>
  <c r="W2031" i="7"/>
  <c r="X2031" i="7" s="1"/>
  <c r="W2032" i="7"/>
  <c r="X2032" i="7" s="1"/>
  <c r="W2033" i="7"/>
  <c r="X2033" i="7" s="1"/>
  <c r="W2034" i="7"/>
  <c r="X2034" i="7" s="1"/>
  <c r="W2036" i="7"/>
  <c r="X2036" i="7" s="1"/>
  <c r="W2037" i="7"/>
  <c r="X2037" i="7" s="1"/>
  <c r="W2038" i="7"/>
  <c r="X2038" i="7" s="1"/>
  <c r="W2039" i="7"/>
  <c r="X2039" i="7" s="1"/>
  <c r="W2040" i="7"/>
  <c r="X2040" i="7" s="1"/>
  <c r="W2041" i="7"/>
  <c r="X2041" i="7" s="1"/>
  <c r="W2042" i="7"/>
  <c r="X2042" i="7" s="1"/>
  <c r="W2043" i="7"/>
  <c r="X2043" i="7" s="1"/>
  <c r="W2044" i="7"/>
  <c r="X2044" i="7" s="1"/>
  <c r="W2045" i="7"/>
  <c r="X2045" i="7" s="1"/>
  <c r="W2046" i="7"/>
  <c r="X2046" i="7" s="1"/>
  <c r="W2047" i="7"/>
  <c r="X2047" i="7" s="1"/>
  <c r="W2048" i="7"/>
  <c r="X2048" i="7" s="1"/>
  <c r="W2049" i="7"/>
  <c r="X2049" i="7" s="1"/>
  <c r="W2050" i="7"/>
  <c r="X2050" i="7" s="1"/>
  <c r="W2051" i="7"/>
  <c r="X2051" i="7" s="1"/>
  <c r="W2052" i="7"/>
  <c r="X2052" i="7" s="1"/>
  <c r="W2053" i="7"/>
  <c r="X2053" i="7" s="1"/>
  <c r="W5" i="7"/>
  <c r="X5" i="7" s="1"/>
  <c r="Q842" i="7" l="1"/>
  <c r="R842" i="7" s="1"/>
  <c r="P459" i="7"/>
  <c r="Q192" i="7" l="1"/>
  <c r="R192" i="7" s="1"/>
  <c r="Q86" i="7"/>
  <c r="Q88" i="7"/>
  <c r="Q89" i="7"/>
  <c r="Q91" i="7"/>
  <c r="Q93" i="7"/>
  <c r="Q95" i="7"/>
  <c r="Q97" i="7"/>
  <c r="Q99" i="7"/>
  <c r="Q101" i="7"/>
  <c r="P489" i="7"/>
  <c r="P1540" i="7"/>
  <c r="Q107" i="7"/>
  <c r="Q106" i="7"/>
  <c r="Q104" i="7"/>
  <c r="Q102" i="7"/>
  <c r="P1564" i="7"/>
  <c r="P1766" i="7"/>
  <c r="P978" i="7"/>
  <c r="P1350" i="7"/>
  <c r="P1369" i="7"/>
  <c r="P487" i="7"/>
  <c r="P117" i="7"/>
  <c r="P121" i="7"/>
  <c r="P1052" i="7"/>
  <c r="P171" i="7"/>
  <c r="P168" i="7"/>
  <c r="P336" i="7"/>
  <c r="Q494" i="7"/>
  <c r="Q800" i="7"/>
  <c r="Q955" i="7"/>
  <c r="Q1247" i="7"/>
  <c r="Q1392" i="7"/>
  <c r="Q1691" i="7"/>
  <c r="Q1970" i="7"/>
  <c r="Q1996" i="7"/>
  <c r="Q283" i="7"/>
  <c r="Q300" i="7"/>
  <c r="Q326" i="7"/>
  <c r="Q404" i="7"/>
  <c r="Q517" i="7"/>
  <c r="Q1212" i="7"/>
  <c r="Q1463" i="7"/>
  <c r="Q1493" i="7"/>
  <c r="Q1651" i="7"/>
  <c r="Q1894" i="7"/>
  <c r="Q1943" i="7"/>
  <c r="Q1953" i="7"/>
  <c r="Q1961" i="7"/>
  <c r="Q623" i="7"/>
  <c r="Q631" i="7"/>
  <c r="Q961" i="7"/>
  <c r="Q962" i="7"/>
  <c r="Q980" i="7"/>
  <c r="Q1368" i="7"/>
  <c r="Q1984" i="7"/>
  <c r="Q1993" i="7"/>
  <c r="Q188" i="7"/>
  <c r="Q119" i="7"/>
  <c r="Q129" i="7"/>
  <c r="Q191" i="7"/>
  <c r="Q199" i="7"/>
  <c r="Q224" i="7"/>
  <c r="Q225" i="7"/>
  <c r="Q232" i="7"/>
  <c r="Q297" i="7"/>
  <c r="Q409" i="7"/>
  <c r="Q533" i="7"/>
  <c r="Q590" i="7"/>
  <c r="Q606" i="7"/>
  <c r="Q621" i="7"/>
  <c r="Q1353" i="7"/>
  <c r="Q1639" i="7"/>
  <c r="Q1673" i="7"/>
  <c r="Q1747" i="7"/>
  <c r="Q181" i="7"/>
  <c r="Q1374" i="7"/>
  <c r="Q1521" i="7"/>
  <c r="Q1845" i="7"/>
  <c r="Q1931" i="7"/>
  <c r="Q1982" i="7"/>
  <c r="Q1990" i="7"/>
  <c r="Q1999" i="7"/>
  <c r="Q2006" i="7"/>
  <c r="Q2033" i="7"/>
  <c r="Q332" i="7"/>
  <c r="Q415" i="7"/>
  <c r="Q503" i="7"/>
  <c r="Q769" i="7"/>
  <c r="Q802" i="7"/>
  <c r="Q1348" i="7"/>
  <c r="Q1431" i="7"/>
  <c r="Q1439" i="7"/>
  <c r="Q1457" i="7"/>
  <c r="Q127" i="7"/>
  <c r="Q145" i="7"/>
  <c r="Q250" i="7"/>
  <c r="Q355" i="7"/>
  <c r="Q426" i="7"/>
  <c r="Q650" i="7"/>
  <c r="Q787" i="7"/>
  <c r="Q789" i="7"/>
  <c r="Q794" i="7"/>
  <c r="Q795" i="7"/>
  <c r="Q796" i="7"/>
  <c r="Q944" i="7"/>
  <c r="Q1248" i="7"/>
  <c r="Q1256" i="7"/>
  <c r="Q1301" i="7"/>
  <c r="Q1312" i="7"/>
  <c r="Q1331" i="7"/>
  <c r="Q1379" i="7"/>
  <c r="Q1390" i="7"/>
  <c r="Q1399" i="7"/>
  <c r="Q1455" i="7"/>
  <c r="Q1544" i="7"/>
  <c r="Q1624" i="7"/>
  <c r="Q1643" i="7"/>
  <c r="Q1669" i="7"/>
  <c r="Q1731" i="7"/>
  <c r="Q1799" i="7"/>
  <c r="Q1823" i="7"/>
  <c r="Q1831" i="7"/>
  <c r="Q2049" i="7"/>
  <c r="Q143" i="7"/>
  <c r="Q196" i="7"/>
  <c r="Q230" i="7"/>
  <c r="Q278" i="7"/>
  <c r="Q370" i="7"/>
  <c r="Q458" i="7"/>
  <c r="Q459" i="7" s="1"/>
  <c r="Q468" i="7"/>
  <c r="Q664" i="7"/>
  <c r="Q757" i="7"/>
  <c r="Q775" i="7"/>
  <c r="Q866" i="7"/>
  <c r="Q942" i="7"/>
  <c r="Q951" i="7"/>
  <c r="Q1069" i="7"/>
  <c r="Q1169" i="7"/>
  <c r="Q1482" i="7"/>
  <c r="Q1490" i="7"/>
  <c r="Q1500" i="7"/>
  <c r="Q1574" i="7"/>
  <c r="Q1582" i="7"/>
  <c r="Q1598" i="7"/>
  <c r="Q1606" i="7"/>
  <c r="Q1614" i="7"/>
  <c r="Q1632" i="7"/>
  <c r="Q1805" i="7"/>
  <c r="Q1821" i="7"/>
  <c r="Q1855" i="7"/>
  <c r="Q1863" i="7"/>
  <c r="Q1967" i="7"/>
  <c r="Q1969" i="7"/>
  <c r="Q1986" i="7"/>
  <c r="Q105" i="7"/>
  <c r="Q113" i="7"/>
  <c r="Q151" i="7"/>
  <c r="Q158" i="7"/>
  <c r="Q204" i="7"/>
  <c r="Q303" i="7"/>
  <c r="Q312" i="7"/>
  <c r="Q411" i="7"/>
  <c r="Q475" i="7"/>
  <c r="Q615" i="7"/>
  <c r="Q663" i="7"/>
  <c r="Q782" i="7"/>
  <c r="Q840" i="7"/>
  <c r="Q882" i="7"/>
  <c r="Q931" i="7"/>
  <c r="Q1041" i="7"/>
  <c r="Q1109" i="7"/>
  <c r="Q1159" i="7"/>
  <c r="Q1177" i="7"/>
  <c r="Q1210" i="7"/>
  <c r="Q1218" i="7"/>
  <c r="Q1226" i="7"/>
  <c r="Q1349" i="7"/>
  <c r="Q1351" i="7"/>
  <c r="Q1367" i="7"/>
  <c r="Q1387" i="7"/>
  <c r="Q1426" i="7"/>
  <c r="Q1444" i="7"/>
  <c r="Q1453" i="7"/>
  <c r="Q1464" i="7"/>
  <c r="Q1480" i="7"/>
  <c r="Q1498" i="7"/>
  <c r="Q1531" i="7"/>
  <c r="Q1649" i="7"/>
  <c r="Q1657" i="7"/>
  <c r="Q1698" i="7"/>
  <c r="Q1775" i="7"/>
  <c r="Q1887" i="7"/>
  <c r="Q1898" i="7"/>
  <c r="Q1914" i="7"/>
  <c r="Q2002" i="7"/>
  <c r="Q2011" i="7"/>
  <c r="Q1029" i="7"/>
  <c r="Q1067" i="7"/>
  <c r="Q1083" i="7"/>
  <c r="Q1091" i="7"/>
  <c r="Q1100" i="7"/>
  <c r="Q1242" i="7"/>
  <c r="Q1252" i="7"/>
  <c r="Q193" i="7"/>
  <c r="Q210" i="7"/>
  <c r="Q235" i="7"/>
  <c r="Q292" i="7"/>
  <c r="Q400" i="7"/>
  <c r="Q464" i="7"/>
  <c r="Q473" i="7"/>
  <c r="Q521" i="7"/>
  <c r="Q653" i="7"/>
  <c r="Q694" i="7"/>
  <c r="Q702" i="7"/>
  <c r="Q710" i="7"/>
  <c r="Q718" i="7"/>
  <c r="Q726" i="7"/>
  <c r="Q846" i="7"/>
  <c r="Q903" i="7"/>
  <c r="Q1476" i="7"/>
  <c r="Q1664" i="7"/>
  <c r="Q1715" i="7"/>
  <c r="Q1725" i="7"/>
  <c r="Q1810" i="7"/>
  <c r="Q1818" i="7"/>
  <c r="Q1860" i="7"/>
  <c r="Q1876" i="7"/>
  <c r="Q2044" i="7"/>
  <c r="Q243" i="7"/>
  <c r="Q252" i="7"/>
  <c r="Q391" i="7"/>
  <c r="Q862" i="7"/>
  <c r="Q870" i="7"/>
  <c r="Q879" i="7"/>
  <c r="Q928" i="7"/>
  <c r="Q1027" i="7"/>
  <c r="Q1663" i="7"/>
  <c r="Q1817" i="7"/>
  <c r="Q1921" i="7"/>
  <c r="Q1937" i="7"/>
  <c r="Q1962" i="7"/>
  <c r="Q1981" i="7"/>
  <c r="Q2050" i="7"/>
  <c r="Q254" i="7"/>
  <c r="Q280" i="7"/>
  <c r="Q111" i="7"/>
  <c r="Q203" i="7"/>
  <c r="Q205" i="7"/>
  <c r="Q212" i="7"/>
  <c r="Q213" i="7"/>
  <c r="Q222" i="7"/>
  <c r="Q223" i="7"/>
  <c r="Q233" i="7"/>
  <c r="Q367" i="7"/>
  <c r="Q485" i="7"/>
  <c r="Q497" i="7"/>
  <c r="Q234" i="7"/>
  <c r="Q262" i="7"/>
  <c r="Q172" i="7"/>
  <c r="Q201" i="7"/>
  <c r="Q211" i="7"/>
  <c r="Q220" i="7"/>
  <c r="Q354" i="7"/>
  <c r="Q383" i="7"/>
  <c r="Q421" i="7"/>
  <c r="Q153" i="7"/>
  <c r="Q160" i="7"/>
  <c r="Q170" i="7"/>
  <c r="Q180" i="7"/>
  <c r="Q218" i="7"/>
  <c r="Q319" i="7"/>
  <c r="Q381" i="7"/>
  <c r="Q407" i="7"/>
  <c r="Q417" i="7"/>
  <c r="Q418" i="7"/>
  <c r="Q351" i="7"/>
  <c r="Q539" i="7"/>
  <c r="Q588" i="7"/>
  <c r="Q596" i="7"/>
  <c r="Q245" i="7"/>
  <c r="Q263" i="7"/>
  <c r="Q378" i="7"/>
  <c r="Q658" i="7"/>
  <c r="Q666" i="7"/>
  <c r="Q675" i="7"/>
  <c r="Q699" i="7"/>
  <c r="Q707" i="7"/>
  <c r="Q715" i="7"/>
  <c r="Q723" i="7"/>
  <c r="Q729" i="7"/>
  <c r="Q750" i="7"/>
  <c r="Q131" i="7"/>
  <c r="Q166" i="7"/>
  <c r="Q186" i="7"/>
  <c r="Q248" i="7"/>
  <c r="Q294" i="7"/>
  <c r="Q304" i="7"/>
  <c r="Q324" i="7"/>
  <c r="Q359" i="7"/>
  <c r="Q393" i="7"/>
  <c r="Q484" i="7"/>
  <c r="Q496" i="7"/>
  <c r="Q505" i="7"/>
  <c r="Q516" i="7"/>
  <c r="Q529" i="7"/>
  <c r="Q536" i="7"/>
  <c r="Q654" i="7"/>
  <c r="Q655" i="7"/>
  <c r="Q657" i="7"/>
  <c r="Q766" i="7"/>
  <c r="Q776" i="7"/>
  <c r="Q805" i="7"/>
  <c r="Q826" i="7"/>
  <c r="Q827" i="7"/>
  <c r="Q837" i="7"/>
  <c r="Q889" i="7"/>
  <c r="Q905" i="7"/>
  <c r="Q913" i="7"/>
  <c r="Q922" i="7"/>
  <c r="Q943" i="7"/>
  <c r="Q964" i="7"/>
  <c r="Q971" i="7"/>
  <c r="Q972" i="7"/>
  <c r="Q1037" i="7"/>
  <c r="Q1049" i="7"/>
  <c r="Q1066" i="7"/>
  <c r="Q1140" i="7"/>
  <c r="Q1175" i="7"/>
  <c r="Q1265" i="7"/>
  <c r="Q399" i="7"/>
  <c r="Q425" i="7"/>
  <c r="Q461" i="7"/>
  <c r="Q471" i="7"/>
  <c r="Q481" i="7"/>
  <c r="Q513" i="7"/>
  <c r="Q815" i="7"/>
  <c r="Q818" i="7"/>
  <c r="Q853" i="7"/>
  <c r="Q1057" i="7"/>
  <c r="Q1344" i="7"/>
  <c r="Q397" i="7"/>
  <c r="Q398" i="7"/>
  <c r="Q410" i="7"/>
  <c r="Q433" i="7"/>
  <c r="Q434" i="7"/>
  <c r="Q442" i="7"/>
  <c r="Q449" i="7"/>
  <c r="Q450" i="7"/>
  <c r="Q470" i="7"/>
  <c r="Q491" i="7"/>
  <c r="Q501" i="7"/>
  <c r="Q512" i="7"/>
  <c r="Q575" i="7"/>
  <c r="Q583" i="7"/>
  <c r="Q591" i="7"/>
  <c r="Q599" i="7"/>
  <c r="Q607" i="7"/>
  <c r="Q624" i="7"/>
  <c r="Q662" i="7"/>
  <c r="Q772" i="7"/>
  <c r="Q773" i="7"/>
  <c r="Q781" i="7"/>
  <c r="Q803" i="7"/>
  <c r="Q814" i="7"/>
  <c r="Q852" i="7"/>
  <c r="Q869" i="7"/>
  <c r="Q877" i="7"/>
  <c r="Q894" i="7"/>
  <c r="Q940" i="7"/>
  <c r="Q949" i="7"/>
  <c r="Q1014" i="7"/>
  <c r="Q1023" i="7"/>
  <c r="Q1044" i="7"/>
  <c r="Q1055" i="7"/>
  <c r="Q1104" i="7"/>
  <c r="Q1112" i="7"/>
  <c r="Q1120" i="7"/>
  <c r="Q1199" i="7"/>
  <c r="Q1208" i="7"/>
  <c r="Q1234" i="7"/>
  <c r="Q1278" i="7"/>
  <c r="Q823" i="7"/>
  <c r="Q834" i="7"/>
  <c r="Q843" i="7"/>
  <c r="Q893" i="7"/>
  <c r="Q901" i="7"/>
  <c r="Q967" i="7"/>
  <c r="Q985" i="7"/>
  <c r="Q993" i="7"/>
  <c r="Q1022" i="7"/>
  <c r="Q1030" i="7"/>
  <c r="Q1042" i="7"/>
  <c r="Q1054" i="7"/>
  <c r="Q1070" i="7"/>
  <c r="Q1103" i="7"/>
  <c r="Q1128" i="7"/>
  <c r="Q1187" i="7"/>
  <c r="Q1198" i="7"/>
  <c r="Q1202" i="7"/>
  <c r="Q1205" i="7"/>
  <c r="Q1206" i="7"/>
  <c r="Q242" i="7"/>
  <c r="Q318" i="7"/>
  <c r="Q376" i="7"/>
  <c r="Q382" i="7"/>
  <c r="Q384" i="7"/>
  <c r="Q395" i="7"/>
  <c r="Q432" i="7"/>
  <c r="Q440" i="7"/>
  <c r="Q448" i="7"/>
  <c r="Q456" i="7"/>
  <c r="Q465" i="7"/>
  <c r="Q500" i="7"/>
  <c r="Q510" i="7"/>
  <c r="Q540" i="7"/>
  <c r="Q557" i="7"/>
  <c r="Q565" i="7"/>
  <c r="Q573" i="7"/>
  <c r="Q581" i="7"/>
  <c r="Q589" i="7"/>
  <c r="Q597" i="7"/>
  <c r="Q605" i="7"/>
  <c r="Q614" i="7"/>
  <c r="Q622" i="7"/>
  <c r="Q630" i="7"/>
  <c r="Q639" i="7"/>
  <c r="Q640" i="7"/>
  <c r="Q649" i="7"/>
  <c r="Q660" i="7"/>
  <c r="Q668" i="7"/>
  <c r="Q677" i="7"/>
  <c r="Q685" i="7"/>
  <c r="Q693" i="7"/>
  <c r="Q701" i="7"/>
  <c r="Q709" i="7"/>
  <c r="Q717" i="7"/>
  <c r="Q725" i="7"/>
  <c r="Q731" i="7"/>
  <c r="Q738" i="7"/>
  <c r="Q744" i="7"/>
  <c r="Q752" i="7"/>
  <c r="Q799" i="7"/>
  <c r="Q801" i="7"/>
  <c r="Q849" i="7"/>
  <c r="Q850" i="7"/>
  <c r="Q1001" i="7"/>
  <c r="Q1197" i="7"/>
  <c r="Q1230" i="7"/>
  <c r="Q810" i="7"/>
  <c r="Q821" i="7"/>
  <c r="Q936" i="7"/>
  <c r="Q983" i="7"/>
  <c r="Q1019" i="7"/>
  <c r="Q1238" i="7"/>
  <c r="Q1300" i="7"/>
  <c r="Q1601" i="7"/>
  <c r="Q1675" i="7"/>
  <c r="Q1735" i="7"/>
  <c r="Q1868" i="7"/>
  <c r="Q1879" i="7"/>
  <c r="Q1901" i="7"/>
  <c r="Q1956" i="7"/>
  <c r="Q1215" i="7"/>
  <c r="Q1223" i="7"/>
  <c r="Q1224" i="7"/>
  <c r="Q1257" i="7"/>
  <c r="Q1269" i="7"/>
  <c r="Q1277" i="7"/>
  <c r="Q1286" i="7"/>
  <c r="Q1290" i="7"/>
  <c r="Q1309" i="7"/>
  <c r="Q1319" i="7"/>
  <c r="Q1340" i="7"/>
  <c r="Q1341" i="7"/>
  <c r="Q1343" i="7"/>
  <c r="Q1363" i="7"/>
  <c r="Q1393" i="7"/>
  <c r="Q1411" i="7"/>
  <c r="Q1460" i="7"/>
  <c r="Q1478" i="7"/>
  <c r="Q1523" i="7"/>
  <c r="Q1532" i="7"/>
  <c r="Q1533" i="7"/>
  <c r="Q1543" i="7"/>
  <c r="Q1607" i="7"/>
  <c r="Q1615" i="7"/>
  <c r="Q1623" i="7"/>
  <c r="Q1634" i="7"/>
  <c r="Q1655" i="7"/>
  <c r="Q1674" i="7"/>
  <c r="Q1709" i="7"/>
  <c r="Q1721" i="7"/>
  <c r="Q1783" i="7"/>
  <c r="Q1794" i="7"/>
  <c r="Q1827" i="7"/>
  <c r="Q1836" i="7"/>
  <c r="Q1867" i="7"/>
  <c r="Q1899" i="7"/>
  <c r="Q1915" i="7"/>
  <c r="Q1928" i="7"/>
  <c r="Q1944" i="7"/>
  <c r="Q1955" i="7"/>
  <c r="Q1965" i="7"/>
  <c r="Q1998" i="7"/>
  <c r="Q1243" i="7"/>
  <c r="Q1285" i="7"/>
  <c r="Q1327" i="7"/>
  <c r="Q1365" i="7"/>
  <c r="Q1458" i="7"/>
  <c r="Q1622" i="7"/>
  <c r="Q1707" i="7"/>
  <c r="Q1719" i="7"/>
  <c r="Q1755" i="7"/>
  <c r="Q1772" i="7"/>
  <c r="Q1989" i="7"/>
  <c r="Q2015" i="7"/>
  <c r="Q1220" i="7"/>
  <c r="Q1231" i="7"/>
  <c r="Q1232" i="7"/>
  <c r="Q1274" i="7"/>
  <c r="Q1282" i="7"/>
  <c r="Q1316" i="7"/>
  <c r="Q1375" i="7"/>
  <c r="Q1384" i="7"/>
  <c r="Q1385" i="7"/>
  <c r="Q1386" i="7"/>
  <c r="Q1470" i="7"/>
  <c r="Q1529" i="7"/>
  <c r="Q1539" i="7"/>
  <c r="Q1540" i="7" s="1"/>
  <c r="Q1580" i="7"/>
  <c r="Q1588" i="7"/>
  <c r="Q1604" i="7"/>
  <c r="Q1612" i="7"/>
  <c r="Q1620" i="7"/>
  <c r="Q1621" i="7"/>
  <c r="Q1671" i="7"/>
  <c r="Q1697" i="7"/>
  <c r="Q1705" i="7"/>
  <c r="Q1717" i="7"/>
  <c r="Q1739" i="7"/>
  <c r="Q1741" i="7"/>
  <c r="Q1751" i="7"/>
  <c r="Q1753" i="7"/>
  <c r="Q1779" i="7"/>
  <c r="Q1790" i="7"/>
  <c r="Q1800" i="7"/>
  <c r="Q1833" i="7"/>
  <c r="Q1851" i="7"/>
  <c r="Q1872" i="7"/>
  <c r="Q1884" i="7"/>
  <c r="Q1908" i="7"/>
  <c r="Q1909" i="7"/>
  <c r="Q1925" i="7"/>
  <c r="Q1975" i="7"/>
  <c r="Q2003" i="7"/>
  <c r="Q1272" i="7"/>
  <c r="Q1281" i="7"/>
  <c r="Q1294" i="7"/>
  <c r="Q1323" i="7"/>
  <c r="Q1357" i="7"/>
  <c r="Q1359" i="7"/>
  <c r="Q1382" i="7"/>
  <c r="Q1417" i="7"/>
  <c r="Q1468" i="7"/>
  <c r="Q1559" i="7"/>
  <c r="Q1627" i="7"/>
  <c r="Q1640" i="7"/>
  <c r="Q1659" i="7"/>
  <c r="Q1788" i="7"/>
  <c r="Q1850" i="7"/>
  <c r="Q1883" i="7"/>
  <c r="Q1905" i="7"/>
  <c r="Q1959" i="7"/>
  <c r="Q1983" i="7"/>
  <c r="Q1994" i="7"/>
  <c r="Q1302" i="7"/>
  <c r="Q1333" i="7"/>
  <c r="Q1347" i="7"/>
  <c r="Q1547" i="7"/>
  <c r="Q1557" i="7"/>
  <c r="Q1814" i="7"/>
  <c r="Q1957" i="7"/>
  <c r="Q6" i="7"/>
  <c r="Q10" i="7"/>
  <c r="Q14" i="7"/>
  <c r="Q18" i="7"/>
  <c r="Q26" i="7"/>
  <c r="Q57" i="7"/>
  <c r="Q59" i="7"/>
  <c r="Q67" i="7"/>
  <c r="Q5" i="7"/>
  <c r="Q139" i="7"/>
  <c r="Q147" i="7"/>
  <c r="Q162" i="7"/>
  <c r="Q221" i="7"/>
  <c r="Q253" i="7"/>
  <c r="Q9" i="7"/>
  <c r="Q12" i="7"/>
  <c r="Q15" i="7"/>
  <c r="Q19" i="7"/>
  <c r="Q23" i="7"/>
  <c r="Q27" i="7"/>
  <c r="Q30" i="7"/>
  <c r="Q33" i="7"/>
  <c r="Q36" i="7"/>
  <c r="Q40" i="7"/>
  <c r="Q69" i="7"/>
  <c r="Q115" i="7"/>
  <c r="Q114" i="7"/>
  <c r="Q130" i="7"/>
  <c r="Q138" i="7"/>
  <c r="Q154" i="7"/>
  <c r="Q169" i="7"/>
  <c r="Q187" i="7"/>
  <c r="Q279" i="7"/>
  <c r="Q321" i="7"/>
  <c r="Q363" i="7"/>
  <c r="Q422" i="7"/>
  <c r="Q112" i="7"/>
  <c r="Q120" i="7"/>
  <c r="Q144" i="7"/>
  <c r="Q152" i="7"/>
  <c r="Q159" i="7"/>
  <c r="Q167" i="7"/>
  <c r="Q182" i="7"/>
  <c r="Q183" i="7"/>
  <c r="Q185" i="7"/>
  <c r="Q202" i="7"/>
  <c r="Q266" i="7"/>
  <c r="Q268" i="7"/>
  <c r="Q308" i="7"/>
  <c r="Q315" i="7"/>
  <c r="Q340" i="7"/>
  <c r="Q118" i="7"/>
  <c r="Q126" i="7"/>
  <c r="Q142" i="7"/>
  <c r="Q150" i="7"/>
  <c r="Q157" i="7"/>
  <c r="Q165" i="7"/>
  <c r="Q178" i="7"/>
  <c r="Q179" i="7"/>
  <c r="Q195" i="7"/>
  <c r="Q197" i="7"/>
  <c r="Q259" i="7"/>
  <c r="Q261" i="7"/>
  <c r="Q289" i="7"/>
  <c r="Q347" i="7"/>
  <c r="Q13" i="7"/>
  <c r="Q17" i="7"/>
  <c r="Q20" i="7"/>
  <c r="Q22" i="7"/>
  <c r="Q25" i="7"/>
  <c r="Q29" i="7"/>
  <c r="Q32" i="7"/>
  <c r="Q35" i="7"/>
  <c r="Q39" i="7"/>
  <c r="Q70" i="7"/>
  <c r="Q71" i="7"/>
  <c r="Q72" i="7"/>
  <c r="Q73" i="7"/>
  <c r="Q74" i="7"/>
  <c r="Q75" i="7"/>
  <c r="Q76" i="7"/>
  <c r="Q77" i="7"/>
  <c r="Q78" i="7"/>
  <c r="Q79" i="7"/>
  <c r="Q81" i="7"/>
  <c r="Q82" i="7"/>
  <c r="Q83" i="7"/>
  <c r="Q84" i="7"/>
  <c r="Q87" i="7"/>
  <c r="Q90" i="7"/>
  <c r="Q92" i="7"/>
  <c r="Q94" i="7"/>
  <c r="Q96" i="7"/>
  <c r="Q98" i="7"/>
  <c r="Q100" i="7"/>
  <c r="Q109" i="7"/>
  <c r="Q141" i="7"/>
  <c r="Q149" i="7"/>
  <c r="Q156" i="7"/>
  <c r="Q176" i="7"/>
  <c r="Q194" i="7"/>
  <c r="Q258" i="7"/>
  <c r="Q7" i="7"/>
  <c r="Q11" i="7"/>
  <c r="Q16" i="7"/>
  <c r="Q21" i="7"/>
  <c r="Q28" i="7"/>
  <c r="Q31" i="7"/>
  <c r="Q34" i="7"/>
  <c r="Q37" i="7"/>
  <c r="Q38" i="7"/>
  <c r="Q42" i="7"/>
  <c r="Q43" i="7"/>
  <c r="Q44" i="7"/>
  <c r="Q45" i="7"/>
  <c r="Q46" i="7"/>
  <c r="Q47" i="7"/>
  <c r="Q48" i="7"/>
  <c r="Q49" i="7"/>
  <c r="Q50" i="7"/>
  <c r="Q51" i="7"/>
  <c r="Q52" i="7"/>
  <c r="Q53" i="7"/>
  <c r="Q54" i="7"/>
  <c r="Q56" i="7"/>
  <c r="O2054" i="7"/>
  <c r="N2049" i="7"/>
  <c r="N2048" i="7"/>
  <c r="O2035" i="7"/>
  <c r="N2026" i="7"/>
  <c r="O2020" i="7"/>
  <c r="N2019" i="7"/>
  <c r="N2018" i="7"/>
  <c r="N2017" i="7"/>
  <c r="N2016" i="7"/>
  <c r="N2015" i="7"/>
  <c r="N2014" i="7"/>
  <c r="N2013" i="7"/>
  <c r="N2012" i="7"/>
  <c r="N2011" i="7"/>
  <c r="N2010" i="7"/>
  <c r="N2009" i="7"/>
  <c r="O2008" i="7"/>
  <c r="N2007" i="7"/>
  <c r="N2006" i="7"/>
  <c r="N2005" i="7"/>
  <c r="N2004" i="7"/>
  <c r="N2003" i="7"/>
  <c r="N2002" i="7"/>
  <c r="N2001" i="7"/>
  <c r="N2000" i="7"/>
  <c r="N1999" i="7"/>
  <c r="N1998" i="7"/>
  <c r="N1997" i="7"/>
  <c r="N1996" i="7"/>
  <c r="N1995" i="7"/>
  <c r="N1994" i="7"/>
  <c r="N1993" i="7"/>
  <c r="N1992" i="7"/>
  <c r="N1991" i="7"/>
  <c r="N1990" i="7"/>
  <c r="N1989" i="7"/>
  <c r="N1988" i="7"/>
  <c r="N1986" i="7"/>
  <c r="N1985" i="7"/>
  <c r="N1984" i="7"/>
  <c r="N1983" i="7"/>
  <c r="N1982" i="7"/>
  <c r="N1981" i="7"/>
  <c r="N1980" i="7"/>
  <c r="N1979" i="7"/>
  <c r="O1978" i="7"/>
  <c r="N1977" i="7"/>
  <c r="N1976" i="7"/>
  <c r="N1975" i="7"/>
  <c r="N1974" i="7"/>
  <c r="N1973" i="7"/>
  <c r="N1972" i="7"/>
  <c r="N1971" i="7"/>
  <c r="N1970" i="7"/>
  <c r="N1969" i="7"/>
  <c r="N1968" i="7"/>
  <c r="N1967" i="7"/>
  <c r="N1966" i="7"/>
  <c r="N1965" i="7"/>
  <c r="N1964" i="7"/>
  <c r="N1963" i="7"/>
  <c r="N1962" i="7"/>
  <c r="N1961" i="7"/>
  <c r="N1960" i="7"/>
  <c r="N1959" i="7"/>
  <c r="N1958" i="7"/>
  <c r="N1957" i="7"/>
  <c r="N1956" i="7"/>
  <c r="N1955" i="7"/>
  <c r="N1954" i="7"/>
  <c r="N1953" i="7"/>
  <c r="N1952" i="7"/>
  <c r="O1951" i="7"/>
  <c r="N1950" i="7"/>
  <c r="N1949" i="7"/>
  <c r="N1948" i="7"/>
  <c r="N1947" i="7"/>
  <c r="N1946" i="7"/>
  <c r="N1945" i="7"/>
  <c r="N1944" i="7"/>
  <c r="N1943" i="7"/>
  <c r="N1942" i="7"/>
  <c r="N1941" i="7"/>
  <c r="N1940" i="7"/>
  <c r="N1939" i="7"/>
  <c r="N1938" i="7"/>
  <c r="N1937" i="7"/>
  <c r="N1936" i="7"/>
  <c r="N1935" i="7"/>
  <c r="N1934" i="7"/>
  <c r="N1933" i="7"/>
  <c r="N1932" i="7"/>
  <c r="N1931" i="7"/>
  <c r="N1930" i="7"/>
  <c r="N1929" i="7"/>
  <c r="N1928" i="7"/>
  <c r="N1927" i="7"/>
  <c r="N1926" i="7"/>
  <c r="N1925" i="7"/>
  <c r="N1924" i="7"/>
  <c r="N1923" i="7"/>
  <c r="N1922" i="7"/>
  <c r="N1921" i="7"/>
  <c r="N1920" i="7"/>
  <c r="N1918" i="7"/>
  <c r="O1917" i="7"/>
  <c r="N1916" i="7"/>
  <c r="N1915" i="7"/>
  <c r="N1914" i="7"/>
  <c r="N1913" i="7"/>
  <c r="N1912" i="7"/>
  <c r="N1911" i="7"/>
  <c r="N1910" i="7"/>
  <c r="N1909" i="7"/>
  <c r="N1908" i="7"/>
  <c r="N1907" i="7"/>
  <c r="O1906" i="7"/>
  <c r="N1905" i="7"/>
  <c r="N1904" i="7"/>
  <c r="O1903" i="7"/>
  <c r="N1902" i="7"/>
  <c r="N1901" i="7"/>
  <c r="N1900" i="7"/>
  <c r="N1899" i="7"/>
  <c r="N1898" i="7"/>
  <c r="N1897" i="7"/>
  <c r="N1896" i="7"/>
  <c r="N1895" i="7"/>
  <c r="N1894" i="7"/>
  <c r="N1893" i="7"/>
  <c r="N1892" i="7"/>
  <c r="N1890" i="7"/>
  <c r="M1890" i="7"/>
  <c r="N1889" i="7"/>
  <c r="M1889" i="7"/>
  <c r="N1888" i="7"/>
  <c r="M1888" i="7"/>
  <c r="N1887" i="7"/>
  <c r="M1887" i="7"/>
  <c r="N1886" i="7"/>
  <c r="M1886" i="7"/>
  <c r="N1885" i="7"/>
  <c r="M1885" i="7"/>
  <c r="N1884" i="7"/>
  <c r="M1884" i="7"/>
  <c r="N1883" i="7"/>
  <c r="M1883" i="7"/>
  <c r="N1882" i="7"/>
  <c r="M1882" i="7"/>
  <c r="N1881" i="7"/>
  <c r="M1881" i="7"/>
  <c r="N1880" i="7"/>
  <c r="M1880" i="7"/>
  <c r="N1879" i="7"/>
  <c r="M1879" i="7"/>
  <c r="N1878" i="7"/>
  <c r="M1878" i="7"/>
  <c r="N1877" i="7"/>
  <c r="M1877" i="7"/>
  <c r="N1876" i="7"/>
  <c r="M1876" i="7"/>
  <c r="N1875" i="7"/>
  <c r="M1875" i="7"/>
  <c r="N1874" i="7"/>
  <c r="M1874" i="7"/>
  <c r="N1873" i="7"/>
  <c r="M1873" i="7"/>
  <c r="N1872" i="7"/>
  <c r="M1872" i="7"/>
  <c r="N1871" i="7"/>
  <c r="M1871" i="7"/>
  <c r="N1870" i="7"/>
  <c r="M1870" i="7"/>
  <c r="N1869" i="7"/>
  <c r="M1869" i="7"/>
  <c r="N1868" i="7"/>
  <c r="M1868" i="7"/>
  <c r="N1867" i="7"/>
  <c r="M1867" i="7"/>
  <c r="N1866" i="7"/>
  <c r="M1866" i="7"/>
  <c r="N1865" i="7"/>
  <c r="M1865" i="7"/>
  <c r="N1864" i="7"/>
  <c r="M1864" i="7"/>
  <c r="N1863" i="7"/>
  <c r="M1863" i="7"/>
  <c r="N1862" i="7"/>
  <c r="M1862" i="7"/>
  <c r="N1861" i="7"/>
  <c r="M1861" i="7"/>
  <c r="N1860" i="7"/>
  <c r="M1860" i="7"/>
  <c r="N1859" i="7"/>
  <c r="M1859" i="7"/>
  <c r="N1858" i="7"/>
  <c r="M1858" i="7"/>
  <c r="N1857" i="7"/>
  <c r="M1857" i="7"/>
  <c r="N1856" i="7"/>
  <c r="M1856" i="7"/>
  <c r="N1855" i="7"/>
  <c r="M1855" i="7"/>
  <c r="N1854" i="7"/>
  <c r="M1854" i="7"/>
  <c r="N1853" i="7"/>
  <c r="M1853" i="7"/>
  <c r="N1852" i="7"/>
  <c r="M1852" i="7"/>
  <c r="N1851" i="7"/>
  <c r="M1851" i="7"/>
  <c r="N1850" i="7"/>
  <c r="M1850" i="7"/>
  <c r="N1849" i="7"/>
  <c r="M1849" i="7"/>
  <c r="N1848" i="7"/>
  <c r="M1848" i="7"/>
  <c r="N1847" i="7"/>
  <c r="M1847" i="7"/>
  <c r="N1846" i="7"/>
  <c r="M1846" i="7"/>
  <c r="N1845" i="7"/>
  <c r="M1845" i="7"/>
  <c r="N1844" i="7"/>
  <c r="M1844" i="7"/>
  <c r="N1843" i="7"/>
  <c r="M1843" i="7"/>
  <c r="N1842" i="7"/>
  <c r="M1842" i="7"/>
  <c r="N1841" i="7"/>
  <c r="M1841" i="7"/>
  <c r="N1840" i="7"/>
  <c r="M1840" i="7"/>
  <c r="N1839" i="7"/>
  <c r="M1839" i="7"/>
  <c r="O1838" i="7"/>
  <c r="M1838" i="7" s="1"/>
  <c r="F1838" i="7"/>
  <c r="N1837" i="7"/>
  <c r="M1837" i="7"/>
  <c r="N1836" i="7"/>
  <c r="M1836" i="7"/>
  <c r="N1835" i="7"/>
  <c r="M1835" i="7"/>
  <c r="N1834" i="7"/>
  <c r="M1834" i="7"/>
  <c r="N1833" i="7"/>
  <c r="M1833" i="7"/>
  <c r="N1832" i="7"/>
  <c r="M1832" i="7"/>
  <c r="N1831" i="7"/>
  <c r="M1831" i="7"/>
  <c r="N1830" i="7"/>
  <c r="M1830" i="7"/>
  <c r="N1829" i="7"/>
  <c r="M1829" i="7"/>
  <c r="N1828" i="7"/>
  <c r="M1828" i="7"/>
  <c r="N1827" i="7"/>
  <c r="M1827" i="7"/>
  <c r="N1826" i="7"/>
  <c r="M1826" i="7"/>
  <c r="N1825" i="7"/>
  <c r="M1825" i="7"/>
  <c r="N1824" i="7"/>
  <c r="M1824" i="7"/>
  <c r="N1823" i="7"/>
  <c r="M1823" i="7"/>
  <c r="N1822" i="7"/>
  <c r="M1822" i="7"/>
  <c r="N1821" i="7"/>
  <c r="M1821" i="7"/>
  <c r="N1820" i="7"/>
  <c r="M1820" i="7"/>
  <c r="N1819" i="7"/>
  <c r="M1819" i="7"/>
  <c r="N1818" i="7"/>
  <c r="M1818" i="7"/>
  <c r="N1817" i="7"/>
  <c r="M1817" i="7"/>
  <c r="N1816" i="7"/>
  <c r="M1816" i="7"/>
  <c r="N1815" i="7"/>
  <c r="M1815" i="7"/>
  <c r="N1814" i="7"/>
  <c r="M1814" i="7"/>
  <c r="N1813" i="7"/>
  <c r="M1813" i="7"/>
  <c r="N1812" i="7"/>
  <c r="M1812" i="7"/>
  <c r="N1811" i="7"/>
  <c r="M1811" i="7"/>
  <c r="N1810" i="7"/>
  <c r="M1810" i="7"/>
  <c r="N1809" i="7"/>
  <c r="M1809" i="7"/>
  <c r="N1808" i="7"/>
  <c r="M1808" i="7"/>
  <c r="N1807" i="7"/>
  <c r="M1807" i="7"/>
  <c r="N1806" i="7"/>
  <c r="M1806" i="7"/>
  <c r="N1805" i="7"/>
  <c r="M1805" i="7"/>
  <c r="N1804" i="7"/>
  <c r="M1804" i="7"/>
  <c r="N1803" i="7"/>
  <c r="M1803" i="7"/>
  <c r="N1802" i="7"/>
  <c r="M1802" i="7"/>
  <c r="N1801" i="7"/>
  <c r="M1801" i="7"/>
  <c r="N1800" i="7"/>
  <c r="M1800" i="7"/>
  <c r="N1799" i="7"/>
  <c r="M1799" i="7"/>
  <c r="N1798" i="7"/>
  <c r="M1798" i="7"/>
  <c r="N1797" i="7"/>
  <c r="M1797" i="7"/>
  <c r="N1796" i="7"/>
  <c r="M1796" i="7"/>
  <c r="N1795" i="7"/>
  <c r="M1795" i="7"/>
  <c r="N1794" i="7"/>
  <c r="M1794" i="7"/>
  <c r="N1793" i="7"/>
  <c r="M1793" i="7"/>
  <c r="O1792" i="7"/>
  <c r="N1791" i="7"/>
  <c r="M1791" i="7"/>
  <c r="N1790" i="7"/>
  <c r="M1790" i="7"/>
  <c r="O1789" i="7"/>
  <c r="N1788" i="7"/>
  <c r="M1788" i="7"/>
  <c r="N1787" i="7"/>
  <c r="M1787" i="7"/>
  <c r="O1786" i="7"/>
  <c r="N1785" i="7"/>
  <c r="M1785" i="7"/>
  <c r="N1784" i="7"/>
  <c r="M1784" i="7"/>
  <c r="N1783" i="7"/>
  <c r="M1783" i="7"/>
  <c r="N1782" i="7"/>
  <c r="M1782" i="7"/>
  <c r="N1781" i="7"/>
  <c r="M1781" i="7"/>
  <c r="O1780" i="7"/>
  <c r="N1779" i="7"/>
  <c r="M1779" i="7"/>
  <c r="N1778" i="7"/>
  <c r="M1778" i="7"/>
  <c r="N1777" i="7"/>
  <c r="M1777" i="7"/>
  <c r="O1776" i="7"/>
  <c r="N1775" i="7"/>
  <c r="M1774" i="7"/>
  <c r="F1774" i="7"/>
  <c r="N1774" i="7" s="1"/>
  <c r="N1773" i="7"/>
  <c r="M1773" i="7"/>
  <c r="N1772" i="7"/>
  <c r="M1772" i="7"/>
  <c r="O1770" i="7"/>
  <c r="F1770" i="7"/>
  <c r="O1769" i="7"/>
  <c r="N1768" i="7"/>
  <c r="M1768" i="7"/>
  <c r="N1767" i="7"/>
  <c r="M1767" i="7"/>
  <c r="O1766" i="7"/>
  <c r="N1765" i="7"/>
  <c r="M1765" i="7"/>
  <c r="N1763" i="7"/>
  <c r="M1763" i="7"/>
  <c r="N1762" i="7"/>
  <c r="M1762" i="7"/>
  <c r="O1761" i="7"/>
  <c r="F1761" i="7"/>
  <c r="N1760" i="7"/>
  <c r="M1760" i="7"/>
  <c r="M1755" i="7"/>
  <c r="M1754" i="7"/>
  <c r="M1753" i="7"/>
  <c r="O1752" i="7"/>
  <c r="N1751" i="7"/>
  <c r="M1751" i="7"/>
  <c r="N1750" i="7"/>
  <c r="M1750" i="7"/>
  <c r="N1749" i="7"/>
  <c r="M1749" i="7"/>
  <c r="N1748" i="7"/>
  <c r="M1748" i="7"/>
  <c r="N1747" i="7"/>
  <c r="M1747" i="7"/>
  <c r="N1746" i="7"/>
  <c r="M1746" i="7"/>
  <c r="N1745" i="7"/>
  <c r="M1745" i="7"/>
  <c r="O1744" i="7"/>
  <c r="N1743" i="7"/>
  <c r="M1743" i="7"/>
  <c r="N1742" i="7"/>
  <c r="M1742" i="7"/>
  <c r="N1741" i="7"/>
  <c r="M1741" i="7"/>
  <c r="O1740" i="7"/>
  <c r="N1739" i="7"/>
  <c r="M1739" i="7"/>
  <c r="N1738" i="7"/>
  <c r="M1738" i="7"/>
  <c r="O1737" i="7"/>
  <c r="N1736" i="7"/>
  <c r="M1736" i="7"/>
  <c r="N1735" i="7"/>
  <c r="M1735" i="7"/>
  <c r="O1734" i="7"/>
  <c r="N1733" i="7"/>
  <c r="M1733" i="7"/>
  <c r="N1732" i="7"/>
  <c r="M1732" i="7"/>
  <c r="N1731" i="7"/>
  <c r="M1731" i="7"/>
  <c r="N1730" i="7"/>
  <c r="M1730" i="7"/>
  <c r="N1729" i="7"/>
  <c r="M1729" i="7"/>
  <c r="N1728" i="7"/>
  <c r="M1728" i="7"/>
  <c r="N1727" i="7"/>
  <c r="M1727" i="7"/>
  <c r="N1726" i="7"/>
  <c r="M1726" i="7"/>
  <c r="N1725" i="7"/>
  <c r="M1725" i="7"/>
  <c r="N1724" i="7"/>
  <c r="M1724" i="7"/>
  <c r="N1723" i="7"/>
  <c r="M1723" i="7"/>
  <c r="N1721" i="7"/>
  <c r="M1721" i="7"/>
  <c r="N1720" i="7"/>
  <c r="M1720" i="7"/>
  <c r="N1719" i="7"/>
  <c r="M1719" i="7"/>
  <c r="O1718" i="7"/>
  <c r="F1718" i="7"/>
  <c r="N1717" i="7"/>
  <c r="M1717" i="7"/>
  <c r="N1716" i="7"/>
  <c r="M1716" i="7"/>
  <c r="N1715" i="7"/>
  <c r="M1715" i="7"/>
  <c r="O1714" i="7"/>
  <c r="N1713" i="7"/>
  <c r="M1713" i="7"/>
  <c r="N1712" i="7"/>
  <c r="M1712" i="7"/>
  <c r="N1711" i="7"/>
  <c r="M1711" i="7"/>
  <c r="O1710" i="7"/>
  <c r="N1709" i="7"/>
  <c r="M1709" i="7"/>
  <c r="N1708" i="7"/>
  <c r="M1708" i="7"/>
  <c r="N1707" i="7"/>
  <c r="M1707" i="7"/>
  <c r="N1706" i="7"/>
  <c r="M1706" i="7"/>
  <c r="N1705" i="7"/>
  <c r="M1705" i="7"/>
  <c r="N1704" i="7"/>
  <c r="M1704" i="7"/>
  <c r="N1703" i="7"/>
  <c r="M1703" i="7"/>
  <c r="N1702" i="7"/>
  <c r="M1702" i="7"/>
  <c r="N1701" i="7"/>
  <c r="M1701" i="7"/>
  <c r="N1700" i="7"/>
  <c r="M1700" i="7"/>
  <c r="N1699" i="7"/>
  <c r="M1699" i="7"/>
  <c r="N1698" i="7"/>
  <c r="M1698" i="7"/>
  <c r="N1697" i="7"/>
  <c r="M1697" i="7"/>
  <c r="M1696" i="7"/>
  <c r="F1696" i="7"/>
  <c r="N1696" i="7" s="1"/>
  <c r="N1694" i="7"/>
  <c r="M1694" i="7"/>
  <c r="N1693" i="7"/>
  <c r="M1693" i="7"/>
  <c r="N1692" i="7"/>
  <c r="M1692" i="7"/>
  <c r="N1691" i="7"/>
  <c r="M1691" i="7"/>
  <c r="N1690" i="7"/>
  <c r="M1690" i="7"/>
  <c r="O1689" i="7"/>
  <c r="F1689" i="7"/>
  <c r="O1688" i="7"/>
  <c r="N1687" i="7"/>
  <c r="M1687" i="7"/>
  <c r="N1686" i="7"/>
  <c r="M1686" i="7"/>
  <c r="N1685" i="7"/>
  <c r="M1685" i="7"/>
  <c r="N1684" i="7"/>
  <c r="M1684" i="7"/>
  <c r="N1683" i="7"/>
  <c r="M1683" i="7"/>
  <c r="N1682" i="7"/>
  <c r="M1682" i="7"/>
  <c r="O1681" i="7"/>
  <c r="N1680" i="7"/>
  <c r="M1680" i="7"/>
  <c r="O1679" i="7"/>
  <c r="N1678" i="7"/>
  <c r="M1678" i="7"/>
  <c r="N1677" i="7"/>
  <c r="M1677" i="7"/>
  <c r="O1676" i="7"/>
  <c r="N1675" i="7"/>
  <c r="M1675" i="7"/>
  <c r="N1674" i="7"/>
  <c r="M1674" i="7"/>
  <c r="N1673" i="7"/>
  <c r="M1673" i="7"/>
  <c r="N1672" i="7"/>
  <c r="M1672" i="7"/>
  <c r="N1671" i="7"/>
  <c r="M1671" i="7"/>
  <c r="N1670" i="7"/>
  <c r="M1670" i="7"/>
  <c r="N1669" i="7"/>
  <c r="M1669" i="7"/>
  <c r="N1668" i="7"/>
  <c r="M1668" i="7"/>
  <c r="N1667" i="7"/>
  <c r="M1667" i="7"/>
  <c r="N1666" i="7"/>
  <c r="M1666" i="7"/>
  <c r="N1665" i="7"/>
  <c r="M1665" i="7"/>
  <c r="N1664" i="7"/>
  <c r="M1664" i="7"/>
  <c r="N1663" i="7"/>
  <c r="M1663" i="7"/>
  <c r="N1662" i="7"/>
  <c r="M1662" i="7"/>
  <c r="N1661" i="7"/>
  <c r="M1661" i="7"/>
  <c r="N1660" i="7"/>
  <c r="M1660" i="7"/>
  <c r="N1659" i="7"/>
  <c r="M1659" i="7"/>
  <c r="N1658" i="7"/>
  <c r="M1658" i="7"/>
  <c r="N1657" i="7"/>
  <c r="M1657" i="7"/>
  <c r="N1656" i="7"/>
  <c r="M1656" i="7"/>
  <c r="N1655" i="7"/>
  <c r="M1655" i="7"/>
  <c r="N1654" i="7"/>
  <c r="M1654" i="7"/>
  <c r="N1653" i="7"/>
  <c r="M1653" i="7"/>
  <c r="N1652" i="7"/>
  <c r="M1652" i="7"/>
  <c r="N1651" i="7"/>
  <c r="M1651" i="7"/>
  <c r="N1650" i="7"/>
  <c r="M1650" i="7"/>
  <c r="N1649" i="7"/>
  <c r="M1649" i="7"/>
  <c r="N1648" i="7"/>
  <c r="M1648" i="7"/>
  <c r="N1647" i="7"/>
  <c r="M1647" i="7"/>
  <c r="N1645" i="7"/>
  <c r="M1645" i="7"/>
  <c r="N1644" i="7"/>
  <c r="M1644" i="7"/>
  <c r="N1643" i="7"/>
  <c r="M1643" i="7"/>
  <c r="O1642" i="7"/>
  <c r="M1642" i="7" s="1"/>
  <c r="F1642" i="7"/>
  <c r="N1641" i="7"/>
  <c r="M1641" i="7"/>
  <c r="N1640" i="7"/>
  <c r="M1640" i="7"/>
  <c r="N1639" i="7"/>
  <c r="M1639" i="7"/>
  <c r="N1637" i="7"/>
  <c r="M1637" i="7"/>
  <c r="N1636" i="7"/>
  <c r="M1636" i="7"/>
  <c r="N1635" i="7"/>
  <c r="M1635" i="7"/>
  <c r="N1634" i="7"/>
  <c r="M1634" i="7"/>
  <c r="N1633" i="7"/>
  <c r="M1633" i="7"/>
  <c r="N1632" i="7"/>
  <c r="M1632" i="7"/>
  <c r="N1631" i="7"/>
  <c r="M1631" i="7"/>
  <c r="N1630" i="7"/>
  <c r="M1630" i="7"/>
  <c r="N1629" i="7"/>
  <c r="M1629" i="7"/>
  <c r="N1628" i="7"/>
  <c r="M1628" i="7"/>
  <c r="N1627" i="7"/>
  <c r="M1627" i="7"/>
  <c r="N1626" i="7"/>
  <c r="M1626" i="7"/>
  <c r="N1625" i="7"/>
  <c r="M1625" i="7"/>
  <c r="N1624" i="7"/>
  <c r="M1624" i="7"/>
  <c r="N1623" i="7"/>
  <c r="M1623" i="7"/>
  <c r="N1622" i="7"/>
  <c r="M1622" i="7"/>
  <c r="N1621" i="7"/>
  <c r="M1621" i="7"/>
  <c r="N1620" i="7"/>
  <c r="M1620" i="7"/>
  <c r="N1619" i="7"/>
  <c r="M1619" i="7"/>
  <c r="N1618" i="7"/>
  <c r="M1618" i="7"/>
  <c r="N1617" i="7"/>
  <c r="M1617" i="7"/>
  <c r="N1616" i="7"/>
  <c r="M1616" i="7"/>
  <c r="N1615" i="7"/>
  <c r="M1615" i="7"/>
  <c r="N1614" i="7"/>
  <c r="M1614" i="7"/>
  <c r="N1613" i="7"/>
  <c r="M1613" i="7"/>
  <c r="N1612" i="7"/>
  <c r="M1612" i="7"/>
  <c r="N1611" i="7"/>
  <c r="M1611" i="7"/>
  <c r="N1610" i="7"/>
  <c r="M1610" i="7"/>
  <c r="N1609" i="7"/>
  <c r="M1609" i="7"/>
  <c r="N1608" i="7"/>
  <c r="M1608" i="7"/>
  <c r="N1607" i="7"/>
  <c r="M1607" i="7"/>
  <c r="N1606" i="7"/>
  <c r="M1606" i="7"/>
  <c r="N1605" i="7"/>
  <c r="M1605" i="7"/>
  <c r="N1604" i="7"/>
  <c r="M1604" i="7"/>
  <c r="N1603" i="7"/>
  <c r="M1603" i="7"/>
  <c r="N1602" i="7"/>
  <c r="M1602" i="7"/>
  <c r="N1601" i="7"/>
  <c r="M1601" i="7"/>
  <c r="N1600" i="7"/>
  <c r="M1600" i="7"/>
  <c r="O1599" i="7"/>
  <c r="F1599" i="7"/>
  <c r="N1598" i="7"/>
  <c r="M1598" i="7"/>
  <c r="N1597" i="7"/>
  <c r="M1597" i="7"/>
  <c r="N1596" i="7"/>
  <c r="M1596" i="7"/>
  <c r="N1595" i="7"/>
  <c r="M1595" i="7"/>
  <c r="N1594" i="7"/>
  <c r="M1594" i="7"/>
  <c r="N1593" i="7"/>
  <c r="M1593" i="7"/>
  <c r="N1592" i="7"/>
  <c r="M1592" i="7"/>
  <c r="N1591" i="7"/>
  <c r="M1591" i="7"/>
  <c r="N1590" i="7"/>
  <c r="M1590" i="7"/>
  <c r="N1589" i="7"/>
  <c r="M1589" i="7"/>
  <c r="N1588" i="7"/>
  <c r="M1588" i="7"/>
  <c r="N1587" i="7"/>
  <c r="M1587" i="7"/>
  <c r="N1586" i="7"/>
  <c r="M1586" i="7"/>
  <c r="N1585" i="7"/>
  <c r="M1585" i="7"/>
  <c r="N1584" i="7"/>
  <c r="M1584" i="7"/>
  <c r="N1583" i="7"/>
  <c r="M1583" i="7"/>
  <c r="N1582" i="7"/>
  <c r="M1582" i="7"/>
  <c r="N1581" i="7"/>
  <c r="M1581" i="7"/>
  <c r="N1580" i="7"/>
  <c r="M1580" i="7"/>
  <c r="N1579" i="7"/>
  <c r="M1579" i="7"/>
  <c r="N1578" i="7"/>
  <c r="M1578" i="7"/>
  <c r="N1577" i="7"/>
  <c r="M1577" i="7"/>
  <c r="N1576" i="7"/>
  <c r="M1576" i="7"/>
  <c r="N1575" i="7"/>
  <c r="M1575" i="7"/>
  <c r="N1574" i="7"/>
  <c r="M1574" i="7"/>
  <c r="N1573" i="7"/>
  <c r="M1573" i="7"/>
  <c r="N1572" i="7"/>
  <c r="M1572" i="7"/>
  <c r="N1571" i="7"/>
  <c r="M1571" i="7"/>
  <c r="O1570" i="7"/>
  <c r="N1569" i="7"/>
  <c r="M1569" i="7"/>
  <c r="N1568" i="7"/>
  <c r="M1568" i="7"/>
  <c r="N1567" i="7"/>
  <c r="M1567" i="7"/>
  <c r="O1566" i="7"/>
  <c r="N1565" i="7"/>
  <c r="M1565" i="7"/>
  <c r="O1564" i="7"/>
  <c r="N1563" i="7"/>
  <c r="M1563" i="7"/>
  <c r="O1562" i="7"/>
  <c r="N1561" i="7"/>
  <c r="M1561" i="7"/>
  <c r="N1560" i="7"/>
  <c r="M1560" i="7"/>
  <c r="N1559" i="7"/>
  <c r="M1559" i="7"/>
  <c r="N1558" i="7"/>
  <c r="M1558" i="7"/>
  <c r="N1557" i="7"/>
  <c r="M1557" i="7"/>
  <c r="N1556" i="7"/>
  <c r="M1556" i="7"/>
  <c r="O1555" i="7"/>
  <c r="N1554" i="7"/>
  <c r="M1554" i="7"/>
  <c r="N1553" i="7"/>
  <c r="M1553" i="7"/>
  <c r="N1552" i="7"/>
  <c r="M1552" i="7"/>
  <c r="N1551" i="7"/>
  <c r="M1551" i="7"/>
  <c r="N1550" i="7"/>
  <c r="M1550" i="7"/>
  <c r="O1549" i="7"/>
  <c r="N1548" i="7"/>
  <c r="M1548" i="7"/>
  <c r="N1547" i="7"/>
  <c r="M1547" i="7"/>
  <c r="O1546" i="7"/>
  <c r="N1545" i="7"/>
  <c r="M1545" i="7"/>
  <c r="N1544" i="7"/>
  <c r="M1544" i="7"/>
  <c r="N1543" i="7"/>
  <c r="M1543" i="7"/>
  <c r="N1542" i="7"/>
  <c r="M1542" i="7"/>
  <c r="N1541" i="7"/>
  <c r="M1541" i="7"/>
  <c r="O1540" i="7"/>
  <c r="N1539" i="7"/>
  <c r="M1539" i="7"/>
  <c r="O1537" i="7"/>
  <c r="F1537" i="7"/>
  <c r="N1536" i="7"/>
  <c r="M1536" i="7"/>
  <c r="N1535" i="7"/>
  <c r="M1535" i="7"/>
  <c r="N1534" i="7"/>
  <c r="M1534" i="7"/>
  <c r="N1533" i="7"/>
  <c r="M1533" i="7"/>
  <c r="N1532" i="7"/>
  <c r="M1532" i="7"/>
  <c r="N1531" i="7"/>
  <c r="M1531" i="7"/>
  <c r="N1530" i="7"/>
  <c r="M1530" i="7"/>
  <c r="N1529" i="7"/>
  <c r="M1529" i="7"/>
  <c r="N1528" i="7"/>
  <c r="M1528" i="7"/>
  <c r="O1526" i="7"/>
  <c r="F1526" i="7"/>
  <c r="N1525" i="7"/>
  <c r="M1525" i="7"/>
  <c r="N1524" i="7"/>
  <c r="M1524" i="7"/>
  <c r="N1523" i="7"/>
  <c r="M1523" i="7"/>
  <c r="N1522" i="7"/>
  <c r="M1522" i="7"/>
  <c r="N1521" i="7"/>
  <c r="M1521" i="7"/>
  <c r="N1520" i="7"/>
  <c r="M1520" i="7"/>
  <c r="N1519" i="7"/>
  <c r="M1519" i="7"/>
  <c r="N1517" i="7"/>
  <c r="M1517" i="7"/>
  <c r="O1516" i="7"/>
  <c r="F1516" i="7"/>
  <c r="O1515" i="7"/>
  <c r="N1514" i="7"/>
  <c r="M1514" i="7"/>
  <c r="N1513" i="7"/>
  <c r="M1513" i="7"/>
  <c r="N1512" i="7"/>
  <c r="M1512" i="7"/>
  <c r="N1511" i="7"/>
  <c r="M1511" i="7"/>
  <c r="N1510" i="7"/>
  <c r="M1510" i="7"/>
  <c r="N1509" i="7"/>
  <c r="M1509" i="7"/>
  <c r="N1508" i="7"/>
  <c r="M1508" i="7"/>
  <c r="N1506" i="7"/>
  <c r="M1506" i="7"/>
  <c r="N1505" i="7"/>
  <c r="M1505" i="7"/>
  <c r="O1504" i="7"/>
  <c r="F1504" i="7"/>
  <c r="N1503" i="7"/>
  <c r="M1503" i="7"/>
  <c r="O1502" i="7"/>
  <c r="F1502" i="7"/>
  <c r="N1501" i="7"/>
  <c r="M1501" i="7"/>
  <c r="N1500" i="7"/>
  <c r="M1500" i="7"/>
  <c r="O1499" i="7"/>
  <c r="F1499" i="7"/>
  <c r="N1498" i="7"/>
  <c r="M1498" i="7"/>
  <c r="N1497" i="7"/>
  <c r="M1497" i="7"/>
  <c r="N1496" i="7"/>
  <c r="M1496" i="7"/>
  <c r="N1495" i="7"/>
  <c r="M1495" i="7"/>
  <c r="N1494" i="7"/>
  <c r="M1494" i="7"/>
  <c r="N1493" i="7"/>
  <c r="M1493" i="7"/>
  <c r="N1491" i="7"/>
  <c r="M1491" i="7"/>
  <c r="N1490" i="7"/>
  <c r="M1490" i="7"/>
  <c r="O1489" i="7"/>
  <c r="F1489" i="7"/>
  <c r="N1488" i="7"/>
  <c r="M1488" i="7"/>
  <c r="N1487" i="7"/>
  <c r="M1487" i="7"/>
  <c r="N1486" i="7"/>
  <c r="M1486" i="7"/>
  <c r="N1485" i="7"/>
  <c r="M1485" i="7"/>
  <c r="N1484" i="7"/>
  <c r="M1484" i="7"/>
  <c r="N1483" i="7"/>
  <c r="M1483" i="7"/>
  <c r="N1482" i="7"/>
  <c r="M1482" i="7"/>
  <c r="N1480" i="7"/>
  <c r="M1480" i="7"/>
  <c r="N1479" i="7"/>
  <c r="M1479" i="7"/>
  <c r="N1478" i="7"/>
  <c r="M1478" i="7"/>
  <c r="O1477" i="7"/>
  <c r="N1476" i="7"/>
  <c r="M1476" i="7"/>
  <c r="N1475" i="7"/>
  <c r="M1475" i="7"/>
  <c r="N1474" i="7"/>
  <c r="M1474" i="7"/>
  <c r="N1473" i="7"/>
  <c r="M1473" i="7"/>
  <c r="O1472" i="7"/>
  <c r="N1471" i="7"/>
  <c r="M1471" i="7"/>
  <c r="N1470" i="7"/>
  <c r="M1470" i="7"/>
  <c r="N1469" i="7"/>
  <c r="M1469" i="7"/>
  <c r="N1468" i="7"/>
  <c r="M1468" i="7"/>
  <c r="N1467" i="7"/>
  <c r="M1467" i="7"/>
  <c r="N1466" i="7"/>
  <c r="M1466" i="7"/>
  <c r="O1465" i="7"/>
  <c r="N1464" i="7"/>
  <c r="M1464" i="7"/>
  <c r="N1463" i="7"/>
  <c r="M1463" i="7"/>
  <c r="N1462" i="7"/>
  <c r="M1462" i="7"/>
  <c r="N1461" i="7"/>
  <c r="M1461" i="7"/>
  <c r="N1460" i="7"/>
  <c r="M1460" i="7"/>
  <c r="O1459" i="7"/>
  <c r="N1458" i="7"/>
  <c r="M1458" i="7"/>
  <c r="N1457" i="7"/>
  <c r="M1457" i="7"/>
  <c r="N1456" i="7"/>
  <c r="M1456" i="7"/>
  <c r="N1455" i="7"/>
  <c r="M1455" i="7"/>
  <c r="N1454" i="7"/>
  <c r="M1454" i="7"/>
  <c r="N1453" i="7"/>
  <c r="M1453" i="7"/>
  <c r="N1452" i="7"/>
  <c r="M1452" i="7"/>
  <c r="N1451" i="7"/>
  <c r="M1451" i="7"/>
  <c r="N1450" i="7"/>
  <c r="M1450" i="7"/>
  <c r="N1449" i="7"/>
  <c r="M1449" i="7"/>
  <c r="N1448" i="7"/>
  <c r="M1448" i="7"/>
  <c r="O1447" i="7"/>
  <c r="N1446" i="7"/>
  <c r="M1446" i="7"/>
  <c r="N1445" i="7"/>
  <c r="M1445" i="7"/>
  <c r="N1444" i="7"/>
  <c r="M1444" i="7"/>
  <c r="N1443" i="7"/>
  <c r="M1443" i="7"/>
  <c r="N1442" i="7"/>
  <c r="M1442" i="7"/>
  <c r="N1441" i="7"/>
  <c r="M1441" i="7"/>
  <c r="N1440" i="7"/>
  <c r="M1440" i="7"/>
  <c r="N1439" i="7"/>
  <c r="M1439" i="7"/>
  <c r="O1438" i="7"/>
  <c r="N1437" i="7"/>
  <c r="M1437" i="7"/>
  <c r="N1436" i="7"/>
  <c r="M1436" i="7"/>
  <c r="N1435" i="7"/>
  <c r="M1435" i="7"/>
  <c r="N1434" i="7"/>
  <c r="M1434" i="7"/>
  <c r="N1433" i="7"/>
  <c r="M1433" i="7"/>
  <c r="N1432" i="7"/>
  <c r="M1432" i="7"/>
  <c r="N1431" i="7"/>
  <c r="M1431" i="7"/>
  <c r="N1430" i="7"/>
  <c r="M1430" i="7"/>
  <c r="N1429" i="7"/>
  <c r="M1429" i="7"/>
  <c r="N1428" i="7"/>
  <c r="M1428" i="7"/>
  <c r="O1427" i="7"/>
  <c r="N1426" i="7"/>
  <c r="M1426" i="7"/>
  <c r="N1425" i="7"/>
  <c r="M1425" i="7"/>
  <c r="O1424" i="7"/>
  <c r="N1423" i="7"/>
  <c r="M1423" i="7"/>
  <c r="N1422" i="7"/>
  <c r="M1422" i="7"/>
  <c r="O1421" i="7"/>
  <c r="N1420" i="7"/>
  <c r="M1420" i="7"/>
  <c r="N1419" i="7"/>
  <c r="M1419" i="7"/>
  <c r="N1417" i="7"/>
  <c r="M1417" i="7"/>
  <c r="N1416" i="7"/>
  <c r="M1416" i="7"/>
  <c r="N1415" i="7"/>
  <c r="M1415" i="7"/>
  <c r="N1414" i="7"/>
  <c r="M1414" i="7"/>
  <c r="N1413" i="7"/>
  <c r="M1413" i="7"/>
  <c r="N1412" i="7"/>
  <c r="M1412" i="7"/>
  <c r="N1411" i="7"/>
  <c r="M1411" i="7"/>
  <c r="N1410" i="7"/>
  <c r="M1410" i="7"/>
  <c r="O1409" i="7"/>
  <c r="F1409" i="7"/>
  <c r="N1408" i="7"/>
  <c r="M1408" i="7"/>
  <c r="N1407" i="7"/>
  <c r="M1407" i="7"/>
  <c r="N1406" i="7"/>
  <c r="M1406" i="7"/>
  <c r="N1405" i="7"/>
  <c r="M1405" i="7"/>
  <c r="N1404" i="7"/>
  <c r="M1404" i="7"/>
  <c r="N1403" i="7"/>
  <c r="M1403" i="7"/>
  <c r="N1402" i="7"/>
  <c r="M1402" i="7"/>
  <c r="N1401" i="7"/>
  <c r="M1401" i="7"/>
  <c r="O1400" i="7"/>
  <c r="F1400" i="7"/>
  <c r="N1399" i="7"/>
  <c r="M1399" i="7"/>
  <c r="O1398" i="7"/>
  <c r="F1398" i="7"/>
  <c r="N1397" i="7"/>
  <c r="M1397" i="7"/>
  <c r="N1396" i="7"/>
  <c r="M1396" i="7"/>
  <c r="N1395" i="7"/>
  <c r="M1395" i="7"/>
  <c r="N1394" i="7"/>
  <c r="M1394" i="7"/>
  <c r="N1393" i="7"/>
  <c r="M1393" i="7"/>
  <c r="N1392" i="7"/>
  <c r="M1392" i="7"/>
  <c r="N1391" i="7"/>
  <c r="M1391" i="7"/>
  <c r="N1390" i="7"/>
  <c r="M1390" i="7"/>
  <c r="N1389" i="7"/>
  <c r="M1389" i="7"/>
  <c r="N1388" i="7"/>
  <c r="M1388" i="7"/>
  <c r="N1387" i="7"/>
  <c r="M1387" i="7"/>
  <c r="N1386" i="7"/>
  <c r="M1386" i="7"/>
  <c r="N1385" i="7"/>
  <c r="M1385" i="7"/>
  <c r="N1384" i="7"/>
  <c r="M1384" i="7"/>
  <c r="N1383" i="7"/>
  <c r="M1383" i="7"/>
  <c r="N1382" i="7"/>
  <c r="M1382" i="7"/>
  <c r="N1381" i="7"/>
  <c r="M1381" i="7"/>
  <c r="N1380" i="7"/>
  <c r="M1380" i="7"/>
  <c r="N1379" i="7"/>
  <c r="M1379" i="7"/>
  <c r="N1378" i="7"/>
  <c r="M1378" i="7"/>
  <c r="N1377" i="7"/>
  <c r="M1377" i="7"/>
  <c r="O1376" i="7"/>
  <c r="N1375" i="7"/>
  <c r="M1375" i="7"/>
  <c r="N1374" i="7"/>
  <c r="M1374" i="7"/>
  <c r="N1373" i="7"/>
  <c r="M1373" i="7"/>
  <c r="N1372" i="7"/>
  <c r="M1372" i="7"/>
  <c r="N1371" i="7"/>
  <c r="M1371" i="7"/>
  <c r="N1370" i="7"/>
  <c r="M1370" i="7"/>
  <c r="O1369" i="7"/>
  <c r="N1368" i="7"/>
  <c r="M1368" i="7"/>
  <c r="N1367" i="7"/>
  <c r="M1367" i="7"/>
  <c r="O1366" i="7"/>
  <c r="N1365" i="7"/>
  <c r="M1365" i="7"/>
  <c r="N1364" i="7"/>
  <c r="M1364" i="7"/>
  <c r="N1363" i="7"/>
  <c r="M1363" i="7"/>
  <c r="N1362" i="7"/>
  <c r="M1362" i="7"/>
  <c r="N1361" i="7"/>
  <c r="M1361" i="7"/>
  <c r="N1360" i="7"/>
  <c r="M1360" i="7"/>
  <c r="N1359" i="7"/>
  <c r="M1359" i="7"/>
  <c r="N1358" i="7"/>
  <c r="M1358" i="7"/>
  <c r="N1357" i="7"/>
  <c r="M1357" i="7"/>
  <c r="O1356" i="7"/>
  <c r="N1353" i="7"/>
  <c r="M1353" i="7"/>
  <c r="O1352" i="7"/>
  <c r="M1352" i="7" s="1"/>
  <c r="F1352" i="7"/>
  <c r="N1351" i="7"/>
  <c r="M1351" i="7"/>
  <c r="O1350" i="7"/>
  <c r="N1349" i="7"/>
  <c r="M1349" i="7"/>
  <c r="N1348" i="7"/>
  <c r="M1348" i="7"/>
  <c r="N1347" i="7"/>
  <c r="M1347" i="7"/>
  <c r="O1346" i="7"/>
  <c r="N1345" i="7"/>
  <c r="M1345" i="7"/>
  <c r="N1344" i="7"/>
  <c r="M1344" i="7"/>
  <c r="N1343" i="7"/>
  <c r="M1343" i="7"/>
  <c r="N1342" i="7"/>
  <c r="M1342" i="7"/>
  <c r="N1341" i="7"/>
  <c r="M1341" i="7"/>
  <c r="N1338" i="7"/>
  <c r="M1338" i="7"/>
  <c r="O1337" i="7"/>
  <c r="F1337" i="7"/>
  <c r="N1336" i="7"/>
  <c r="M1336" i="7"/>
  <c r="O1335" i="7"/>
  <c r="F1335" i="7"/>
  <c r="O1334" i="7"/>
  <c r="F1334" i="7"/>
  <c r="N1333" i="7"/>
  <c r="M1333" i="7"/>
  <c r="O1332" i="7"/>
  <c r="F1332" i="7"/>
  <c r="M1331" i="7"/>
  <c r="F1331" i="7"/>
  <c r="N1330" i="7"/>
  <c r="M1330" i="7"/>
  <c r="N1329" i="7"/>
  <c r="M1329" i="7"/>
  <c r="N1328" i="7"/>
  <c r="M1328" i="7"/>
  <c r="N1327" i="7"/>
  <c r="M1327" i="7"/>
  <c r="N1326" i="7"/>
  <c r="M1326" i="7"/>
  <c r="O1325" i="7"/>
  <c r="F1325" i="7"/>
  <c r="N1323" i="7"/>
  <c r="M1323" i="7"/>
  <c r="N1322" i="7"/>
  <c r="M1322" i="7"/>
  <c r="O1321" i="7"/>
  <c r="N1320" i="7"/>
  <c r="M1320" i="7"/>
  <c r="N1319" i="7"/>
  <c r="M1319" i="7"/>
  <c r="N1318" i="7"/>
  <c r="M1318" i="7"/>
  <c r="N1317" i="7"/>
  <c r="M1317" i="7"/>
  <c r="N1316" i="7"/>
  <c r="M1316" i="7"/>
  <c r="O1315" i="7"/>
  <c r="N1314" i="7"/>
  <c r="M1314" i="7"/>
  <c r="N1313" i="7"/>
  <c r="M1313" i="7"/>
  <c r="N1312" i="7"/>
  <c r="M1312" i="7"/>
  <c r="N1311" i="7"/>
  <c r="M1311" i="7"/>
  <c r="M1309" i="7"/>
  <c r="N1309" i="7" s="1"/>
  <c r="O1308" i="7"/>
  <c r="F1308" i="7"/>
  <c r="O1306" i="7"/>
  <c r="N1305" i="7"/>
  <c r="M1305" i="7"/>
  <c r="N1304" i="7"/>
  <c r="M1304" i="7"/>
  <c r="O1303" i="7"/>
  <c r="N1302" i="7"/>
  <c r="M1302" i="7"/>
  <c r="N1301" i="7"/>
  <c r="M1301" i="7"/>
  <c r="N1300" i="7"/>
  <c r="M1300" i="7"/>
  <c r="N1299" i="7"/>
  <c r="M1299" i="7"/>
  <c r="N1298" i="7"/>
  <c r="M1298" i="7"/>
  <c r="N1296" i="7"/>
  <c r="M1296" i="7"/>
  <c r="N1295" i="7"/>
  <c r="M1295" i="7"/>
  <c r="N1294" i="7"/>
  <c r="M1294" i="7"/>
  <c r="O1293" i="7"/>
  <c r="F1293" i="7"/>
  <c r="N1292" i="7"/>
  <c r="M1292" i="7"/>
  <c r="N1291" i="7"/>
  <c r="M1291" i="7"/>
  <c r="N1290" i="7"/>
  <c r="M1290" i="7"/>
  <c r="N1289" i="7"/>
  <c r="M1289" i="7"/>
  <c r="O1288" i="7"/>
  <c r="F1288" i="7"/>
  <c r="N1287" i="7"/>
  <c r="M1287" i="7"/>
  <c r="N1286" i="7"/>
  <c r="M1286" i="7"/>
  <c r="N1285" i="7"/>
  <c r="M1285" i="7"/>
  <c r="N1284" i="7"/>
  <c r="M1284" i="7"/>
  <c r="N1283" i="7"/>
  <c r="M1283" i="7"/>
  <c r="N1282" i="7"/>
  <c r="M1282" i="7"/>
  <c r="N1281" i="7"/>
  <c r="M1281" i="7"/>
  <c r="N1280" i="7"/>
  <c r="M1280" i="7"/>
  <c r="N1279" i="7"/>
  <c r="M1279" i="7"/>
  <c r="N1278" i="7"/>
  <c r="M1278" i="7"/>
  <c r="N1277" i="7"/>
  <c r="M1277" i="7"/>
  <c r="N1276" i="7"/>
  <c r="M1276" i="7"/>
  <c r="N1275" i="7"/>
  <c r="M1275" i="7"/>
  <c r="N1274" i="7"/>
  <c r="M1274" i="7"/>
  <c r="N1273" i="7"/>
  <c r="M1273" i="7"/>
  <c r="N1272" i="7"/>
  <c r="M1272" i="7"/>
  <c r="N1271" i="7"/>
  <c r="M1271" i="7"/>
  <c r="N1270" i="7"/>
  <c r="M1270" i="7"/>
  <c r="N1269" i="7"/>
  <c r="M1269" i="7"/>
  <c r="N1268" i="7"/>
  <c r="M1268" i="7"/>
  <c r="N1267" i="7"/>
  <c r="M1267" i="7"/>
  <c r="N1266" i="7"/>
  <c r="M1266" i="7"/>
  <c r="N1265" i="7"/>
  <c r="M1265" i="7"/>
  <c r="N1264" i="7"/>
  <c r="M1264" i="7"/>
  <c r="N1263" i="7"/>
  <c r="M1263" i="7"/>
  <c r="N1262" i="7"/>
  <c r="M1262" i="7"/>
  <c r="N1261" i="7"/>
  <c r="M1261" i="7"/>
  <c r="N1260" i="7"/>
  <c r="M1260" i="7"/>
  <c r="N1259" i="7"/>
  <c r="M1259" i="7"/>
  <c r="N1257" i="7"/>
  <c r="M1257" i="7"/>
  <c r="N1256" i="7"/>
  <c r="M1256" i="7"/>
  <c r="N1255" i="7"/>
  <c r="M1255" i="7"/>
  <c r="N1254" i="7"/>
  <c r="M1254" i="7"/>
  <c r="N1253" i="7"/>
  <c r="M1253" i="7"/>
  <c r="N1252" i="7"/>
  <c r="M1252" i="7"/>
  <c r="N1251" i="7"/>
  <c r="M1251" i="7"/>
  <c r="N1250" i="7"/>
  <c r="M1250" i="7"/>
  <c r="N1249" i="7"/>
  <c r="M1249" i="7"/>
  <c r="N1248" i="7"/>
  <c r="M1248" i="7"/>
  <c r="N1247" i="7"/>
  <c r="M1247" i="7"/>
  <c r="N1246" i="7"/>
  <c r="M1246" i="7"/>
  <c r="N1245" i="7"/>
  <c r="M1245" i="7"/>
  <c r="N1244" i="7"/>
  <c r="M1244" i="7"/>
  <c r="N1243" i="7"/>
  <c r="M1243" i="7"/>
  <c r="N1242" i="7"/>
  <c r="M1242" i="7"/>
  <c r="N1241" i="7"/>
  <c r="M1241" i="7"/>
  <c r="N1240" i="7"/>
  <c r="M1240" i="7"/>
  <c r="N1239" i="7"/>
  <c r="M1239" i="7"/>
  <c r="N1238" i="7"/>
  <c r="M1238" i="7"/>
  <c r="N1237" i="7"/>
  <c r="M1237" i="7"/>
  <c r="N1236" i="7"/>
  <c r="M1236" i="7"/>
  <c r="N1235" i="7"/>
  <c r="M1235" i="7"/>
  <c r="N1234" i="7"/>
  <c r="M1234" i="7"/>
  <c r="N1233" i="7"/>
  <c r="M1233" i="7"/>
  <c r="N1232" i="7"/>
  <c r="M1232" i="7"/>
  <c r="N1231" i="7"/>
  <c r="M1231" i="7"/>
  <c r="N1230" i="7"/>
  <c r="M1230" i="7"/>
  <c r="N1229" i="7"/>
  <c r="M1229" i="7"/>
  <c r="N1228" i="7"/>
  <c r="M1228" i="7"/>
  <c r="N1227" i="7"/>
  <c r="M1227" i="7"/>
  <c r="N1226" i="7"/>
  <c r="M1226" i="7"/>
  <c r="N1225" i="7"/>
  <c r="M1225" i="7"/>
  <c r="N1224" i="7"/>
  <c r="M1224" i="7"/>
  <c r="N1223" i="7"/>
  <c r="M1223" i="7"/>
  <c r="N1222" i="7"/>
  <c r="M1222" i="7"/>
  <c r="N1221" i="7"/>
  <c r="M1221" i="7"/>
  <c r="N1220" i="7"/>
  <c r="M1220" i="7"/>
  <c r="N1219" i="7"/>
  <c r="M1219" i="7"/>
  <c r="N1218" i="7"/>
  <c r="M1218" i="7"/>
  <c r="N1217" i="7"/>
  <c r="M1217" i="7"/>
  <c r="O1216" i="7"/>
  <c r="F1216" i="7"/>
  <c r="N1215" i="7"/>
  <c r="M1215" i="7"/>
  <c r="N1214" i="7"/>
  <c r="M1214" i="7"/>
  <c r="N1213" i="7"/>
  <c r="M1213" i="7"/>
  <c r="N1212" i="7"/>
  <c r="M1212" i="7"/>
  <c r="N1211" i="7"/>
  <c r="M1211" i="7"/>
  <c r="N1210" i="7"/>
  <c r="M1210" i="7"/>
  <c r="N1209" i="7"/>
  <c r="M1209" i="7"/>
  <c r="N1208" i="7"/>
  <c r="M1208" i="7"/>
  <c r="N1207" i="7"/>
  <c r="M1207" i="7"/>
  <c r="N1206" i="7"/>
  <c r="M1206" i="7"/>
  <c r="N1205" i="7"/>
  <c r="M1205" i="7"/>
  <c r="N1204" i="7"/>
  <c r="M1204" i="7"/>
  <c r="O1203" i="7"/>
  <c r="N1202" i="7"/>
  <c r="M1202" i="7"/>
  <c r="N1201" i="7"/>
  <c r="M1201" i="7"/>
  <c r="N1200" i="7"/>
  <c r="M1200" i="7"/>
  <c r="N1199" i="7"/>
  <c r="M1199" i="7"/>
  <c r="N1198" i="7"/>
  <c r="M1198" i="7"/>
  <c r="N1197" i="7"/>
  <c r="M1197" i="7"/>
  <c r="N1196" i="7"/>
  <c r="M1196" i="7"/>
  <c r="O1195" i="7"/>
  <c r="N1194" i="7"/>
  <c r="M1194" i="7"/>
  <c r="N1193" i="7"/>
  <c r="M1193" i="7"/>
  <c r="N1191" i="7"/>
  <c r="M1191" i="7"/>
  <c r="N1190" i="7"/>
  <c r="M1190" i="7"/>
  <c r="O1189" i="7"/>
  <c r="F1189" i="7"/>
  <c r="O1188" i="7"/>
  <c r="F1188" i="7"/>
  <c r="N1187" i="7"/>
  <c r="M1187" i="7"/>
  <c r="O1186" i="7"/>
  <c r="M1186" i="7" s="1"/>
  <c r="F1186" i="7"/>
  <c r="M1185" i="7"/>
  <c r="F1185" i="7"/>
  <c r="N1184" i="7"/>
  <c r="M1184" i="7"/>
  <c r="N1183" i="7"/>
  <c r="M1183" i="7"/>
  <c r="N1182" i="7"/>
  <c r="M1182" i="7"/>
  <c r="N1181" i="7"/>
  <c r="M1181" i="7"/>
  <c r="O1180" i="7"/>
  <c r="F1180" i="7"/>
  <c r="N1179" i="7"/>
  <c r="M1179" i="7"/>
  <c r="N1178" i="7"/>
  <c r="M1178" i="7"/>
  <c r="N1177" i="7"/>
  <c r="M1177" i="7"/>
  <c r="N1176" i="7"/>
  <c r="M1176" i="7"/>
  <c r="N1175" i="7"/>
  <c r="M1175" i="7"/>
  <c r="O1174" i="7"/>
  <c r="F1174" i="7"/>
  <c r="N1173" i="7"/>
  <c r="M1173" i="7"/>
  <c r="N1172" i="7"/>
  <c r="M1172" i="7"/>
  <c r="N1171" i="7"/>
  <c r="M1171" i="7"/>
  <c r="N1169" i="7"/>
  <c r="M1169" i="7"/>
  <c r="N1168" i="7"/>
  <c r="M1168" i="7"/>
  <c r="N1167" i="7"/>
  <c r="M1167" i="7"/>
  <c r="O1166" i="7"/>
  <c r="F1166" i="7"/>
  <c r="N1165" i="7"/>
  <c r="M1165" i="7"/>
  <c r="N1164" i="7"/>
  <c r="M1164" i="7"/>
  <c r="N1163" i="7"/>
  <c r="M1163" i="7"/>
  <c r="N1162" i="7"/>
  <c r="M1162" i="7"/>
  <c r="O1161" i="7"/>
  <c r="F1161" i="7"/>
  <c r="N1160" i="7"/>
  <c r="M1160" i="7"/>
  <c r="N1159" i="7"/>
  <c r="M1159" i="7"/>
  <c r="N1158" i="7"/>
  <c r="M1158" i="7"/>
  <c r="N1157" i="7"/>
  <c r="M1157" i="7"/>
  <c r="N1156" i="7"/>
  <c r="M1156" i="7"/>
  <c r="N1155" i="7"/>
  <c r="M1155" i="7"/>
  <c r="N1154" i="7"/>
  <c r="M1154" i="7"/>
  <c r="N1153" i="7"/>
  <c r="M1153" i="7"/>
  <c r="N1152" i="7"/>
  <c r="M1152" i="7"/>
  <c r="N1151" i="7"/>
  <c r="M1151" i="7"/>
  <c r="N1150" i="7"/>
  <c r="M1150" i="7"/>
  <c r="N1148" i="7"/>
  <c r="M1148" i="7"/>
  <c r="N1147" i="7"/>
  <c r="M1147" i="7"/>
  <c r="O1146" i="7"/>
  <c r="M1146" i="7" s="1"/>
  <c r="F1146" i="7"/>
  <c r="N1145" i="7"/>
  <c r="M1145" i="7"/>
  <c r="N1144" i="7"/>
  <c r="M1144" i="7"/>
  <c r="N1143" i="7"/>
  <c r="M1143" i="7"/>
  <c r="O1142" i="7"/>
  <c r="F1142" i="7"/>
  <c r="N1141" i="7"/>
  <c r="M1141" i="7"/>
  <c r="M1140" i="7"/>
  <c r="F1140" i="7"/>
  <c r="N1140" i="7" s="1"/>
  <c r="N1139" i="7"/>
  <c r="M1139" i="7"/>
  <c r="N1138" i="7"/>
  <c r="M1138" i="7"/>
  <c r="N1137" i="7"/>
  <c r="M1137" i="7"/>
  <c r="N1136" i="7"/>
  <c r="M1136" i="7"/>
  <c r="N1135" i="7"/>
  <c r="M1135" i="7"/>
  <c r="N1134" i="7"/>
  <c r="M1134" i="7"/>
  <c r="N1133" i="7"/>
  <c r="M1133" i="7"/>
  <c r="N1132" i="7"/>
  <c r="M1132" i="7"/>
  <c r="N1131" i="7"/>
  <c r="M1131" i="7"/>
  <c r="N1130" i="7"/>
  <c r="M1130" i="7"/>
  <c r="N1129" i="7"/>
  <c r="M1129" i="7"/>
  <c r="N1128" i="7"/>
  <c r="M1128" i="7"/>
  <c r="N1127" i="7"/>
  <c r="M1127" i="7"/>
  <c r="N1125" i="7"/>
  <c r="M1125" i="7"/>
  <c r="N1124" i="7"/>
  <c r="M1124" i="7"/>
  <c r="N1123" i="7"/>
  <c r="M1123" i="7"/>
  <c r="N1122" i="7"/>
  <c r="M1122" i="7"/>
  <c r="N1121" i="7"/>
  <c r="M1121" i="7"/>
  <c r="N1120" i="7"/>
  <c r="M1120" i="7"/>
  <c r="N1119" i="7"/>
  <c r="M1119" i="7"/>
  <c r="N1118" i="7"/>
  <c r="M1118" i="7"/>
  <c r="N1117" i="7"/>
  <c r="M1117" i="7"/>
  <c r="N1116" i="7"/>
  <c r="M1116" i="7"/>
  <c r="N1115" i="7"/>
  <c r="M1115" i="7"/>
  <c r="N1114" i="7"/>
  <c r="M1114" i="7"/>
  <c r="N1113" i="7"/>
  <c r="M1113" i="7"/>
  <c r="N1112" i="7"/>
  <c r="M1112" i="7"/>
  <c r="N1111" i="7"/>
  <c r="M1111" i="7"/>
  <c r="N1110" i="7"/>
  <c r="M1110" i="7"/>
  <c r="N1109" i="7"/>
  <c r="M1109" i="7"/>
  <c r="N1108" i="7"/>
  <c r="M1108" i="7"/>
  <c r="N1107" i="7"/>
  <c r="M1107" i="7"/>
  <c r="N1106" i="7"/>
  <c r="M1106" i="7"/>
  <c r="N1105" i="7"/>
  <c r="M1105" i="7"/>
  <c r="N1104" i="7"/>
  <c r="M1104" i="7"/>
  <c r="N1103" i="7"/>
  <c r="M1103" i="7"/>
  <c r="N1102" i="7"/>
  <c r="M1102" i="7"/>
  <c r="N1101" i="7"/>
  <c r="M1101" i="7"/>
  <c r="N1100" i="7"/>
  <c r="M1100" i="7"/>
  <c r="N1099" i="7"/>
  <c r="M1099" i="7"/>
  <c r="N1098" i="7"/>
  <c r="M1098" i="7"/>
  <c r="O1097" i="7"/>
  <c r="F1097" i="7"/>
  <c r="N1096" i="7"/>
  <c r="M1096" i="7"/>
  <c r="N1095" i="7"/>
  <c r="M1095" i="7"/>
  <c r="N1094" i="7"/>
  <c r="M1094" i="7"/>
  <c r="N1093" i="7"/>
  <c r="M1093" i="7"/>
  <c r="N1092" i="7"/>
  <c r="M1092" i="7"/>
  <c r="N1091" i="7"/>
  <c r="M1091" i="7"/>
  <c r="N1090" i="7"/>
  <c r="M1090" i="7"/>
  <c r="O1089" i="7"/>
  <c r="F1089" i="7"/>
  <c r="O1088" i="7"/>
  <c r="F1088" i="7"/>
  <c r="N1087" i="7"/>
  <c r="M1087" i="7"/>
  <c r="N1086" i="7"/>
  <c r="M1086" i="7"/>
  <c r="N1085" i="7"/>
  <c r="M1085" i="7"/>
  <c r="N1084" i="7"/>
  <c r="M1084" i="7"/>
  <c r="N1083" i="7"/>
  <c r="M1083" i="7"/>
  <c r="O1082" i="7"/>
  <c r="F1082" i="7"/>
  <c r="N1081" i="7"/>
  <c r="M1081" i="7"/>
  <c r="O1080" i="7"/>
  <c r="F1080" i="7"/>
  <c r="N1079" i="7"/>
  <c r="M1079" i="7"/>
  <c r="N1078" i="7"/>
  <c r="M1078" i="7"/>
  <c r="N1077" i="7"/>
  <c r="M1077" i="7"/>
  <c r="N1076" i="7"/>
  <c r="M1076" i="7"/>
  <c r="N1075" i="7"/>
  <c r="M1075" i="7"/>
  <c r="N1074" i="7"/>
  <c r="M1074" i="7"/>
  <c r="N1073" i="7"/>
  <c r="M1073" i="7"/>
  <c r="N1072" i="7"/>
  <c r="M1072" i="7"/>
  <c r="N1071" i="7"/>
  <c r="M1071" i="7"/>
  <c r="N1070" i="7"/>
  <c r="M1070" i="7"/>
  <c r="M1069" i="7"/>
  <c r="F1069" i="7"/>
  <c r="O1068" i="7"/>
  <c r="F1068" i="7"/>
  <c r="N1067" i="7"/>
  <c r="M1067" i="7"/>
  <c r="N1066" i="7"/>
  <c r="M1066" i="7"/>
  <c r="N1065" i="7"/>
  <c r="M1065" i="7"/>
  <c r="O1064" i="7"/>
  <c r="F1064" i="7"/>
  <c r="N1063" i="7"/>
  <c r="M1063" i="7"/>
  <c r="N1061" i="7"/>
  <c r="M1061" i="7"/>
  <c r="N1060" i="7"/>
  <c r="M1060" i="7"/>
  <c r="N1059" i="7"/>
  <c r="M1059" i="7"/>
  <c r="N1058" i="7"/>
  <c r="M1058" i="7"/>
  <c r="N1057" i="7"/>
  <c r="M1057" i="7"/>
  <c r="N1056" i="7"/>
  <c r="M1056" i="7"/>
  <c r="N1055" i="7"/>
  <c r="M1055" i="7"/>
  <c r="N1054" i="7"/>
  <c r="M1054" i="7"/>
  <c r="N1053" i="7"/>
  <c r="M1053" i="7"/>
  <c r="O1052" i="7"/>
  <c r="N1051" i="7"/>
  <c r="M1051" i="7"/>
  <c r="N1050" i="7"/>
  <c r="M1050" i="7"/>
  <c r="N1049" i="7"/>
  <c r="M1049" i="7"/>
  <c r="N1047" i="7"/>
  <c r="M1047" i="7"/>
  <c r="N1046" i="7"/>
  <c r="M1046" i="7"/>
  <c r="N1045" i="7"/>
  <c r="M1045" i="7"/>
  <c r="N1044" i="7"/>
  <c r="M1044" i="7"/>
  <c r="N1043" i="7"/>
  <c r="M1043" i="7"/>
  <c r="N1042" i="7"/>
  <c r="M1042" i="7"/>
  <c r="N1041" i="7"/>
  <c r="M1041" i="7"/>
  <c r="O1040" i="7"/>
  <c r="F1040" i="7"/>
  <c r="O1039" i="7"/>
  <c r="N1038" i="7"/>
  <c r="M1038" i="7"/>
  <c r="N1037" i="7"/>
  <c r="M1037" i="7"/>
  <c r="N1035" i="7"/>
  <c r="M1035" i="7"/>
  <c r="N1034" i="7"/>
  <c r="M1034" i="7"/>
  <c r="N1033" i="7"/>
  <c r="M1033" i="7"/>
  <c r="N1032" i="7"/>
  <c r="M1032" i="7"/>
  <c r="N1030" i="7"/>
  <c r="M1030" i="7"/>
  <c r="N1029" i="7"/>
  <c r="M1029" i="7"/>
  <c r="N1028" i="7"/>
  <c r="M1028" i="7"/>
  <c r="N1027" i="7"/>
  <c r="M1027" i="7"/>
  <c r="O1026" i="7"/>
  <c r="F1026" i="7"/>
  <c r="N1025" i="7"/>
  <c r="M1025" i="7"/>
  <c r="M1024" i="7"/>
  <c r="F1024" i="7"/>
  <c r="N1024" i="7" s="1"/>
  <c r="N1023" i="7"/>
  <c r="M1023" i="7"/>
  <c r="N1022" i="7"/>
  <c r="M1022" i="7"/>
  <c r="N1020" i="7"/>
  <c r="M1020" i="7"/>
  <c r="N1019" i="7"/>
  <c r="M1019" i="7"/>
  <c r="O1018" i="7"/>
  <c r="M1018" i="7" s="1"/>
  <c r="F1018" i="7"/>
  <c r="N1017" i="7"/>
  <c r="M1017" i="7"/>
  <c r="N1016" i="7"/>
  <c r="M1016" i="7"/>
  <c r="N1015" i="7"/>
  <c r="M1015" i="7"/>
  <c r="N1014" i="7"/>
  <c r="M1014" i="7"/>
  <c r="N1013" i="7"/>
  <c r="M1013" i="7"/>
  <c r="N1012" i="7"/>
  <c r="M1012" i="7"/>
  <c r="N1011" i="7"/>
  <c r="M1011" i="7"/>
  <c r="N1010" i="7"/>
  <c r="M1010" i="7"/>
  <c r="N1009" i="7"/>
  <c r="M1009" i="7"/>
  <c r="O1008" i="7"/>
  <c r="N1007" i="7"/>
  <c r="M1007" i="7"/>
  <c r="N1006" i="7"/>
  <c r="M1006" i="7"/>
  <c r="N1005" i="7"/>
  <c r="M1005" i="7"/>
  <c r="N1004" i="7"/>
  <c r="M1004" i="7"/>
  <c r="N1003" i="7"/>
  <c r="M1003" i="7"/>
  <c r="N1001" i="7"/>
  <c r="M1001" i="7"/>
  <c r="N1000" i="7"/>
  <c r="M1000" i="7"/>
  <c r="O999" i="7"/>
  <c r="F999" i="7"/>
  <c r="M998" i="7"/>
  <c r="F998" i="7"/>
  <c r="N997" i="7"/>
  <c r="M997" i="7"/>
  <c r="O996" i="7"/>
  <c r="N995" i="7"/>
  <c r="M995" i="7"/>
  <c r="N994" i="7"/>
  <c r="M994" i="7"/>
  <c r="N993" i="7"/>
  <c r="M993" i="7"/>
  <c r="N992" i="7"/>
  <c r="M992" i="7"/>
  <c r="N991" i="7"/>
  <c r="M991" i="7"/>
  <c r="O990" i="7"/>
  <c r="N989" i="7"/>
  <c r="N988" i="7"/>
  <c r="N987" i="7"/>
  <c r="N986" i="7"/>
  <c r="N985" i="7"/>
  <c r="N984" i="7"/>
  <c r="N983" i="7"/>
  <c r="N982" i="7"/>
  <c r="N981" i="7"/>
  <c r="N980" i="7"/>
  <c r="N979" i="7"/>
  <c r="O978" i="7"/>
  <c r="O975" i="7"/>
  <c r="F975" i="7"/>
  <c r="O974" i="7"/>
  <c r="F974" i="7"/>
  <c r="O973" i="7"/>
  <c r="F973" i="7"/>
  <c r="N972" i="7"/>
  <c r="M972" i="7"/>
  <c r="N971" i="7"/>
  <c r="M971" i="7"/>
  <c r="N970" i="7"/>
  <c r="M970" i="7"/>
  <c r="N969" i="7"/>
  <c r="M969" i="7"/>
  <c r="N968" i="7"/>
  <c r="M968" i="7"/>
  <c r="N967" i="7"/>
  <c r="M967" i="7"/>
  <c r="N966" i="7"/>
  <c r="M966" i="7"/>
  <c r="N965" i="7"/>
  <c r="M965" i="7"/>
  <c r="N964" i="7"/>
  <c r="M964" i="7"/>
  <c r="N963" i="7"/>
  <c r="M963" i="7"/>
  <c r="N962" i="7"/>
  <c r="M962" i="7"/>
  <c r="N961" i="7"/>
  <c r="M961" i="7"/>
  <c r="N960" i="7"/>
  <c r="M960" i="7"/>
  <c r="N959" i="7"/>
  <c r="M959" i="7"/>
  <c r="N958" i="7"/>
  <c r="M958" i="7"/>
  <c r="N957" i="7"/>
  <c r="M957" i="7"/>
  <c r="N956" i="7"/>
  <c r="M956" i="7"/>
  <c r="N955" i="7"/>
  <c r="M955" i="7"/>
  <c r="N954" i="7"/>
  <c r="M954" i="7"/>
  <c r="N953" i="7"/>
  <c r="M953" i="7"/>
  <c r="N952" i="7"/>
  <c r="M952" i="7"/>
  <c r="N951" i="7"/>
  <c r="M951" i="7"/>
  <c r="N950" i="7"/>
  <c r="M950" i="7"/>
  <c r="N949" i="7"/>
  <c r="M949" i="7"/>
  <c r="N948" i="7"/>
  <c r="M948" i="7"/>
  <c r="N947" i="7"/>
  <c r="M947" i="7"/>
  <c r="N946" i="7"/>
  <c r="M946" i="7"/>
  <c r="N945" i="7"/>
  <c r="M945" i="7"/>
  <c r="N944" i="7"/>
  <c r="M944" i="7"/>
  <c r="N943" i="7"/>
  <c r="M943" i="7"/>
  <c r="N942" i="7"/>
  <c r="M942" i="7"/>
  <c r="N941" i="7"/>
  <c r="M941" i="7"/>
  <c r="N940" i="7"/>
  <c r="M940" i="7"/>
  <c r="O939" i="7"/>
  <c r="F939" i="7"/>
  <c r="N938" i="7"/>
  <c r="M938" i="7"/>
  <c r="N937" i="7"/>
  <c r="M937" i="7"/>
  <c r="N936" i="7"/>
  <c r="M936" i="7"/>
  <c r="N935" i="7"/>
  <c r="M935" i="7"/>
  <c r="N934" i="7"/>
  <c r="M934" i="7"/>
  <c r="N933" i="7"/>
  <c r="M933" i="7"/>
  <c r="N932" i="7"/>
  <c r="M932" i="7"/>
  <c r="N931" i="7"/>
  <c r="M931" i="7"/>
  <c r="N930" i="7"/>
  <c r="M930" i="7"/>
  <c r="O929" i="7"/>
  <c r="F929" i="7"/>
  <c r="N928" i="7"/>
  <c r="M928" i="7"/>
  <c r="O927" i="7"/>
  <c r="F927" i="7"/>
  <c r="O926" i="7"/>
  <c r="F926" i="7"/>
  <c r="M925" i="7"/>
  <c r="N922" i="7"/>
  <c r="M922" i="7"/>
  <c r="N921" i="7"/>
  <c r="M921" i="7"/>
  <c r="N920" i="7"/>
  <c r="M920" i="7"/>
  <c r="N919" i="7"/>
  <c r="M919" i="7"/>
  <c r="N918" i="7"/>
  <c r="M918" i="7"/>
  <c r="N917" i="7"/>
  <c r="M917" i="7"/>
  <c r="N916" i="7"/>
  <c r="M916" i="7"/>
  <c r="N915" i="7"/>
  <c r="M915" i="7"/>
  <c r="N914" i="7"/>
  <c r="M914" i="7"/>
  <c r="N913" i="7"/>
  <c r="M913" i="7"/>
  <c r="N912" i="7"/>
  <c r="M912" i="7"/>
  <c r="N911" i="7"/>
  <c r="M911" i="7"/>
  <c r="N910" i="7"/>
  <c r="M910" i="7"/>
  <c r="N909" i="7"/>
  <c r="M909" i="7"/>
  <c r="N908" i="7"/>
  <c r="M908" i="7"/>
  <c r="N907" i="7"/>
  <c r="M907" i="7"/>
  <c r="N906" i="7"/>
  <c r="M906" i="7"/>
  <c r="N905" i="7"/>
  <c r="M905" i="7"/>
  <c r="N904" i="7"/>
  <c r="M904" i="7"/>
  <c r="N903" i="7"/>
  <c r="M903" i="7"/>
  <c r="N902" i="7"/>
  <c r="M902" i="7"/>
  <c r="N901" i="7"/>
  <c r="M901" i="7"/>
  <c r="N900" i="7"/>
  <c r="M900" i="7"/>
  <c r="N899" i="7"/>
  <c r="M899" i="7"/>
  <c r="N898" i="7"/>
  <c r="M898" i="7"/>
  <c r="N897" i="7"/>
  <c r="M897" i="7"/>
  <c r="N896" i="7"/>
  <c r="M896" i="7"/>
  <c r="N895" i="7"/>
  <c r="M895" i="7"/>
  <c r="N894" i="7"/>
  <c r="M894" i="7"/>
  <c r="N893" i="7"/>
  <c r="M893" i="7"/>
  <c r="N892" i="7"/>
  <c r="M892" i="7"/>
  <c r="N891" i="7"/>
  <c r="M891" i="7"/>
  <c r="N890" i="7"/>
  <c r="M890" i="7"/>
  <c r="N889" i="7"/>
  <c r="M889" i="7"/>
  <c r="N888" i="7"/>
  <c r="M888" i="7"/>
  <c r="N887" i="7"/>
  <c r="M887" i="7"/>
  <c r="N886" i="7"/>
  <c r="M886" i="7"/>
  <c r="N885" i="7"/>
  <c r="M885" i="7"/>
  <c r="N884" i="7"/>
  <c r="M884" i="7"/>
  <c r="N883" i="7"/>
  <c r="M883" i="7"/>
  <c r="N882" i="7"/>
  <c r="M882" i="7"/>
  <c r="N881" i="7"/>
  <c r="M881" i="7"/>
  <c r="N880" i="7"/>
  <c r="M880" i="7"/>
  <c r="N879" i="7"/>
  <c r="M879" i="7"/>
  <c r="O878" i="7"/>
  <c r="N877" i="7"/>
  <c r="M877" i="7"/>
  <c r="N876" i="7"/>
  <c r="M876" i="7"/>
  <c r="N875" i="7"/>
  <c r="M875" i="7"/>
  <c r="N874" i="7"/>
  <c r="M874" i="7"/>
  <c r="N873" i="7"/>
  <c r="M873" i="7"/>
  <c r="N872" i="7"/>
  <c r="M872" i="7"/>
  <c r="N871" i="7"/>
  <c r="M871" i="7"/>
  <c r="N870" i="7"/>
  <c r="M870" i="7"/>
  <c r="N869" i="7"/>
  <c r="M869" i="7"/>
  <c r="N868" i="7"/>
  <c r="M868" i="7"/>
  <c r="N867" i="7"/>
  <c r="M867" i="7"/>
  <c r="N866" i="7"/>
  <c r="M866" i="7"/>
  <c r="N865" i="7"/>
  <c r="M865" i="7"/>
  <c r="N864" i="7"/>
  <c r="M864" i="7"/>
  <c r="N863" i="7"/>
  <c r="M863" i="7"/>
  <c r="N862" i="7"/>
  <c r="M862" i="7"/>
  <c r="N861" i="7"/>
  <c r="M861" i="7"/>
  <c r="N860" i="7"/>
  <c r="M860" i="7"/>
  <c r="N859" i="7"/>
  <c r="M859" i="7"/>
  <c r="N858" i="7"/>
  <c r="M858" i="7"/>
  <c r="N857" i="7"/>
  <c r="M857" i="7"/>
  <c r="N856" i="7"/>
  <c r="M856" i="7"/>
  <c r="N855" i="7"/>
  <c r="M855" i="7"/>
  <c r="N854" i="7"/>
  <c r="M854" i="7"/>
  <c r="N853" i="7"/>
  <c r="M853" i="7"/>
  <c r="N852" i="7"/>
  <c r="M852" i="7"/>
  <c r="N851" i="7"/>
  <c r="M851" i="7"/>
  <c r="N850" i="7"/>
  <c r="M850" i="7"/>
  <c r="N849" i="7"/>
  <c r="M849" i="7"/>
  <c r="N848" i="7"/>
  <c r="M848" i="7"/>
  <c r="N847" i="7"/>
  <c r="M847" i="7"/>
  <c r="N846" i="7"/>
  <c r="M846" i="7"/>
  <c r="N845" i="7"/>
  <c r="M845" i="7"/>
  <c r="N844" i="7"/>
  <c r="M844" i="7"/>
  <c r="N843" i="7"/>
  <c r="M843" i="7"/>
  <c r="N842" i="7"/>
  <c r="M842" i="7"/>
  <c r="N841" i="7"/>
  <c r="M841" i="7"/>
  <c r="N840" i="7"/>
  <c r="M840" i="7"/>
  <c r="N839" i="7"/>
  <c r="M839" i="7"/>
  <c r="N838" i="7"/>
  <c r="M838" i="7"/>
  <c r="N837" i="7"/>
  <c r="M837" i="7"/>
  <c r="N836" i="7"/>
  <c r="M836" i="7"/>
  <c r="N835" i="7"/>
  <c r="M835" i="7"/>
  <c r="N834" i="7"/>
  <c r="M834" i="7"/>
  <c r="N833" i="7"/>
  <c r="M833" i="7"/>
  <c r="N832" i="7"/>
  <c r="M832" i="7"/>
  <c r="N831" i="7"/>
  <c r="M831" i="7"/>
  <c r="N830" i="7"/>
  <c r="M830" i="7"/>
  <c r="N829" i="7"/>
  <c r="M829" i="7"/>
  <c r="N828" i="7"/>
  <c r="M828" i="7"/>
  <c r="N827" i="7"/>
  <c r="M827" i="7"/>
  <c r="N826" i="7"/>
  <c r="M826" i="7"/>
  <c r="N825" i="7"/>
  <c r="M825" i="7"/>
  <c r="N824" i="7"/>
  <c r="M824" i="7"/>
  <c r="N823" i="7"/>
  <c r="M823" i="7"/>
  <c r="N822" i="7"/>
  <c r="M822" i="7"/>
  <c r="N821" i="7"/>
  <c r="M821" i="7"/>
  <c r="N820" i="7"/>
  <c r="M820" i="7"/>
  <c r="N819" i="7"/>
  <c r="M819" i="7"/>
  <c r="N818" i="7"/>
  <c r="M818" i="7"/>
  <c r="N817" i="7"/>
  <c r="M817" i="7"/>
  <c r="N816" i="7"/>
  <c r="M816" i="7"/>
  <c r="N815" i="7"/>
  <c r="M815" i="7"/>
  <c r="N814" i="7"/>
  <c r="M814" i="7"/>
  <c r="N813" i="7"/>
  <c r="M813" i="7"/>
  <c r="N812" i="7"/>
  <c r="M812" i="7"/>
  <c r="N811" i="7"/>
  <c r="M811" i="7"/>
  <c r="N810" i="7"/>
  <c r="M810" i="7"/>
  <c r="N809" i="7"/>
  <c r="M809" i="7"/>
  <c r="N808" i="7"/>
  <c r="M808" i="7"/>
  <c r="N807" i="7"/>
  <c r="M807" i="7"/>
  <c r="N806" i="7"/>
  <c r="M806" i="7"/>
  <c r="N805" i="7"/>
  <c r="M805" i="7"/>
  <c r="N804" i="7"/>
  <c r="M804" i="7"/>
  <c r="N803" i="7"/>
  <c r="M803" i="7"/>
  <c r="N802" i="7"/>
  <c r="M802" i="7"/>
  <c r="N801" i="7"/>
  <c r="M801" i="7"/>
  <c r="N800" i="7"/>
  <c r="M800" i="7"/>
  <c r="N799" i="7"/>
  <c r="M799" i="7"/>
  <c r="N798" i="7"/>
  <c r="M798" i="7"/>
  <c r="N797" i="7"/>
  <c r="M797" i="7"/>
  <c r="N796" i="7"/>
  <c r="M796" i="7"/>
  <c r="N795" i="7"/>
  <c r="M795" i="7"/>
  <c r="N794" i="7"/>
  <c r="M794" i="7"/>
  <c r="N793" i="7"/>
  <c r="M793" i="7"/>
  <c r="N792" i="7"/>
  <c r="M792" i="7"/>
  <c r="N791" i="7"/>
  <c r="M791" i="7"/>
  <c r="N790" i="7"/>
  <c r="M790" i="7"/>
  <c r="N789" i="7"/>
  <c r="M789" i="7"/>
  <c r="N788" i="7"/>
  <c r="M788" i="7"/>
  <c r="N787" i="7"/>
  <c r="M787" i="7"/>
  <c r="N786" i="7"/>
  <c r="M786" i="7"/>
  <c r="N785" i="7"/>
  <c r="M785" i="7"/>
  <c r="N784" i="7"/>
  <c r="M784" i="7"/>
  <c r="N783" i="7"/>
  <c r="M783" i="7"/>
  <c r="N782" i="7"/>
  <c r="M782" i="7"/>
  <c r="N781" i="7"/>
  <c r="M781" i="7"/>
  <c r="N780" i="7"/>
  <c r="M780" i="7"/>
  <c r="N779" i="7"/>
  <c r="M779" i="7"/>
  <c r="N778" i="7"/>
  <c r="M778" i="7"/>
  <c r="N777" i="7"/>
  <c r="M777" i="7"/>
  <c r="N776" i="7"/>
  <c r="M776" i="7"/>
  <c r="N775" i="7"/>
  <c r="M775" i="7"/>
  <c r="N774" i="7"/>
  <c r="M774" i="7"/>
  <c r="N773" i="7"/>
  <c r="M773" i="7"/>
  <c r="N772" i="7"/>
  <c r="M772" i="7"/>
  <c r="N771" i="7"/>
  <c r="M771" i="7"/>
  <c r="N770" i="7"/>
  <c r="M770" i="7"/>
  <c r="N769" i="7"/>
  <c r="M769" i="7"/>
  <c r="N768" i="7"/>
  <c r="M768" i="7"/>
  <c r="N767" i="7"/>
  <c r="M767" i="7"/>
  <c r="N766" i="7"/>
  <c r="M766" i="7"/>
  <c r="N765" i="7"/>
  <c r="M765" i="7"/>
  <c r="N764" i="7"/>
  <c r="M764" i="7"/>
  <c r="N763" i="7"/>
  <c r="M763" i="7"/>
  <c r="N762" i="7"/>
  <c r="M762" i="7"/>
  <c r="N761" i="7"/>
  <c r="M761" i="7"/>
  <c r="N760" i="7"/>
  <c r="M760" i="7"/>
  <c r="N759" i="7"/>
  <c r="M759" i="7"/>
  <c r="N758" i="7"/>
  <c r="M758" i="7"/>
  <c r="N757" i="7"/>
  <c r="M757" i="7"/>
  <c r="N756" i="7"/>
  <c r="M756" i="7"/>
  <c r="O755" i="7"/>
  <c r="N754" i="7"/>
  <c r="M754" i="7"/>
  <c r="N753" i="7"/>
  <c r="M753" i="7"/>
  <c r="N752" i="7"/>
  <c r="M752" i="7"/>
  <c r="N751" i="7"/>
  <c r="M751" i="7"/>
  <c r="N750" i="7"/>
  <c r="M750" i="7"/>
  <c r="N749" i="7"/>
  <c r="M749" i="7"/>
  <c r="N748" i="7"/>
  <c r="M748" i="7"/>
  <c r="N747" i="7"/>
  <c r="M747" i="7"/>
  <c r="N746" i="7"/>
  <c r="M746" i="7"/>
  <c r="N745" i="7"/>
  <c r="M745" i="7"/>
  <c r="N744" i="7"/>
  <c r="M744" i="7"/>
  <c r="N743" i="7"/>
  <c r="M743" i="7"/>
  <c r="N742" i="7"/>
  <c r="M742" i="7"/>
  <c r="N741" i="7"/>
  <c r="M741" i="7"/>
  <c r="N740" i="7"/>
  <c r="M740" i="7"/>
  <c r="N739" i="7"/>
  <c r="M739" i="7"/>
  <c r="N738" i="7"/>
  <c r="M738" i="7"/>
  <c r="N737" i="7"/>
  <c r="M737" i="7"/>
  <c r="N736" i="7"/>
  <c r="M736" i="7"/>
  <c r="N735" i="7"/>
  <c r="M735" i="7"/>
  <c r="N734" i="7"/>
  <c r="M734" i="7"/>
  <c r="N733" i="7"/>
  <c r="M733" i="7"/>
  <c r="N732" i="7"/>
  <c r="M732" i="7"/>
  <c r="N731" i="7"/>
  <c r="M731" i="7"/>
  <c r="N730" i="7"/>
  <c r="M730" i="7"/>
  <c r="N729" i="7"/>
  <c r="M729" i="7"/>
  <c r="N728" i="7"/>
  <c r="M728" i="7"/>
  <c r="N727" i="7"/>
  <c r="M727" i="7"/>
  <c r="N726" i="7"/>
  <c r="M726" i="7"/>
  <c r="N725" i="7"/>
  <c r="M725" i="7"/>
  <c r="N724" i="7"/>
  <c r="M724" i="7"/>
  <c r="N723" i="7"/>
  <c r="M723" i="7"/>
  <c r="N722" i="7"/>
  <c r="M722" i="7"/>
  <c r="N721" i="7"/>
  <c r="M721" i="7"/>
  <c r="N720" i="7"/>
  <c r="M720" i="7"/>
  <c r="N719" i="7"/>
  <c r="M719" i="7"/>
  <c r="N718" i="7"/>
  <c r="M718" i="7"/>
  <c r="N717" i="7"/>
  <c r="M717" i="7"/>
  <c r="N716" i="7"/>
  <c r="M716" i="7"/>
  <c r="N715" i="7"/>
  <c r="M715" i="7"/>
  <c r="N714" i="7"/>
  <c r="M714" i="7"/>
  <c r="N713" i="7"/>
  <c r="M713" i="7"/>
  <c r="N712" i="7"/>
  <c r="M712" i="7"/>
  <c r="N711" i="7"/>
  <c r="M711" i="7"/>
  <c r="N710" i="7"/>
  <c r="M710" i="7"/>
  <c r="N709" i="7"/>
  <c r="M709" i="7"/>
  <c r="N708" i="7"/>
  <c r="M708" i="7"/>
  <c r="N707" i="7"/>
  <c r="M707" i="7"/>
  <c r="N706" i="7"/>
  <c r="M706" i="7"/>
  <c r="N705" i="7"/>
  <c r="M705" i="7"/>
  <c r="N704" i="7"/>
  <c r="M704" i="7"/>
  <c r="N703" i="7"/>
  <c r="M703" i="7"/>
  <c r="N702" i="7"/>
  <c r="M702" i="7"/>
  <c r="N701" i="7"/>
  <c r="M701" i="7"/>
  <c r="N700" i="7"/>
  <c r="M700" i="7"/>
  <c r="N699" i="7"/>
  <c r="M699" i="7"/>
  <c r="N698" i="7"/>
  <c r="M698" i="7"/>
  <c r="N697" i="7"/>
  <c r="M697" i="7"/>
  <c r="N696" i="7"/>
  <c r="M696" i="7"/>
  <c r="N695" i="7"/>
  <c r="M695" i="7"/>
  <c r="N694" i="7"/>
  <c r="M694" i="7"/>
  <c r="N693" i="7"/>
  <c r="M693" i="7"/>
  <c r="N692" i="7"/>
  <c r="M692" i="7"/>
  <c r="N691" i="7"/>
  <c r="M691" i="7"/>
  <c r="N690" i="7"/>
  <c r="M690" i="7"/>
  <c r="N689" i="7"/>
  <c r="M689" i="7"/>
  <c r="N688" i="7"/>
  <c r="M688" i="7"/>
  <c r="N687" i="7"/>
  <c r="M687" i="7"/>
  <c r="N686" i="7"/>
  <c r="M686" i="7"/>
  <c r="N685" i="7"/>
  <c r="M685" i="7"/>
  <c r="N684" i="7"/>
  <c r="M684" i="7"/>
  <c r="N683" i="7"/>
  <c r="M683" i="7"/>
  <c r="N682" i="7"/>
  <c r="M682" i="7"/>
  <c r="N681" i="7"/>
  <c r="M681" i="7"/>
  <c r="N680" i="7"/>
  <c r="M680" i="7"/>
  <c r="N679" i="7"/>
  <c r="M679" i="7"/>
  <c r="N678" i="7"/>
  <c r="M678" i="7"/>
  <c r="N677" i="7"/>
  <c r="M677" i="7"/>
  <c r="N676" i="7"/>
  <c r="M676" i="7"/>
  <c r="N675" i="7"/>
  <c r="M675" i="7"/>
  <c r="N674" i="7"/>
  <c r="M674" i="7"/>
  <c r="N673" i="7"/>
  <c r="M673" i="7"/>
  <c r="N671" i="7"/>
  <c r="N670" i="7"/>
  <c r="M670" i="7"/>
  <c r="N669" i="7"/>
  <c r="M669" i="7"/>
  <c r="N667" i="7"/>
  <c r="M667" i="7"/>
  <c r="N666" i="7"/>
  <c r="M666" i="7"/>
  <c r="O665" i="7"/>
  <c r="F665" i="7"/>
  <c r="N664" i="7"/>
  <c r="M664" i="7"/>
  <c r="N663" i="7"/>
  <c r="M663" i="7"/>
  <c r="N662" i="7"/>
  <c r="M662" i="7"/>
  <c r="N661" i="7"/>
  <c r="M661" i="7"/>
  <c r="N660" i="7"/>
  <c r="M660" i="7"/>
  <c r="N659" i="7"/>
  <c r="M659" i="7"/>
  <c r="N658" i="7"/>
  <c r="M658" i="7"/>
  <c r="N657" i="7"/>
  <c r="M657" i="7"/>
  <c r="N656" i="7"/>
  <c r="M656" i="7"/>
  <c r="N655" i="7"/>
  <c r="M655" i="7"/>
  <c r="N654" i="7"/>
  <c r="M654" i="7"/>
  <c r="N653" i="7"/>
  <c r="M653" i="7"/>
  <c r="N652" i="7"/>
  <c r="M652" i="7"/>
  <c r="N651" i="7"/>
  <c r="M651" i="7"/>
  <c r="N650" i="7"/>
  <c r="M650" i="7"/>
  <c r="N649" i="7"/>
  <c r="M649" i="7"/>
  <c r="N648" i="7"/>
  <c r="M648" i="7"/>
  <c r="N647" i="7"/>
  <c r="M647" i="7"/>
  <c r="N646" i="7"/>
  <c r="M646" i="7"/>
  <c r="N645" i="7"/>
  <c r="M645" i="7"/>
  <c r="N644" i="7"/>
  <c r="M644" i="7"/>
  <c r="N643" i="7"/>
  <c r="M643" i="7"/>
  <c r="N642" i="7"/>
  <c r="M642" i="7"/>
  <c r="N641" i="7"/>
  <c r="M641" i="7"/>
  <c r="N640" i="7"/>
  <c r="M640" i="7"/>
  <c r="N639" i="7"/>
  <c r="M639" i="7"/>
  <c r="N638" i="7"/>
  <c r="M638" i="7"/>
  <c r="O637" i="7"/>
  <c r="F637" i="7"/>
  <c r="N636" i="7"/>
  <c r="M636" i="7"/>
  <c r="N635" i="7"/>
  <c r="M635" i="7"/>
  <c r="N634" i="7"/>
  <c r="M634" i="7"/>
  <c r="N633" i="7"/>
  <c r="M633" i="7"/>
  <c r="O632" i="7"/>
  <c r="F632" i="7"/>
  <c r="N631" i="7"/>
  <c r="M631" i="7"/>
  <c r="N630" i="7"/>
  <c r="M630" i="7"/>
  <c r="O629" i="7"/>
  <c r="F629" i="7"/>
  <c r="N628" i="7"/>
  <c r="M628" i="7"/>
  <c r="N627" i="7"/>
  <c r="M627" i="7"/>
  <c r="N626" i="7"/>
  <c r="M626" i="7"/>
  <c r="N625" i="7"/>
  <c r="M625" i="7"/>
  <c r="N624" i="7"/>
  <c r="M624" i="7"/>
  <c r="N623" i="7"/>
  <c r="M623" i="7"/>
  <c r="N622" i="7"/>
  <c r="M622" i="7"/>
  <c r="N621" i="7"/>
  <c r="M621" i="7"/>
  <c r="N620" i="7"/>
  <c r="M620" i="7"/>
  <c r="N619" i="7"/>
  <c r="M619" i="7"/>
  <c r="N618" i="7"/>
  <c r="M618" i="7"/>
  <c r="N617" i="7"/>
  <c r="M617" i="7"/>
  <c r="O616" i="7"/>
  <c r="F616" i="7"/>
  <c r="N615" i="7"/>
  <c r="M615" i="7"/>
  <c r="N614" i="7"/>
  <c r="M614" i="7"/>
  <c r="N613" i="7"/>
  <c r="M613" i="7"/>
  <c r="N612" i="7"/>
  <c r="M612" i="7"/>
  <c r="N611" i="7"/>
  <c r="M611" i="7"/>
  <c r="N610" i="7"/>
  <c r="M610" i="7"/>
  <c r="N609" i="7"/>
  <c r="M609" i="7"/>
  <c r="N608" i="7"/>
  <c r="M608" i="7"/>
  <c r="N607" i="7"/>
  <c r="M607" i="7"/>
  <c r="N606" i="7"/>
  <c r="M606" i="7"/>
  <c r="N605" i="7"/>
  <c r="M605" i="7"/>
  <c r="N604" i="7"/>
  <c r="M604" i="7"/>
  <c r="N603" i="7"/>
  <c r="M603" i="7"/>
  <c r="N602" i="7"/>
  <c r="M602" i="7"/>
  <c r="N601" i="7"/>
  <c r="M601" i="7"/>
  <c r="N600" i="7"/>
  <c r="M600" i="7"/>
  <c r="N599" i="7"/>
  <c r="M599" i="7"/>
  <c r="N598" i="7"/>
  <c r="M598" i="7"/>
  <c r="N597" i="7"/>
  <c r="M597" i="7"/>
  <c r="N596" i="7"/>
  <c r="M596" i="7"/>
  <c r="N595" i="7"/>
  <c r="M595" i="7"/>
  <c r="N594" i="7"/>
  <c r="M594" i="7"/>
  <c r="N593" i="7"/>
  <c r="M593" i="7"/>
  <c r="N592" i="7"/>
  <c r="M592" i="7"/>
  <c r="N591" i="7"/>
  <c r="M591" i="7"/>
  <c r="N590" i="7"/>
  <c r="M590" i="7"/>
  <c r="N589" i="7"/>
  <c r="M589" i="7"/>
  <c r="N588" i="7"/>
  <c r="M588" i="7"/>
  <c r="N587" i="7"/>
  <c r="M587" i="7"/>
  <c r="N586" i="7"/>
  <c r="M586" i="7"/>
  <c r="N585" i="7"/>
  <c r="M585" i="7"/>
  <c r="N584" i="7"/>
  <c r="M584" i="7"/>
  <c r="N583" i="7"/>
  <c r="M583" i="7"/>
  <c r="N582" i="7"/>
  <c r="M582" i="7"/>
  <c r="N581" i="7"/>
  <c r="M581" i="7"/>
  <c r="N580" i="7"/>
  <c r="M580" i="7"/>
  <c r="N579" i="7"/>
  <c r="M579" i="7"/>
  <c r="N578" i="7"/>
  <c r="M578" i="7"/>
  <c r="N577" i="7"/>
  <c r="M577" i="7"/>
  <c r="N576" i="7"/>
  <c r="M576" i="7"/>
  <c r="N575" i="7"/>
  <c r="M575" i="7"/>
  <c r="N574" i="7"/>
  <c r="M574" i="7"/>
  <c r="N573" i="7"/>
  <c r="M573" i="7"/>
  <c r="N572" i="7"/>
  <c r="M572" i="7"/>
  <c r="N571" i="7"/>
  <c r="M571" i="7"/>
  <c r="N570" i="7"/>
  <c r="M570" i="7"/>
  <c r="N569" i="7"/>
  <c r="M569" i="7"/>
  <c r="N568" i="7"/>
  <c r="M568" i="7"/>
  <c r="N567" i="7"/>
  <c r="M567" i="7"/>
  <c r="N566" i="7"/>
  <c r="M566" i="7"/>
  <c r="N565" i="7"/>
  <c r="M565" i="7"/>
  <c r="O564" i="7"/>
  <c r="F564" i="7"/>
  <c r="N557" i="7"/>
  <c r="M557" i="7"/>
  <c r="N556" i="7"/>
  <c r="M556" i="7"/>
  <c r="N555" i="7"/>
  <c r="M555" i="7"/>
  <c r="O554" i="7"/>
  <c r="F554" i="7"/>
  <c r="N553" i="7"/>
  <c r="M553" i="7"/>
  <c r="N552" i="7"/>
  <c r="M552" i="7"/>
  <c r="N551" i="7"/>
  <c r="M551" i="7"/>
  <c r="N550" i="7"/>
  <c r="M550" i="7"/>
  <c r="N549" i="7"/>
  <c r="M549" i="7"/>
  <c r="N548" i="7"/>
  <c r="M548" i="7"/>
  <c r="N547" i="7"/>
  <c r="M547" i="7"/>
  <c r="N546" i="7"/>
  <c r="M546" i="7"/>
  <c r="N545" i="7"/>
  <c r="M545" i="7"/>
  <c r="N544" i="7"/>
  <c r="M544" i="7"/>
  <c r="N543" i="7"/>
  <c r="M543" i="7"/>
  <c r="N542" i="7"/>
  <c r="M542" i="7"/>
  <c r="N541" i="7"/>
  <c r="M541" i="7"/>
  <c r="N540" i="7"/>
  <c r="M540" i="7"/>
  <c r="N539" i="7"/>
  <c r="M539" i="7"/>
  <c r="N538" i="7"/>
  <c r="M538" i="7"/>
  <c r="O537" i="7"/>
  <c r="F534" i="7"/>
  <c r="F530" i="7"/>
  <c r="N529" i="7"/>
  <c r="M529" i="7"/>
  <c r="O528" i="7"/>
  <c r="N527" i="7"/>
  <c r="M527" i="7"/>
  <c r="O526" i="7"/>
  <c r="N525" i="7"/>
  <c r="M525" i="7"/>
  <c r="N524" i="7"/>
  <c r="M524" i="7"/>
  <c r="N523" i="7"/>
  <c r="M523" i="7"/>
  <c r="N522" i="7"/>
  <c r="M522" i="7"/>
  <c r="N521" i="7"/>
  <c r="M521" i="7"/>
  <c r="N520" i="7"/>
  <c r="M520" i="7"/>
  <c r="O519" i="7"/>
  <c r="N518" i="7"/>
  <c r="M518" i="7"/>
  <c r="N517" i="7"/>
  <c r="M517" i="7"/>
  <c r="N516" i="7"/>
  <c r="M516" i="7"/>
  <c r="N515" i="7"/>
  <c r="M515" i="7"/>
  <c r="N514" i="7"/>
  <c r="M514" i="7"/>
  <c r="N513" i="7"/>
  <c r="M513" i="7"/>
  <c r="N512" i="7"/>
  <c r="M512" i="7"/>
  <c r="N511" i="7"/>
  <c r="M511" i="7"/>
  <c r="N510" i="7"/>
  <c r="M510" i="7"/>
  <c r="N509" i="7"/>
  <c r="M509" i="7"/>
  <c r="N508" i="7"/>
  <c r="M508" i="7"/>
  <c r="N507" i="7"/>
  <c r="M507" i="7"/>
  <c r="N506" i="7"/>
  <c r="M506" i="7"/>
  <c r="N505" i="7"/>
  <c r="M505" i="7"/>
  <c r="N504" i="7"/>
  <c r="M504" i="7"/>
  <c r="N503" i="7"/>
  <c r="M503" i="7"/>
  <c r="N502" i="7"/>
  <c r="M502" i="7"/>
  <c r="N501" i="7"/>
  <c r="M501" i="7"/>
  <c r="N500" i="7"/>
  <c r="M500" i="7"/>
  <c r="N499" i="7"/>
  <c r="M499" i="7"/>
  <c r="N498" i="7"/>
  <c r="M498" i="7"/>
  <c r="N497" i="7"/>
  <c r="M497" i="7"/>
  <c r="N496" i="7"/>
  <c r="M496" i="7"/>
  <c r="N495" i="7"/>
  <c r="M495" i="7"/>
  <c r="N494" i="7"/>
  <c r="M494" i="7"/>
  <c r="O493" i="7"/>
  <c r="N492" i="7"/>
  <c r="M492" i="7"/>
  <c r="N491" i="7"/>
  <c r="M491" i="7"/>
  <c r="N490" i="7"/>
  <c r="M490" i="7"/>
  <c r="O489" i="7"/>
  <c r="N488" i="7"/>
  <c r="M488" i="7"/>
  <c r="O487" i="7"/>
  <c r="N486" i="7"/>
  <c r="M486" i="7"/>
  <c r="N485" i="7"/>
  <c r="M485" i="7"/>
  <c r="N484" i="7"/>
  <c r="M484" i="7"/>
  <c r="N483" i="7"/>
  <c r="M483" i="7"/>
  <c r="N482" i="7"/>
  <c r="M482" i="7"/>
  <c r="N481" i="7"/>
  <c r="M481" i="7"/>
  <c r="O479" i="7"/>
  <c r="F479" i="7"/>
  <c r="N478" i="7"/>
  <c r="M478" i="7"/>
  <c r="N477" i="7"/>
  <c r="M477" i="7"/>
  <c r="N476" i="7"/>
  <c r="M476" i="7"/>
  <c r="N475" i="7"/>
  <c r="M475" i="7"/>
  <c r="N474" i="7"/>
  <c r="M474" i="7"/>
  <c r="N473" i="7"/>
  <c r="M473" i="7"/>
  <c r="N472" i="7"/>
  <c r="M472" i="7"/>
  <c r="N471" i="7"/>
  <c r="M471" i="7"/>
  <c r="N470" i="7"/>
  <c r="M470" i="7"/>
  <c r="N469" i="7"/>
  <c r="M469" i="7"/>
  <c r="N468" i="7"/>
  <c r="M468" i="7"/>
  <c r="N467" i="7"/>
  <c r="M467" i="7"/>
  <c r="N466" i="7"/>
  <c r="M466" i="7"/>
  <c r="N465" i="7"/>
  <c r="M465" i="7"/>
  <c r="N464" i="7"/>
  <c r="M464" i="7"/>
  <c r="N463" i="7"/>
  <c r="M463" i="7"/>
  <c r="N462" i="7"/>
  <c r="M462" i="7"/>
  <c r="N461" i="7"/>
  <c r="M461" i="7"/>
  <c r="N460" i="7"/>
  <c r="M460" i="7"/>
  <c r="O459" i="7"/>
  <c r="N458" i="7"/>
  <c r="M458" i="7"/>
  <c r="N456" i="7"/>
  <c r="M456" i="7"/>
  <c r="N455" i="7"/>
  <c r="M455" i="7"/>
  <c r="N454" i="7"/>
  <c r="M454" i="7"/>
  <c r="O453" i="7"/>
  <c r="F453" i="7"/>
  <c r="N452" i="7"/>
  <c r="M452" i="7"/>
  <c r="N451" i="7"/>
  <c r="M451" i="7"/>
  <c r="N450" i="7"/>
  <c r="M450" i="7"/>
  <c r="N449" i="7"/>
  <c r="M449" i="7"/>
  <c r="N448" i="7"/>
  <c r="M448" i="7"/>
  <c r="N447" i="7"/>
  <c r="M447" i="7"/>
  <c r="N446" i="7"/>
  <c r="M446" i="7"/>
  <c r="N445" i="7"/>
  <c r="M445" i="7"/>
  <c r="N444" i="7"/>
  <c r="M444" i="7"/>
  <c r="N443" i="7"/>
  <c r="M443" i="7"/>
  <c r="N442" i="7"/>
  <c r="M442" i="7"/>
  <c r="N441" i="7"/>
  <c r="M441" i="7"/>
  <c r="N440" i="7"/>
  <c r="M440" i="7"/>
  <c r="N439" i="7"/>
  <c r="M439" i="7"/>
  <c r="N438" i="7"/>
  <c r="M438" i="7"/>
  <c r="N437" i="7"/>
  <c r="M437" i="7"/>
  <c r="N436" i="7"/>
  <c r="M436" i="7"/>
  <c r="N435" i="7"/>
  <c r="M435" i="7"/>
  <c r="N434" i="7"/>
  <c r="M434" i="7"/>
  <c r="N433" i="7"/>
  <c r="M433" i="7"/>
  <c r="N432" i="7"/>
  <c r="M432" i="7"/>
  <c r="N431" i="7"/>
  <c r="M431" i="7"/>
  <c r="N430" i="7"/>
  <c r="M430" i="7"/>
  <c r="N429" i="7"/>
  <c r="M429" i="7"/>
  <c r="N428" i="7"/>
  <c r="M428" i="7"/>
  <c r="N427" i="7"/>
  <c r="M427" i="7"/>
  <c r="N426" i="7"/>
  <c r="M426" i="7"/>
  <c r="N425" i="7"/>
  <c r="M425" i="7"/>
  <c r="N424" i="7"/>
  <c r="M424" i="7"/>
  <c r="N423" i="7"/>
  <c r="M423" i="7"/>
  <c r="N422" i="7"/>
  <c r="M422" i="7"/>
  <c r="N421" i="7"/>
  <c r="M421" i="7"/>
  <c r="N420" i="7"/>
  <c r="M420" i="7"/>
  <c r="N419" i="7"/>
  <c r="M419" i="7"/>
  <c r="N418" i="7"/>
  <c r="M418" i="7"/>
  <c r="N417" i="7"/>
  <c r="M417" i="7"/>
  <c r="N416" i="7"/>
  <c r="M416" i="7"/>
  <c r="N415" i="7"/>
  <c r="M415" i="7"/>
  <c r="N414" i="7"/>
  <c r="M414" i="7"/>
  <c r="N413" i="7"/>
  <c r="M413" i="7"/>
  <c r="N412" i="7"/>
  <c r="M412" i="7"/>
  <c r="N411" i="7"/>
  <c r="M411" i="7"/>
  <c r="N410" i="7"/>
  <c r="M410" i="7"/>
  <c r="N409" i="7"/>
  <c r="M409" i="7"/>
  <c r="N408" i="7"/>
  <c r="M408" i="7"/>
  <c r="N407" i="7"/>
  <c r="M407" i="7"/>
  <c r="N406" i="7"/>
  <c r="M406" i="7"/>
  <c r="N405" i="7"/>
  <c r="M405" i="7"/>
  <c r="N404" i="7"/>
  <c r="M404" i="7"/>
  <c r="N403" i="7"/>
  <c r="M403" i="7"/>
  <c r="N402" i="7"/>
  <c r="M402" i="7"/>
  <c r="N401" i="7"/>
  <c r="M401" i="7"/>
  <c r="N400" i="7"/>
  <c r="M400" i="7"/>
  <c r="N399" i="7"/>
  <c r="M399" i="7"/>
  <c r="N398" i="7"/>
  <c r="M398" i="7"/>
  <c r="N397" i="7"/>
  <c r="M397" i="7"/>
  <c r="N396" i="7"/>
  <c r="M396" i="7"/>
  <c r="N395" i="7"/>
  <c r="M395" i="7"/>
  <c r="N394" i="7"/>
  <c r="M394" i="7"/>
  <c r="N393" i="7"/>
  <c r="M393" i="7"/>
  <c r="N392" i="7"/>
  <c r="M392" i="7"/>
  <c r="N391" i="7"/>
  <c r="M391" i="7"/>
  <c r="N390" i="7"/>
  <c r="M390" i="7"/>
  <c r="N389" i="7"/>
  <c r="M389" i="7"/>
  <c r="N388" i="7"/>
  <c r="M388" i="7"/>
  <c r="N387" i="7"/>
  <c r="M387" i="7"/>
  <c r="N386" i="7"/>
  <c r="M386" i="7"/>
  <c r="N385" i="7"/>
  <c r="M385" i="7"/>
  <c r="N384" i="7"/>
  <c r="M384" i="7"/>
  <c r="N383" i="7"/>
  <c r="M383" i="7"/>
  <c r="N382" i="7"/>
  <c r="M382" i="7"/>
  <c r="N381" i="7"/>
  <c r="M381" i="7"/>
  <c r="N380" i="7"/>
  <c r="M380" i="7"/>
  <c r="N379" i="7"/>
  <c r="M379" i="7"/>
  <c r="N378" i="7"/>
  <c r="M378" i="7"/>
  <c r="N377" i="7"/>
  <c r="M377" i="7"/>
  <c r="N376" i="7"/>
  <c r="M376" i="7"/>
  <c r="N375" i="7"/>
  <c r="M375" i="7"/>
  <c r="N374" i="7"/>
  <c r="M374" i="7"/>
  <c r="N373" i="7"/>
  <c r="M373" i="7"/>
  <c r="N372" i="7"/>
  <c r="M372" i="7"/>
  <c r="N371" i="7"/>
  <c r="M371" i="7"/>
  <c r="N370" i="7"/>
  <c r="M370" i="7"/>
  <c r="N369" i="7"/>
  <c r="M369" i="7"/>
  <c r="N368" i="7"/>
  <c r="M368" i="7"/>
  <c r="N367" i="7"/>
  <c r="M367" i="7"/>
  <c r="N365" i="7"/>
  <c r="M365" i="7"/>
  <c r="N364" i="7"/>
  <c r="M364" i="7"/>
  <c r="N363" i="7"/>
  <c r="M363" i="7"/>
  <c r="N362" i="7"/>
  <c r="M362" i="7"/>
  <c r="N361" i="7"/>
  <c r="M361" i="7"/>
  <c r="N360" i="7"/>
  <c r="M360" i="7"/>
  <c r="M359" i="7"/>
  <c r="N359" i="7" s="1"/>
  <c r="O358" i="7"/>
  <c r="F358" i="7"/>
  <c r="N357" i="7"/>
  <c r="M357" i="7"/>
  <c r="N356" i="7"/>
  <c r="M356" i="7"/>
  <c r="N355" i="7"/>
  <c r="M355" i="7"/>
  <c r="N354" i="7"/>
  <c r="M354" i="7"/>
  <c r="N353" i="7"/>
  <c r="M353" i="7"/>
  <c r="N352" i="7"/>
  <c r="M352" i="7"/>
  <c r="N351" i="7"/>
  <c r="M351" i="7"/>
  <c r="N350" i="7"/>
  <c r="M350" i="7"/>
  <c r="N349" i="7"/>
  <c r="M349" i="7"/>
  <c r="N348" i="7"/>
  <c r="M348" i="7"/>
  <c r="O343" i="7"/>
  <c r="F343" i="7"/>
  <c r="O342" i="7"/>
  <c r="N341" i="7"/>
  <c r="M341" i="7"/>
  <c r="N340" i="7"/>
  <c r="M340" i="7"/>
  <c r="N339" i="7"/>
  <c r="M339" i="7"/>
  <c r="N338" i="7"/>
  <c r="M338" i="7"/>
  <c r="N337" i="7"/>
  <c r="M337" i="7"/>
  <c r="O336" i="7"/>
  <c r="N335" i="7"/>
  <c r="M335" i="7"/>
  <c r="N334" i="7"/>
  <c r="M334" i="7"/>
  <c r="N333" i="7"/>
  <c r="M333" i="7"/>
  <c r="N332" i="7"/>
  <c r="M332" i="7"/>
  <c r="N331" i="7"/>
  <c r="M331" i="7"/>
  <c r="O330" i="7"/>
  <c r="N329" i="7"/>
  <c r="M329" i="7"/>
  <c r="N328" i="7"/>
  <c r="M328" i="7"/>
  <c r="M326" i="7"/>
  <c r="N326" i="7" s="1"/>
  <c r="O325" i="7"/>
  <c r="F325" i="7"/>
  <c r="N324" i="7"/>
  <c r="M324" i="7"/>
  <c r="O323" i="7"/>
  <c r="F323" i="7"/>
  <c r="N322" i="7"/>
  <c r="M322" i="7"/>
  <c r="N321" i="7"/>
  <c r="M321" i="7"/>
  <c r="O320" i="7"/>
  <c r="N319" i="7"/>
  <c r="M319" i="7"/>
  <c r="N318" i="7"/>
  <c r="M318" i="7"/>
  <c r="N317" i="7"/>
  <c r="M317" i="7"/>
  <c r="M315" i="7"/>
  <c r="N315" i="7" s="1"/>
  <c r="O314" i="7"/>
  <c r="F314" i="7"/>
  <c r="N313" i="7"/>
  <c r="M313" i="7"/>
  <c r="N312" i="7"/>
  <c r="M312" i="7"/>
  <c r="N311" i="7"/>
  <c r="M311" i="7"/>
  <c r="N310" i="7"/>
  <c r="M310" i="7"/>
  <c r="N309" i="7"/>
  <c r="M309" i="7"/>
  <c r="N308" i="7"/>
  <c r="M308" i="7"/>
  <c r="N307" i="7"/>
  <c r="M307" i="7"/>
  <c r="N306" i="7"/>
  <c r="M306" i="7"/>
  <c r="N305" i="7"/>
  <c r="M305" i="7"/>
  <c r="N304" i="7"/>
  <c r="M304" i="7"/>
  <c r="N303" i="7"/>
  <c r="M303" i="7"/>
  <c r="N302" i="7"/>
  <c r="M302" i="7"/>
  <c r="N301" i="7"/>
  <c r="M301" i="7"/>
  <c r="N300" i="7"/>
  <c r="M300" i="7"/>
  <c r="N299" i="7"/>
  <c r="M299" i="7"/>
  <c r="N298" i="7"/>
  <c r="M298" i="7"/>
  <c r="N297" i="7"/>
  <c r="M297" i="7"/>
  <c r="N296" i="7"/>
  <c r="M296" i="7"/>
  <c r="N295" i="7"/>
  <c r="M295" i="7"/>
  <c r="N294" i="7"/>
  <c r="M294" i="7"/>
  <c r="O293" i="7"/>
  <c r="F293" i="7"/>
  <c r="N292" i="7"/>
  <c r="M292" i="7"/>
  <c r="O291" i="7"/>
  <c r="F291" i="7"/>
  <c r="N290" i="7"/>
  <c r="M290" i="7"/>
  <c r="N289" i="7"/>
  <c r="M289" i="7"/>
  <c r="O288" i="7"/>
  <c r="F288" i="7"/>
  <c r="O287" i="7"/>
  <c r="F287" i="7"/>
  <c r="O286" i="7"/>
  <c r="F286" i="7"/>
  <c r="N285" i="7"/>
  <c r="M285" i="7"/>
  <c r="N284" i="7"/>
  <c r="M284" i="7"/>
  <c r="N283" i="7"/>
  <c r="M283" i="7"/>
  <c r="O282" i="7"/>
  <c r="F282" i="7"/>
  <c r="O281" i="7"/>
  <c r="F281" i="7"/>
  <c r="N280" i="7"/>
  <c r="M280" i="7"/>
  <c r="M279" i="7"/>
  <c r="F279" i="7"/>
  <c r="N279" i="7" s="1"/>
  <c r="N278" i="7"/>
  <c r="M278" i="7"/>
  <c r="N277" i="7"/>
  <c r="M277" i="7"/>
  <c r="N276" i="7"/>
  <c r="M276" i="7"/>
  <c r="N275" i="7"/>
  <c r="M275" i="7"/>
  <c r="N274" i="7"/>
  <c r="M274" i="7"/>
  <c r="O273" i="7"/>
  <c r="F273" i="7"/>
  <c r="O272" i="7"/>
  <c r="F272" i="7"/>
  <c r="O271" i="7"/>
  <c r="O316" i="7" s="1"/>
  <c r="F271" i="7"/>
  <c r="N270" i="7"/>
  <c r="M270" i="7"/>
  <c r="N269" i="7"/>
  <c r="M269" i="7"/>
  <c r="N268" i="7"/>
  <c r="M268" i="7"/>
  <c r="N266" i="7"/>
  <c r="M266" i="7"/>
  <c r="N265" i="7"/>
  <c r="M265" i="7"/>
  <c r="O264" i="7"/>
  <c r="F264" i="7"/>
  <c r="N263" i="7"/>
  <c r="M263" i="7"/>
  <c r="N262" i="7"/>
  <c r="M262" i="7"/>
  <c r="N261" i="7"/>
  <c r="M261" i="7"/>
  <c r="O260" i="7"/>
  <c r="F260" i="7"/>
  <c r="N259" i="7"/>
  <c r="M259" i="7"/>
  <c r="N258" i="7"/>
  <c r="M258" i="7"/>
  <c r="O257" i="7"/>
  <c r="F257" i="7"/>
  <c r="O256" i="7"/>
  <c r="F256" i="7"/>
  <c r="N255" i="7"/>
  <c r="M255" i="7"/>
  <c r="N254" i="7"/>
  <c r="M254" i="7"/>
  <c r="N253" i="7"/>
  <c r="M253" i="7"/>
  <c r="N252" i="7"/>
  <c r="M252" i="7"/>
  <c r="O251" i="7"/>
  <c r="F251" i="7"/>
  <c r="N250" i="7"/>
  <c r="M250" i="7"/>
  <c r="N249" i="7"/>
  <c r="M249" i="7"/>
  <c r="N248" i="7"/>
  <c r="M248" i="7"/>
  <c r="N247" i="7"/>
  <c r="M247" i="7"/>
  <c r="O246" i="7"/>
  <c r="F246" i="7"/>
  <c r="N245" i="7"/>
  <c r="M245" i="7"/>
  <c r="N244" i="7"/>
  <c r="M244" i="7"/>
  <c r="N243" i="7"/>
  <c r="M243" i="7"/>
  <c r="N242" i="7"/>
  <c r="M242" i="7"/>
  <c r="N241" i="7"/>
  <c r="M241" i="7"/>
  <c r="O240" i="7"/>
  <c r="F240" i="7"/>
  <c r="N239" i="7"/>
  <c r="M239" i="7"/>
  <c r="N238" i="7"/>
  <c r="M238" i="7"/>
  <c r="N237" i="7"/>
  <c r="M237" i="7"/>
  <c r="O236" i="7"/>
  <c r="F236" i="7"/>
  <c r="N235" i="7"/>
  <c r="M235" i="7"/>
  <c r="N234" i="7"/>
  <c r="M234" i="7"/>
  <c r="N233" i="7"/>
  <c r="M233" i="7"/>
  <c r="N232" i="7"/>
  <c r="M232" i="7"/>
  <c r="N231" i="7"/>
  <c r="M231" i="7"/>
  <c r="N230" i="7"/>
  <c r="M230" i="7"/>
  <c r="O229" i="7"/>
  <c r="F229" i="7"/>
  <c r="N228" i="7"/>
  <c r="M228" i="7"/>
  <c r="O227" i="7"/>
  <c r="F227" i="7"/>
  <c r="O226" i="7"/>
  <c r="F226" i="7"/>
  <c r="N225" i="7"/>
  <c r="M225" i="7"/>
  <c r="N224" i="7"/>
  <c r="M224" i="7"/>
  <c r="N223" i="7"/>
  <c r="M223" i="7"/>
  <c r="N222" i="7"/>
  <c r="M222" i="7"/>
  <c r="N221" i="7"/>
  <c r="M221" i="7"/>
  <c r="N220" i="7"/>
  <c r="M220" i="7"/>
  <c r="N219" i="7"/>
  <c r="M219" i="7"/>
  <c r="N218" i="7"/>
  <c r="M218" i="7"/>
  <c r="N217" i="7"/>
  <c r="M217" i="7"/>
  <c r="N216" i="7"/>
  <c r="M216" i="7"/>
  <c r="N215" i="7"/>
  <c r="M215" i="7"/>
  <c r="N214" i="7"/>
  <c r="M214" i="7"/>
  <c r="N213" i="7"/>
  <c r="M213" i="7"/>
  <c r="N212" i="7"/>
  <c r="M212" i="7"/>
  <c r="N211" i="7"/>
  <c r="M211" i="7"/>
  <c r="N210" i="7"/>
  <c r="M210" i="7"/>
  <c r="N209" i="7"/>
  <c r="M209" i="7"/>
  <c r="N208" i="7"/>
  <c r="M208" i="7"/>
  <c r="N207" i="7"/>
  <c r="M207" i="7"/>
  <c r="N206" i="7"/>
  <c r="M206" i="7"/>
  <c r="N205" i="7"/>
  <c r="M205" i="7"/>
  <c r="N204" i="7"/>
  <c r="M204" i="7"/>
  <c r="N203" i="7"/>
  <c r="M203" i="7"/>
  <c r="N202" i="7"/>
  <c r="M202" i="7"/>
  <c r="N201" i="7"/>
  <c r="M201" i="7"/>
  <c r="N200" i="7"/>
  <c r="M200" i="7"/>
  <c r="M199" i="7"/>
  <c r="N199" i="7" s="1"/>
  <c r="O198" i="7"/>
  <c r="F198" i="7"/>
  <c r="N197" i="7"/>
  <c r="M197" i="7"/>
  <c r="N196" i="7"/>
  <c r="M196" i="7"/>
  <c r="N195" i="7"/>
  <c r="M195" i="7"/>
  <c r="N194" i="7"/>
  <c r="M194" i="7"/>
  <c r="N193" i="7"/>
  <c r="M193" i="7"/>
  <c r="N192" i="7"/>
  <c r="M192" i="7"/>
  <c r="N191" i="7"/>
  <c r="M191" i="7"/>
  <c r="O190" i="7"/>
  <c r="F190" i="7"/>
  <c r="N189" i="7"/>
  <c r="M189" i="7"/>
  <c r="N188" i="7"/>
  <c r="M188" i="7"/>
  <c r="N187" i="7"/>
  <c r="M187" i="7"/>
  <c r="N186" i="7"/>
  <c r="M186" i="7"/>
  <c r="N185" i="7"/>
  <c r="M185" i="7"/>
  <c r="N184" i="7"/>
  <c r="M184" i="7"/>
  <c r="N183" i="7"/>
  <c r="M183" i="7"/>
  <c r="N182" i="7"/>
  <c r="M182" i="7"/>
  <c r="N181" i="7"/>
  <c r="M181" i="7"/>
  <c r="N180" i="7"/>
  <c r="M180" i="7"/>
  <c r="N179" i="7"/>
  <c r="M179" i="7"/>
  <c r="N178" i="7"/>
  <c r="M178" i="7"/>
  <c r="N177" i="7"/>
  <c r="M177" i="7"/>
  <c r="N176" i="7"/>
  <c r="M176" i="7"/>
  <c r="M175" i="7"/>
  <c r="N175" i="7" s="1"/>
  <c r="O174" i="7"/>
  <c r="F174" i="7"/>
  <c r="N173" i="7"/>
  <c r="M173" i="7"/>
  <c r="N172" i="7"/>
  <c r="M172" i="7"/>
  <c r="O171" i="7"/>
  <c r="N170" i="7"/>
  <c r="M170" i="7"/>
  <c r="N169" i="7"/>
  <c r="M169" i="7"/>
  <c r="O168" i="7"/>
  <c r="N167" i="7"/>
  <c r="M167" i="7"/>
  <c r="N166" i="7"/>
  <c r="M166" i="7"/>
  <c r="N165" i="7"/>
  <c r="M165" i="7"/>
  <c r="N163" i="7"/>
  <c r="M163" i="7"/>
  <c r="N162" i="7"/>
  <c r="M162" i="7"/>
  <c r="O161" i="7"/>
  <c r="F161" i="7"/>
  <c r="N160" i="7"/>
  <c r="M160" i="7"/>
  <c r="N159" i="7"/>
  <c r="M159" i="7"/>
  <c r="N158" i="7"/>
  <c r="M158" i="7"/>
  <c r="N157" i="7"/>
  <c r="M157" i="7"/>
  <c r="N156" i="7"/>
  <c r="M156" i="7"/>
  <c r="N155" i="7"/>
  <c r="M155" i="7"/>
  <c r="N154" i="7"/>
  <c r="M154" i="7"/>
  <c r="N153" i="7"/>
  <c r="M153" i="7"/>
  <c r="N152" i="7"/>
  <c r="M152" i="7"/>
  <c r="N151" i="7"/>
  <c r="M151" i="7"/>
  <c r="N150" i="7"/>
  <c r="M150" i="7"/>
  <c r="N149" i="7"/>
  <c r="M149" i="7"/>
  <c r="N148" i="7"/>
  <c r="M148" i="7"/>
  <c r="N147" i="7"/>
  <c r="M147" i="7"/>
  <c r="O146" i="7"/>
  <c r="N145" i="7"/>
  <c r="M145" i="7"/>
  <c r="N144" i="7"/>
  <c r="M144" i="7"/>
  <c r="N143" i="7"/>
  <c r="M143" i="7"/>
  <c r="N142" i="7"/>
  <c r="M142" i="7"/>
  <c r="N141" i="7"/>
  <c r="M141" i="7"/>
  <c r="N140" i="7"/>
  <c r="M140" i="7"/>
  <c r="N139" i="7"/>
  <c r="M139" i="7"/>
  <c r="N138" i="7"/>
  <c r="M138" i="7"/>
  <c r="N137" i="7"/>
  <c r="M137" i="7"/>
  <c r="O135" i="7"/>
  <c r="F135" i="7"/>
  <c r="N134" i="7"/>
  <c r="M134" i="7"/>
  <c r="N132" i="7"/>
  <c r="M132" i="7"/>
  <c r="N131" i="7"/>
  <c r="M131" i="7"/>
  <c r="N130" i="7"/>
  <c r="M130" i="7"/>
  <c r="N129" i="7"/>
  <c r="M129" i="7"/>
  <c r="O128" i="7"/>
  <c r="F128" i="7"/>
  <c r="N127" i="7"/>
  <c r="M127" i="7"/>
  <c r="N126" i="7"/>
  <c r="M126" i="7"/>
  <c r="O125" i="7"/>
  <c r="F125" i="7"/>
  <c r="N124" i="7"/>
  <c r="M124" i="7"/>
  <c r="O123" i="7"/>
  <c r="N122" i="7"/>
  <c r="M122" i="7"/>
  <c r="O121" i="7"/>
  <c r="N120" i="7"/>
  <c r="M120" i="7"/>
  <c r="N119" i="7"/>
  <c r="M119" i="7"/>
  <c r="N118" i="7"/>
  <c r="M118" i="7"/>
  <c r="O117" i="7"/>
  <c r="N116" i="7"/>
  <c r="M116" i="7"/>
  <c r="N115" i="7"/>
  <c r="M115" i="7"/>
  <c r="N114" i="7"/>
  <c r="M114" i="7"/>
  <c r="N113" i="7"/>
  <c r="M113" i="7"/>
  <c r="N112" i="7"/>
  <c r="M112" i="7"/>
  <c r="N111" i="7"/>
  <c r="M111" i="7"/>
  <c r="N109" i="7"/>
  <c r="M109" i="7"/>
  <c r="N108" i="7"/>
  <c r="M108" i="7"/>
  <c r="N107" i="7"/>
  <c r="M107" i="7"/>
  <c r="N106" i="7"/>
  <c r="M106" i="7"/>
  <c r="N105" i="7"/>
  <c r="M105" i="7"/>
  <c r="N104" i="7"/>
  <c r="M104" i="7"/>
  <c r="O103" i="7"/>
  <c r="F103" i="7"/>
  <c r="N102" i="7"/>
  <c r="M102" i="7"/>
  <c r="N101" i="7"/>
  <c r="M101" i="7"/>
  <c r="N100" i="7"/>
  <c r="M100" i="7"/>
  <c r="N99" i="7"/>
  <c r="M99" i="7"/>
  <c r="N98" i="7"/>
  <c r="M98" i="7"/>
  <c r="N97" i="7"/>
  <c r="M97" i="7"/>
  <c r="N96" i="7"/>
  <c r="M96" i="7"/>
  <c r="N95" i="7"/>
  <c r="M95" i="7"/>
  <c r="N94" i="7"/>
  <c r="M94" i="7"/>
  <c r="N93" i="7"/>
  <c r="M93" i="7"/>
  <c r="N92" i="7"/>
  <c r="M92" i="7"/>
  <c r="N91" i="7"/>
  <c r="M91" i="7"/>
  <c r="N90" i="7"/>
  <c r="M90" i="7"/>
  <c r="N89" i="7"/>
  <c r="M89" i="7"/>
  <c r="N88" i="7"/>
  <c r="M88" i="7"/>
  <c r="N87" i="7"/>
  <c r="M87" i="7"/>
  <c r="N86" i="7"/>
  <c r="M86" i="7"/>
  <c r="N84" i="7"/>
  <c r="M84" i="7"/>
  <c r="N83" i="7"/>
  <c r="M83" i="7"/>
  <c r="N82" i="7"/>
  <c r="M82" i="7"/>
  <c r="N81" i="7"/>
  <c r="M81" i="7"/>
  <c r="O80" i="7"/>
  <c r="F80" i="7"/>
  <c r="N79" i="7"/>
  <c r="M79" i="7"/>
  <c r="N78" i="7"/>
  <c r="M78" i="7"/>
  <c r="N77" i="7"/>
  <c r="M77" i="7"/>
  <c r="N76" i="7"/>
  <c r="M76" i="7"/>
  <c r="N75" i="7"/>
  <c r="M75" i="7"/>
  <c r="N74" i="7"/>
  <c r="M74" i="7"/>
  <c r="N73" i="7"/>
  <c r="M73" i="7"/>
  <c r="N72" i="7"/>
  <c r="M72" i="7"/>
  <c r="N71" i="7"/>
  <c r="M71" i="7"/>
  <c r="N70" i="7"/>
  <c r="M70" i="7"/>
  <c r="N69" i="7"/>
  <c r="M69" i="7"/>
  <c r="N68" i="7"/>
  <c r="M68" i="7"/>
  <c r="N67" i="7"/>
  <c r="M67" i="7"/>
  <c r="N66" i="7"/>
  <c r="M66" i="7"/>
  <c r="O64" i="7"/>
  <c r="F64" i="7"/>
  <c r="N63" i="7"/>
  <c r="M63" i="7"/>
  <c r="N62" i="7"/>
  <c r="M62" i="7"/>
  <c r="O61" i="7"/>
  <c r="N60" i="7"/>
  <c r="M60" i="7"/>
  <c r="N59" i="7"/>
  <c r="M59" i="7"/>
  <c r="N58" i="7"/>
  <c r="M58" i="7"/>
  <c r="N57" i="7"/>
  <c r="M57" i="7"/>
  <c r="N56" i="7"/>
  <c r="M56" i="7"/>
  <c r="O55" i="7"/>
  <c r="N54" i="7"/>
  <c r="N53" i="7"/>
  <c r="N52" i="7"/>
  <c r="N51" i="7"/>
  <c r="N50" i="7"/>
  <c r="N49" i="7"/>
  <c r="N48" i="7"/>
  <c r="N47" i="7"/>
  <c r="N46" i="7"/>
  <c r="N45" i="7"/>
  <c r="N44" i="7"/>
  <c r="N43" i="7"/>
  <c r="N42" i="7"/>
  <c r="N41" i="7"/>
  <c r="N40" i="7"/>
  <c r="N39" i="7"/>
  <c r="N38" i="7"/>
  <c r="N37" i="7"/>
  <c r="N36" i="7"/>
  <c r="N35" i="7"/>
  <c r="N34" i="7"/>
  <c r="N33" i="7"/>
  <c r="N32" i="7"/>
  <c r="N31" i="7"/>
  <c r="N30" i="7"/>
  <c r="N29" i="7"/>
  <c r="N28" i="7"/>
  <c r="N27" i="7"/>
  <c r="N26" i="7"/>
  <c r="N25" i="7"/>
  <c r="N24" i="7"/>
  <c r="N23" i="7"/>
  <c r="N22" i="7"/>
  <c r="N21" i="7"/>
  <c r="N20" i="7"/>
  <c r="N19" i="7"/>
  <c r="N18" i="7"/>
  <c r="N17" i="7"/>
  <c r="N16" i="7"/>
  <c r="N15" i="7"/>
  <c r="N14" i="7"/>
  <c r="N13" i="7"/>
  <c r="N12" i="7"/>
  <c r="N11" i="7"/>
  <c r="N10" i="7"/>
  <c r="N9" i="7"/>
  <c r="N8" i="7"/>
  <c r="N7" i="7"/>
  <c r="N6" i="7"/>
  <c r="N5" i="7"/>
  <c r="N1642" i="7" l="1"/>
  <c r="N1838" i="7"/>
  <c r="N1068" i="7"/>
  <c r="N1689" i="7"/>
  <c r="M125" i="7"/>
  <c r="M251" i="7"/>
  <c r="N257" i="7"/>
  <c r="N260" i="7"/>
  <c r="M632" i="7"/>
  <c r="M927" i="7"/>
  <c r="M973" i="7"/>
  <c r="M1068" i="7"/>
  <c r="M1088" i="7"/>
  <c r="M1161" i="7"/>
  <c r="M1166" i="7"/>
  <c r="M1188" i="7"/>
  <c r="M1288" i="7"/>
  <c r="M1332" i="7"/>
  <c r="M1334" i="7"/>
  <c r="M1400" i="7"/>
  <c r="M1409" i="7"/>
  <c r="N1599" i="7"/>
  <c r="M1689" i="7"/>
  <c r="M1718" i="7"/>
  <c r="N1770" i="7"/>
  <c r="M281" i="7"/>
  <c r="M923" i="7"/>
  <c r="M975" i="7"/>
  <c r="M999" i="7"/>
  <c r="M1097" i="7"/>
  <c r="M1180" i="7"/>
  <c r="M1293" i="7"/>
  <c r="M1337" i="7"/>
  <c r="M1599" i="7"/>
  <c r="M1770" i="7"/>
  <c r="N287" i="7"/>
  <c r="N325" i="7"/>
  <c r="N1489" i="7"/>
  <c r="P1203" i="7"/>
  <c r="Q58" i="7"/>
  <c r="Q63" i="7"/>
  <c r="Q68" i="7"/>
  <c r="Q108" i="7"/>
  <c r="Q116" i="7"/>
  <c r="Q124" i="7"/>
  <c r="Q132" i="7"/>
  <c r="Q140" i="7"/>
  <c r="Q148" i="7"/>
  <c r="Q155" i="7"/>
  <c r="Q334" i="7"/>
  <c r="Q335" i="7"/>
  <c r="Q337" i="7"/>
  <c r="Q435" i="7"/>
  <c r="Q436" i="7"/>
  <c r="Q443" i="7"/>
  <c r="Q451" i="7"/>
  <c r="Q452" i="7"/>
  <c r="Q460" i="7"/>
  <c r="Q469" i="7"/>
  <c r="Q472" i="7"/>
  <c r="Q488" i="7"/>
  <c r="Q489" i="7" s="1"/>
  <c r="Q504" i="7"/>
  <c r="Q520" i="7"/>
  <c r="Q559" i="7"/>
  <c r="Q577" i="7"/>
  <c r="Q585" i="7"/>
  <c r="Q593" i="7"/>
  <c r="Q601" i="7"/>
  <c r="Q609" i="7"/>
  <c r="Q643" i="7"/>
  <c r="Q644" i="7"/>
  <c r="Q671" i="7"/>
  <c r="Q163" i="7"/>
  <c r="Q175" i="7"/>
  <c r="Q177" i="7"/>
  <c r="Q206" i="7"/>
  <c r="Q207" i="7"/>
  <c r="Q209" i="7"/>
  <c r="Q238" i="7"/>
  <c r="Q239" i="7"/>
  <c r="Q241" i="7"/>
  <c r="Q269" i="7"/>
  <c r="Q270" i="7"/>
  <c r="Q298" i="7"/>
  <c r="Q299" i="7"/>
  <c r="Q301" i="7"/>
  <c r="Q331" i="7"/>
  <c r="Q333" i="7"/>
  <c r="Q374" i="7"/>
  <c r="Q385" i="7"/>
  <c r="Q386" i="7"/>
  <c r="Q483" i="7"/>
  <c r="Q486" i="7"/>
  <c r="Q499" i="7"/>
  <c r="Q502" i="7"/>
  <c r="Q515" i="7"/>
  <c r="Q518" i="7"/>
  <c r="Q535" i="7"/>
  <c r="Q549" i="7"/>
  <c r="Q567" i="7"/>
  <c r="Q600" i="7"/>
  <c r="Q608" i="7"/>
  <c r="Q620" i="7"/>
  <c r="Q628" i="7"/>
  <c r="Q642" i="7"/>
  <c r="Q627" i="7"/>
  <c r="Q322" i="7"/>
  <c r="Q388" i="7"/>
  <c r="Q392" i="7"/>
  <c r="Q401" i="7"/>
  <c r="Q402" i="7"/>
  <c r="Q405" i="7"/>
  <c r="Q466" i="7"/>
  <c r="Q482" i="7"/>
  <c r="Q495" i="7"/>
  <c r="Q498" i="7"/>
  <c r="Q511" i="7"/>
  <c r="Q514" i="7"/>
  <c r="Q532" i="7"/>
  <c r="Q619" i="7"/>
  <c r="Q626" i="7"/>
  <c r="Q779" i="7"/>
  <c r="Q431" i="7"/>
  <c r="Q439" i="7"/>
  <c r="Q447" i="7"/>
  <c r="Q455" i="7"/>
  <c r="Q463" i="7"/>
  <c r="Q477" i="7"/>
  <c r="Q525" i="7"/>
  <c r="Q531" i="7"/>
  <c r="Q544" i="7"/>
  <c r="Q625" i="7"/>
  <c r="Q651" i="7"/>
  <c r="Q652" i="7"/>
  <c r="Q676" i="7"/>
  <c r="Q684" i="7"/>
  <c r="Q692" i="7"/>
  <c r="Q700" i="7"/>
  <c r="Q708" i="7"/>
  <c r="Q716" i="7"/>
  <c r="Q724" i="7"/>
  <c r="Q730" i="7"/>
  <c r="Q737" i="7"/>
  <c r="Q751" i="7"/>
  <c r="Q777" i="7"/>
  <c r="Q310" i="7"/>
  <c r="Q311" i="7"/>
  <c r="Q313" i="7"/>
  <c r="Q344" i="7"/>
  <c r="Q345" i="7"/>
  <c r="Q350" i="7"/>
  <c r="Q352" i="7"/>
  <c r="Q353" i="7"/>
  <c r="Q360" i="7"/>
  <c r="Q361" i="7"/>
  <c r="Q368" i="7"/>
  <c r="Q369" i="7"/>
  <c r="Q371" i="7"/>
  <c r="Q372" i="7"/>
  <c r="Q414" i="7"/>
  <c r="Q416" i="7"/>
  <c r="Q430" i="7"/>
  <c r="Q438" i="7"/>
  <c r="Q446" i="7"/>
  <c r="Q454" i="7"/>
  <c r="Q462" i="7"/>
  <c r="Q476" i="7"/>
  <c r="Q508" i="7"/>
  <c r="Q524" i="7"/>
  <c r="Q579" i="7"/>
  <c r="Q587" i="7"/>
  <c r="Q595" i="7"/>
  <c r="Q603" i="7"/>
  <c r="Q613" i="7"/>
  <c r="Q633" i="7"/>
  <c r="Q646" i="7"/>
  <c r="Q647" i="7"/>
  <c r="Q648" i="7"/>
  <c r="Q674" i="7"/>
  <c r="Q682" i="7"/>
  <c r="Q690" i="7"/>
  <c r="Q698" i="7"/>
  <c r="Q706" i="7"/>
  <c r="Q714" i="7"/>
  <c r="Q722" i="7"/>
  <c r="Q728" i="7"/>
  <c r="Q735" i="7"/>
  <c r="Q741" i="7"/>
  <c r="Q214" i="7"/>
  <c r="Q215" i="7"/>
  <c r="Q217" i="7"/>
  <c r="Q247" i="7"/>
  <c r="Q249" i="7"/>
  <c r="Q275" i="7"/>
  <c r="Q276" i="7"/>
  <c r="Q277" i="7"/>
  <c r="Q306" i="7"/>
  <c r="Q307" i="7"/>
  <c r="Q309" i="7"/>
  <c r="Q338" i="7"/>
  <c r="Q339" i="7"/>
  <c r="Q348" i="7"/>
  <c r="Q349" i="7"/>
  <c r="Q356" i="7"/>
  <c r="Q357" i="7"/>
  <c r="Q364" i="7"/>
  <c r="Q420" i="7"/>
  <c r="Q474" i="7"/>
  <c r="Q490" i="7"/>
  <c r="Q506" i="7"/>
  <c r="Q522" i="7"/>
  <c r="Q551" i="7"/>
  <c r="Q586" i="7"/>
  <c r="Q594" i="7"/>
  <c r="Q602" i="7"/>
  <c r="Q610" i="7"/>
  <c r="Q611" i="7"/>
  <c r="Q645" i="7"/>
  <c r="Q673" i="7"/>
  <c r="Q681" i="7"/>
  <c r="Q689" i="7"/>
  <c r="Q697" i="7"/>
  <c r="Q705" i="7"/>
  <c r="Q1056" i="7"/>
  <c r="Q759" i="7"/>
  <c r="Q767" i="7"/>
  <c r="Q770" i="7"/>
  <c r="Q771" i="7"/>
  <c r="Q822" i="7"/>
  <c r="Q824" i="7"/>
  <c r="Q825" i="7"/>
  <c r="Q839" i="7"/>
  <c r="Q855" i="7"/>
  <c r="Q880" i="7"/>
  <c r="Q902" i="7"/>
  <c r="Q945" i="7"/>
  <c r="Q947" i="7"/>
  <c r="Q988" i="7"/>
  <c r="Q995" i="7"/>
  <c r="Q1012" i="7"/>
  <c r="Q1020" i="7"/>
  <c r="Q1028" i="7"/>
  <c r="Q1050" i="7"/>
  <c r="Q1051" i="7"/>
  <c r="Q1058" i="7"/>
  <c r="Q1059" i="7"/>
  <c r="Q1060" i="7"/>
  <c r="Q1062" i="7"/>
  <c r="Q1081" i="7"/>
  <c r="Q1090" i="7"/>
  <c r="Q1101" i="7"/>
  <c r="Q1119" i="7"/>
  <c r="Q1130" i="7"/>
  <c r="Q1139" i="7"/>
  <c r="Q1147" i="7"/>
  <c r="Q1156" i="7"/>
  <c r="Q1157" i="7"/>
  <c r="Q1168" i="7"/>
  <c r="Q1176" i="7"/>
  <c r="Q1185" i="7"/>
  <c r="Q1196" i="7"/>
  <c r="Q1228" i="7"/>
  <c r="Q1268" i="7"/>
  <c r="Q1072" i="7"/>
  <c r="Q765" i="7"/>
  <c r="Q778" i="7"/>
  <c r="Q780" i="7"/>
  <c r="Q816" i="7"/>
  <c r="Q851" i="7"/>
  <c r="Q865" i="7"/>
  <c r="Q921" i="7"/>
  <c r="Q941" i="7"/>
  <c r="Q1035" i="7"/>
  <c r="Q1036" i="7"/>
  <c r="Q1075" i="7"/>
  <c r="Q1076" i="7"/>
  <c r="Q1078" i="7"/>
  <c r="Q1099" i="7"/>
  <c r="Q1108" i="7"/>
  <c r="Q1116" i="7"/>
  <c r="Q1117" i="7"/>
  <c r="Q1127" i="7"/>
  <c r="Q1137" i="7"/>
  <c r="Q1165" i="7"/>
  <c r="Q1183" i="7"/>
  <c r="Q1194" i="7"/>
  <c r="Q721" i="7"/>
  <c r="Q734" i="7"/>
  <c r="Q740" i="7"/>
  <c r="Q748" i="7"/>
  <c r="Q756" i="7"/>
  <c r="Q764" i="7"/>
  <c r="Q811" i="7"/>
  <c r="Q817" i="7"/>
  <c r="Q819" i="7"/>
  <c r="Q864" i="7"/>
  <c r="Q874" i="7"/>
  <c r="Q887" i="7"/>
  <c r="Q907" i="7"/>
  <c r="Q917" i="7"/>
  <c r="Q919" i="7"/>
  <c r="Q938" i="7"/>
  <c r="Q960" i="7"/>
  <c r="Q968" i="7"/>
  <c r="Q984" i="7"/>
  <c r="Q1017" i="7"/>
  <c r="Q1025" i="7"/>
  <c r="Q1033" i="7"/>
  <c r="Q1034" i="7"/>
  <c r="Q1046" i="7"/>
  <c r="Q1087" i="7"/>
  <c r="Q1107" i="7"/>
  <c r="Q1115" i="7"/>
  <c r="Q1124" i="7"/>
  <c r="Q1125" i="7"/>
  <c r="Q1136" i="7"/>
  <c r="Q1144" i="7"/>
  <c r="Q1153" i="7"/>
  <c r="Q1164" i="7"/>
  <c r="Q1173" i="7"/>
  <c r="Q1182" i="7"/>
  <c r="Q1251" i="7"/>
  <c r="Q1264" i="7"/>
  <c r="Q680" i="7"/>
  <c r="Q688" i="7"/>
  <c r="Q696" i="7"/>
  <c r="Q704" i="7"/>
  <c r="Q712" i="7"/>
  <c r="Q720" i="7"/>
  <c r="Q747" i="7"/>
  <c r="Q763" i="7"/>
  <c r="Q806" i="7"/>
  <c r="Q808" i="7"/>
  <c r="Q809" i="7"/>
  <c r="Q813" i="7"/>
  <c r="Q831" i="7"/>
  <c r="Q832" i="7"/>
  <c r="Q833" i="7"/>
  <c r="Q835" i="7"/>
  <c r="Q847" i="7"/>
  <c r="Q863" i="7"/>
  <c r="Q873" i="7"/>
  <c r="Q886" i="7"/>
  <c r="Q896" i="7"/>
  <c r="Q914" i="7"/>
  <c r="Q915" i="7"/>
  <c r="Q937" i="7"/>
  <c r="Q958" i="7"/>
  <c r="Q991" i="7"/>
  <c r="Q1016" i="7"/>
  <c r="Q1024" i="7"/>
  <c r="Q1032" i="7"/>
  <c r="Q1045" i="7"/>
  <c r="Q1096" i="7"/>
  <c r="Q1123" i="7"/>
  <c r="Q1135" i="7"/>
  <c r="Q1143" i="7"/>
  <c r="Q1152" i="7"/>
  <c r="Q1163" i="7"/>
  <c r="Q1172" i="7"/>
  <c r="Q1181" i="7"/>
  <c r="Q1250" i="7"/>
  <c r="Q669" i="7"/>
  <c r="Q670" i="7"/>
  <c r="Q679" i="7"/>
  <c r="Q695" i="7"/>
  <c r="Q703" i="7"/>
  <c r="Q711" i="7"/>
  <c r="Q719" i="7"/>
  <c r="Q727" i="7"/>
  <c r="Q733" i="7"/>
  <c r="Q754" i="7"/>
  <c r="Q762" i="7"/>
  <c r="Q798" i="7"/>
  <c r="Q830" i="7"/>
  <c r="Q841" i="7"/>
  <c r="Q844" i="7"/>
  <c r="Q857" i="7"/>
  <c r="Q860" i="7"/>
  <c r="Q872" i="7"/>
  <c r="Q895" i="7"/>
  <c r="Q933" i="7"/>
  <c r="Q935" i="7"/>
  <c r="Q957" i="7"/>
  <c r="Q965" i="7"/>
  <c r="Q966" i="7"/>
  <c r="Q981" i="7"/>
  <c r="Q982" i="7"/>
  <c r="Q1084" i="7"/>
  <c r="Q1085" i="7"/>
  <c r="Q1094" i="7"/>
  <c r="Q1095" i="7"/>
  <c r="Q1105" i="7"/>
  <c r="Q1113" i="7"/>
  <c r="Q1133" i="7"/>
  <c r="Q1151" i="7"/>
  <c r="Q1171" i="7"/>
  <c r="Q1179" i="7"/>
  <c r="Q1249" i="7"/>
  <c r="Q797" i="7"/>
  <c r="Q829" i="7"/>
  <c r="Q859" i="7"/>
  <c r="Q953" i="7"/>
  <c r="Q997" i="7"/>
  <c r="Q1121" i="7"/>
  <c r="Q1141" i="7"/>
  <c r="Q1150" i="7"/>
  <c r="Q1474" i="7"/>
  <c r="Q1524" i="7"/>
  <c r="Q1558" i="7"/>
  <c r="Q1625" i="7"/>
  <c r="Q1207" i="7"/>
  <c r="Q1219" i="7"/>
  <c r="Q1233" i="7"/>
  <c r="Q1235" i="7"/>
  <c r="Q1236" i="7"/>
  <c r="Q1240" i="7"/>
  <c r="Q1246" i="7"/>
  <c r="Q1270" i="7"/>
  <c r="Q1292" i="7"/>
  <c r="Q1307" i="7"/>
  <c r="Q1318" i="7"/>
  <c r="Q1370" i="7"/>
  <c r="Q1377" i="7"/>
  <c r="Q1378" i="7"/>
  <c r="Q1388" i="7"/>
  <c r="Q1394" i="7"/>
  <c r="Q1412" i="7"/>
  <c r="Q1440" i="7"/>
  <c r="Q1456" i="7"/>
  <c r="Q1522" i="7"/>
  <c r="Q1530" i="7"/>
  <c r="Q1541" i="7"/>
  <c r="Q1556" i="7"/>
  <c r="Q1605" i="7"/>
  <c r="Q1613" i="7"/>
  <c r="Q1703" i="7"/>
  <c r="Q1405" i="7"/>
  <c r="Q1436" i="7"/>
  <c r="Q1486" i="7"/>
  <c r="Q1510" i="7"/>
  <c r="Q1520" i="7"/>
  <c r="Q1528" i="7"/>
  <c r="Q1551" i="7"/>
  <c r="Q1553" i="7"/>
  <c r="Q1563" i="7"/>
  <c r="Q1564" i="7" s="1"/>
  <c r="Q1603" i="7"/>
  <c r="Q1611" i="7"/>
  <c r="Q1619" i="7"/>
  <c r="Q1658" i="7"/>
  <c r="Q1200" i="7"/>
  <c r="Q1201" i="7"/>
  <c r="Q1284" i="7"/>
  <c r="Q1328" i="7"/>
  <c r="Q1329" i="7"/>
  <c r="Q1330" i="7"/>
  <c r="Q1435" i="7"/>
  <c r="Q1448" i="7"/>
  <c r="Q1509" i="7"/>
  <c r="Q1513" i="7"/>
  <c r="Q1514" i="7"/>
  <c r="Q1517" i="7"/>
  <c r="Q1519" i="7"/>
  <c r="Q1536" i="7"/>
  <c r="Q1548" i="7"/>
  <c r="Q1586" i="7"/>
  <c r="Q1594" i="7"/>
  <c r="Q1602" i="7"/>
  <c r="Q1610" i="7"/>
  <c r="Q1618" i="7"/>
  <c r="Q1403" i="7"/>
  <c r="Q1419" i="7"/>
  <c r="Q1434" i="7"/>
  <c r="Q1446" i="7"/>
  <c r="Q1506" i="7"/>
  <c r="Q1508" i="7"/>
  <c r="Q1535" i="7"/>
  <c r="Q1609" i="7"/>
  <c r="Q1617" i="7"/>
  <c r="Q1654" i="7"/>
  <c r="Q1214" i="7"/>
  <c r="Q1222" i="7"/>
  <c r="Q1259" i="7"/>
  <c r="Q1260" i="7"/>
  <c r="Q1261" i="7"/>
  <c r="Q1279" i="7"/>
  <c r="Q1295" i="7"/>
  <c r="P1427" i="7"/>
  <c r="Q1298" i="7"/>
  <c r="Q1311" i="7"/>
  <c r="Q1324" i="7"/>
  <c r="Q1383" i="7"/>
  <c r="Q1503" i="7"/>
  <c r="Q1525" i="7"/>
  <c r="Q1534" i="7"/>
  <c r="Q1545" i="7"/>
  <c r="Q1600" i="7"/>
  <c r="Q1608" i="7"/>
  <c r="Q1626" i="7"/>
  <c r="Q1653" i="7"/>
  <c r="Q1749" i="7"/>
  <c r="Q1841" i="7"/>
  <c r="Q1964" i="7"/>
  <c r="Q2016" i="7"/>
  <c r="Q2039" i="7"/>
  <c r="Q2042" i="7"/>
  <c r="Q1696" i="7"/>
  <c r="Q1713" i="7"/>
  <c r="Q1729" i="7"/>
  <c r="Q1745" i="7"/>
  <c r="Q1765" i="7"/>
  <c r="Q1766" i="7" s="1"/>
  <c r="Q1778" i="7"/>
  <c r="Q1787" i="7"/>
  <c r="Q1796" i="7"/>
  <c r="Q1797" i="7"/>
  <c r="Q1808" i="7"/>
  <c r="Q1816" i="7"/>
  <c r="Q1825" i="7"/>
  <c r="Q1835" i="7"/>
  <c r="Q1840" i="7"/>
  <c r="Q1895" i="7"/>
  <c r="Q1896" i="7"/>
  <c r="Q1897" i="7"/>
  <c r="Q1910" i="7"/>
  <c r="Q1923" i="7"/>
  <c r="Q1933" i="7"/>
  <c r="Q1941" i="7"/>
  <c r="Q1963" i="7"/>
  <c r="Q1971" i="7"/>
  <c r="Q1979" i="7"/>
  <c r="Q2023" i="7"/>
  <c r="Q2053" i="7"/>
  <c r="Q1693" i="7"/>
  <c r="Q1757" i="7"/>
  <c r="Q1795" i="7"/>
  <c r="Q1806" i="7"/>
  <c r="Q1807" i="7"/>
  <c r="Q1815" i="7"/>
  <c r="Q1824" i="7"/>
  <c r="Q1875" i="7"/>
  <c r="Q1888" i="7"/>
  <c r="Q1889" i="7"/>
  <c r="Q1890" i="7"/>
  <c r="Q1911" i="7"/>
  <c r="Q1912" i="7"/>
  <c r="Q1932" i="7"/>
  <c r="Q1940" i="7"/>
  <c r="Q1976" i="7"/>
  <c r="Q1977" i="7"/>
  <c r="Q2012" i="7"/>
  <c r="Q2022" i="7"/>
  <c r="Q2051" i="7"/>
  <c r="Q2052" i="7"/>
  <c r="Q1636" i="7"/>
  <c r="Q1637" i="7"/>
  <c r="Q1677" i="7"/>
  <c r="Q1678" i="7"/>
  <c r="Q1685" i="7"/>
  <c r="Q1756" i="7"/>
  <c r="Q1762" i="7"/>
  <c r="Q1774" i="7"/>
  <c r="Q1784" i="7"/>
  <c r="Q1793" i="7"/>
  <c r="Q1803" i="7"/>
  <c r="Q1813" i="7"/>
  <c r="Q1822" i="7"/>
  <c r="Q1832" i="7"/>
  <c r="Q1870" i="7"/>
  <c r="Q1881" i="7"/>
  <c r="Q1916" i="7"/>
  <c r="Q1918" i="7"/>
  <c r="Q1919" i="7" s="1"/>
  <c r="Q1920" i="7"/>
  <c r="Q1929" i="7"/>
  <c r="Q1938" i="7"/>
  <c r="Q1948" i="7"/>
  <c r="Q1997" i="7"/>
  <c r="Q2004" i="7"/>
  <c r="Q2007" i="7"/>
  <c r="Q2031" i="7"/>
  <c r="Q2032" i="7"/>
  <c r="Q2047" i="7"/>
  <c r="Q2048" i="7"/>
  <c r="Q1628" i="7"/>
  <c r="Q1631" i="7"/>
  <c r="Q1644" i="7"/>
  <c r="Q1645" i="7"/>
  <c r="Q1699" i="7"/>
  <c r="Q1701" i="7"/>
  <c r="Q1782" i="7"/>
  <c r="Q1791" i="7"/>
  <c r="Q1801" i="7"/>
  <c r="Q1811" i="7"/>
  <c r="Q1819" i="7"/>
  <c r="Q1828" i="7"/>
  <c r="Q1829" i="7"/>
  <c r="Q1844" i="7"/>
  <c r="Q1847" i="7"/>
  <c r="Q1858" i="7"/>
  <c r="Q1861" i="7"/>
  <c r="Q1900" i="7"/>
  <c r="Q1902" i="7"/>
  <c r="Q1904" i="7"/>
  <c r="Q1906" i="7" s="1"/>
  <c r="Q1927" i="7"/>
  <c r="Q1936" i="7"/>
  <c r="Q1945" i="7"/>
  <c r="Q1947" i="7"/>
  <c r="Q1954" i="7"/>
  <c r="Q1960" i="7"/>
  <c r="Q1988" i="7"/>
  <c r="Q1991" i="7"/>
  <c r="Q1992" i="7"/>
  <c r="Q1995" i="7"/>
  <c r="Q2000" i="7"/>
  <c r="Q302" i="7"/>
  <c r="Q377" i="7"/>
  <c r="Q290" i="7"/>
  <c r="Q200" i="7"/>
  <c r="Q328" i="7"/>
  <c r="Q530" i="7"/>
  <c r="Q507" i="7"/>
  <c r="Q478" i="7"/>
  <c r="Q659" i="7"/>
  <c r="Q760" i="7"/>
  <c r="Q667" i="7"/>
  <c r="Q768" i="7"/>
  <c r="Q952" i="7"/>
  <c r="Q977" i="7"/>
  <c r="Q978" i="7" s="1"/>
  <c r="Q1320" i="7"/>
  <c r="Q1452" i="7"/>
  <c r="Q1204" i="7"/>
  <c r="Q1244" i="7"/>
  <c r="Q1443" i="7"/>
  <c r="Q1408" i="7"/>
  <c r="Q1345" i="7"/>
  <c r="Q1635" i="7"/>
  <c r="Q1687" i="7"/>
  <c r="Q1743" i="7"/>
  <c r="Q1759" i="7"/>
  <c r="Q1877" i="7"/>
  <c r="Q1934" i="7"/>
  <c r="Q1950" i="7"/>
  <c r="P330" i="7"/>
  <c r="P1356" i="7"/>
  <c r="P146" i="7"/>
  <c r="P519" i="7"/>
  <c r="P123" i="7"/>
  <c r="P526" i="7"/>
  <c r="P1780" i="7"/>
  <c r="P1546" i="7"/>
  <c r="P1566" i="7"/>
  <c r="P1737" i="7"/>
  <c r="P1789" i="7"/>
  <c r="P1679" i="7"/>
  <c r="P1792" i="7"/>
  <c r="P1549" i="7"/>
  <c r="P1039" i="7"/>
  <c r="Q1184" i="7"/>
  <c r="Q1723" i="7"/>
  <c r="R1723" i="7" s="1"/>
  <c r="Q1974" i="7"/>
  <c r="R1974" i="7" s="1"/>
  <c r="P1776" i="7"/>
  <c r="P320" i="7"/>
  <c r="P342" i="7"/>
  <c r="P61" i="7"/>
  <c r="P493" i="7"/>
  <c r="P1421" i="7"/>
  <c r="P1195" i="7"/>
  <c r="P1744" i="7"/>
  <c r="P1346" i="7"/>
  <c r="P1681" i="7"/>
  <c r="P1740" i="7"/>
  <c r="P537" i="7"/>
  <c r="P1321" i="7"/>
  <c r="P1303" i="7"/>
  <c r="Q1445" i="7"/>
  <c r="M629" i="7"/>
  <c r="M554" i="7"/>
  <c r="M287" i="7"/>
  <c r="M273" i="7"/>
  <c r="M198" i="7"/>
  <c r="M343" i="7"/>
  <c r="M314" i="7"/>
  <c r="M260" i="7"/>
  <c r="M257" i="7"/>
  <c r="M240" i="7"/>
  <c r="M227" i="7"/>
  <c r="M161" i="7"/>
  <c r="M325" i="7"/>
  <c r="M271" i="7"/>
  <c r="M190" i="7"/>
  <c r="Q171" i="7"/>
  <c r="Q1350" i="7"/>
  <c r="Q121" i="7"/>
  <c r="Q1369" i="7"/>
  <c r="Q1038" i="7"/>
  <c r="Q168" i="7"/>
  <c r="R1238" i="7"/>
  <c r="Q932" i="7"/>
  <c r="Q1077" i="7"/>
  <c r="Q1134" i="7"/>
  <c r="Q934" i="7"/>
  <c r="Q1781" i="7"/>
  <c r="Q1432" i="7"/>
  <c r="Q570" i="7"/>
  <c r="Q861" i="7"/>
  <c r="Q1946" i="7"/>
  <c r="Q189" i="7"/>
  <c r="Q1511" i="7"/>
  <c r="Q948" i="7"/>
  <c r="Q918" i="7"/>
  <c r="Q1266" i="7"/>
  <c r="Q954" i="7"/>
  <c r="Q1402" i="7"/>
  <c r="Q1098" i="7"/>
  <c r="Q1451" i="7"/>
  <c r="Q1061" i="7"/>
  <c r="Q1864" i="7"/>
  <c r="Q1633" i="7"/>
  <c r="Q1433" i="7"/>
  <c r="Q1826" i="7"/>
  <c r="Q1211" i="7"/>
  <c r="Q1074" i="7"/>
  <c r="Q546" i="7"/>
  <c r="Q1106" i="7"/>
  <c r="Q1767" i="7"/>
  <c r="Q946" i="7"/>
  <c r="Q1842" i="7"/>
  <c r="Q1073" i="7"/>
  <c r="Q1110" i="7"/>
  <c r="Q1415" i="7"/>
  <c r="Q1043" i="7"/>
  <c r="Q1122" i="7"/>
  <c r="Q541" i="7"/>
  <c r="Q950" i="7"/>
  <c r="Q641" i="7"/>
  <c r="Q1926" i="7"/>
  <c r="Q1871" i="7"/>
  <c r="Q909" i="7"/>
  <c r="Q1154" i="7"/>
  <c r="Q1118" i="7"/>
  <c r="Q305" i="7"/>
  <c r="Q406" i="7"/>
  <c r="Q788" i="7"/>
  <c r="Q1922" i="7"/>
  <c r="Q1145" i="7"/>
  <c r="Q1785" i="7"/>
  <c r="Q2009" i="7"/>
  <c r="Q2005" i="7"/>
  <c r="Q1305" i="7"/>
  <c r="Q1930" i="7"/>
  <c r="Q1102" i="7"/>
  <c r="Q1812" i="7"/>
  <c r="Q1773" i="7"/>
  <c r="Q1273" i="7"/>
  <c r="Q365" i="7"/>
  <c r="Q1798" i="7"/>
  <c r="Q1423" i="7"/>
  <c r="Q1155" i="7"/>
  <c r="Q1071" i="7"/>
  <c r="Q1495" i="7"/>
  <c r="Q1162" i="7"/>
  <c r="Q881" i="7"/>
  <c r="Q885" i="7"/>
  <c r="Q1629" i="7"/>
  <c r="Q1262" i="7"/>
  <c r="Q930" i="7"/>
  <c r="Q1592" i="7"/>
  <c r="Q1178" i="7"/>
  <c r="Q786" i="7"/>
  <c r="Q317" i="7"/>
  <c r="Q320" i="7" s="1"/>
  <c r="Q173" i="7"/>
  <c r="Q1869" i="7"/>
  <c r="Q959" i="7"/>
  <c r="Q890" i="7"/>
  <c r="Q1338" i="7"/>
  <c r="Q687" i="7"/>
  <c r="Q713" i="7"/>
  <c r="Q389" i="7"/>
  <c r="Q41" i="7"/>
  <c r="Q2030" i="7"/>
  <c r="Q1461" i="7"/>
  <c r="Q1276" i="7"/>
  <c r="Q341" i="7"/>
  <c r="Q1892" i="7"/>
  <c r="Q1834" i="7"/>
  <c r="Q1913" i="7"/>
  <c r="Q592" i="7"/>
  <c r="Q1935" i="7"/>
  <c r="Q1568" i="7"/>
  <c r="Q423" i="7"/>
  <c r="Q60" i="7"/>
  <c r="Q1473" i="7"/>
  <c r="Q871" i="7"/>
  <c r="Q746" i="7"/>
  <c r="Q492" i="7"/>
  <c r="Q444" i="7"/>
  <c r="Q8" i="7"/>
  <c r="Q219" i="7"/>
  <c r="Q897" i="7"/>
  <c r="Q1401" i="7"/>
  <c r="Q635" i="7"/>
  <c r="Q1985" i="7"/>
  <c r="Q1505" i="7"/>
  <c r="Q1512" i="7"/>
  <c r="Q1708" i="7"/>
  <c r="Q1702" i="7"/>
  <c r="Q1565" i="7"/>
  <c r="Q1566" i="7" s="1"/>
  <c r="Q1578" i="7"/>
  <c r="Q1430" i="7"/>
  <c r="Q1422" i="7"/>
  <c r="Q1454" i="7"/>
  <c r="Q1420" i="7"/>
  <c r="Q1193" i="7"/>
  <c r="Q998" i="7"/>
  <c r="Q867" i="7"/>
  <c r="Q2018" i="7"/>
  <c r="Q1728" i="7"/>
  <c r="Q1758" i="7"/>
  <c r="Q1694" i="7"/>
  <c r="Q1684" i="7"/>
  <c r="Q1666" i="7"/>
  <c r="Q1672" i="7"/>
  <c r="Q1593" i="7"/>
  <c r="Q1567" i="7"/>
  <c r="Q1561" i="7"/>
  <c r="Q1595" i="7"/>
  <c r="Q1404" i="7"/>
  <c r="Q1381" i="7"/>
  <c r="Q1283" i="7"/>
  <c r="Q1362" i="7"/>
  <c r="Q1314" i="7"/>
  <c r="Q1007" i="7"/>
  <c r="Q908" i="7"/>
  <c r="Q820" i="7"/>
  <c r="Q804" i="7"/>
  <c r="Q784" i="7"/>
  <c r="Q571" i="7"/>
  <c r="Q568" i="7"/>
  <c r="Q2045" i="7"/>
  <c r="Q1462" i="7"/>
  <c r="Q1442" i="7"/>
  <c r="Q994" i="7"/>
  <c r="Q906" i="7"/>
  <c r="Q428" i="7"/>
  <c r="Q424" i="7"/>
  <c r="Q2026" i="7"/>
  <c r="Q1857" i="7"/>
  <c r="Q1736" i="7"/>
  <c r="Q1737" i="7" s="1"/>
  <c r="Q1742" i="7"/>
  <c r="Q1670" i="7"/>
  <c r="Q1690" i="7"/>
  <c r="Q1585" i="7"/>
  <c r="Q1591" i="7"/>
  <c r="Q1597" i="7"/>
  <c r="Q1579" i="7"/>
  <c r="Q1487" i="7"/>
  <c r="Q1491" i="7"/>
  <c r="Q1475" i="7"/>
  <c r="Q1245" i="7"/>
  <c r="Q1275" i="7"/>
  <c r="R494" i="7"/>
  <c r="R800" i="7"/>
  <c r="R955" i="7"/>
  <c r="R1247" i="7"/>
  <c r="R1392" i="7"/>
  <c r="R1691" i="7"/>
  <c r="R1970" i="7"/>
  <c r="R1996" i="7"/>
  <c r="R283" i="7"/>
  <c r="R300" i="7"/>
  <c r="R326" i="7"/>
  <c r="R404" i="7"/>
  <c r="R517" i="7"/>
  <c r="R1212" i="7"/>
  <c r="R1463" i="7"/>
  <c r="R1493" i="7"/>
  <c r="R1651" i="7"/>
  <c r="R1894" i="7"/>
  <c r="R1943" i="7"/>
  <c r="R1953" i="7"/>
  <c r="R1961" i="7"/>
  <c r="R623" i="7"/>
  <c r="R631" i="7"/>
  <c r="R961" i="7"/>
  <c r="R962" i="7"/>
  <c r="R980" i="7"/>
  <c r="R1368" i="7"/>
  <c r="R1984" i="7"/>
  <c r="R1993" i="7"/>
  <c r="R188" i="7"/>
  <c r="R119" i="7"/>
  <c r="R129" i="7"/>
  <c r="R191" i="7"/>
  <c r="R199" i="7"/>
  <c r="R224" i="7"/>
  <c r="R225" i="7"/>
  <c r="R232" i="7"/>
  <c r="R297" i="7"/>
  <c r="R409" i="7"/>
  <c r="R533" i="7"/>
  <c r="R590" i="7"/>
  <c r="R606" i="7"/>
  <c r="R621" i="7"/>
  <c r="R1353" i="7"/>
  <c r="R1639" i="7"/>
  <c r="R1673" i="7"/>
  <c r="R1747" i="7"/>
  <c r="R181" i="7"/>
  <c r="R1374" i="7"/>
  <c r="R1521" i="7"/>
  <c r="R1845" i="7"/>
  <c r="R1931" i="7"/>
  <c r="R1982" i="7"/>
  <c r="R1990" i="7"/>
  <c r="R1999" i="7"/>
  <c r="R2006" i="7"/>
  <c r="R2033" i="7"/>
  <c r="R332" i="7"/>
  <c r="R415" i="7"/>
  <c r="R503" i="7"/>
  <c r="R769" i="7"/>
  <c r="R802" i="7"/>
  <c r="R1348" i="7"/>
  <c r="R1431" i="7"/>
  <c r="R1439" i="7"/>
  <c r="R1457" i="7"/>
  <c r="R127" i="7"/>
  <c r="R145" i="7"/>
  <c r="R250" i="7"/>
  <c r="R355" i="7"/>
  <c r="R426" i="7"/>
  <c r="R650" i="7"/>
  <c r="R787" i="7"/>
  <c r="R789" i="7"/>
  <c r="R794" i="7"/>
  <c r="R795" i="7"/>
  <c r="R796" i="7"/>
  <c r="R944" i="7"/>
  <c r="R1248" i="7"/>
  <c r="R1256" i="7"/>
  <c r="R1301" i="7"/>
  <c r="R1312" i="7"/>
  <c r="R1331" i="7"/>
  <c r="R1379" i="7"/>
  <c r="R1390" i="7"/>
  <c r="R1399" i="7"/>
  <c r="R1455" i="7"/>
  <c r="R1544" i="7"/>
  <c r="R1624" i="7"/>
  <c r="R1643" i="7"/>
  <c r="R1669" i="7"/>
  <c r="R1731" i="7"/>
  <c r="R1799" i="7"/>
  <c r="R1823" i="7"/>
  <c r="R1831" i="7"/>
  <c r="R2049" i="7"/>
  <c r="R143" i="7"/>
  <c r="R196" i="7"/>
  <c r="R230" i="7"/>
  <c r="R278" i="7"/>
  <c r="R370" i="7"/>
  <c r="R458" i="7"/>
  <c r="R459" i="7" s="1"/>
  <c r="S459" i="7" s="1"/>
  <c r="R468" i="7"/>
  <c r="R664" i="7"/>
  <c r="R757" i="7"/>
  <c r="R775" i="7"/>
  <c r="R866" i="7"/>
  <c r="R942" i="7"/>
  <c r="R951" i="7"/>
  <c r="R1069" i="7"/>
  <c r="R1169" i="7"/>
  <c r="R1482" i="7"/>
  <c r="R1490" i="7"/>
  <c r="R1500" i="7"/>
  <c r="R1574" i="7"/>
  <c r="R1582" i="7"/>
  <c r="R1598" i="7"/>
  <c r="R1606" i="7"/>
  <c r="R1614" i="7"/>
  <c r="R1632" i="7"/>
  <c r="R1805" i="7"/>
  <c r="R1821" i="7"/>
  <c r="R1855" i="7"/>
  <c r="R1863" i="7"/>
  <c r="R1967" i="7"/>
  <c r="R1969" i="7"/>
  <c r="R1986" i="7"/>
  <c r="R105" i="7"/>
  <c r="R113" i="7"/>
  <c r="R151" i="7"/>
  <c r="R158" i="7"/>
  <c r="R204" i="7"/>
  <c r="R303" i="7"/>
  <c r="R312" i="7"/>
  <c r="R411" i="7"/>
  <c r="R475" i="7"/>
  <c r="R615" i="7"/>
  <c r="R663" i="7"/>
  <c r="R782" i="7"/>
  <c r="R840" i="7"/>
  <c r="R882" i="7"/>
  <c r="R931" i="7"/>
  <c r="R1041" i="7"/>
  <c r="R1109" i="7"/>
  <c r="R1159" i="7"/>
  <c r="R1177" i="7"/>
  <c r="R1210" i="7"/>
  <c r="R1218" i="7"/>
  <c r="R1226" i="7"/>
  <c r="R1349" i="7"/>
  <c r="R1351" i="7"/>
  <c r="R1367" i="7"/>
  <c r="R1387" i="7"/>
  <c r="R1426" i="7"/>
  <c r="R1444" i="7"/>
  <c r="R1453" i="7"/>
  <c r="R1464" i="7"/>
  <c r="R1480" i="7"/>
  <c r="R1498" i="7"/>
  <c r="R1531" i="7"/>
  <c r="R1649" i="7"/>
  <c r="R1657" i="7"/>
  <c r="R1698" i="7"/>
  <c r="R1775" i="7"/>
  <c r="R1887" i="7"/>
  <c r="R1898" i="7"/>
  <c r="R1914" i="7"/>
  <c r="R2002" i="7"/>
  <c r="R2011" i="7"/>
  <c r="R1029" i="7"/>
  <c r="R1067" i="7"/>
  <c r="R1083" i="7"/>
  <c r="R1091" i="7"/>
  <c r="R1100" i="7"/>
  <c r="R1242" i="7"/>
  <c r="R1252" i="7"/>
  <c r="R193" i="7"/>
  <c r="R210" i="7"/>
  <c r="R235" i="7"/>
  <c r="R292" i="7"/>
  <c r="R400" i="7"/>
  <c r="R464" i="7"/>
  <c r="R473" i="7"/>
  <c r="R521" i="7"/>
  <c r="R653" i="7"/>
  <c r="R694" i="7"/>
  <c r="R702" i="7"/>
  <c r="R710" i="7"/>
  <c r="R718" i="7"/>
  <c r="R726" i="7"/>
  <c r="R846" i="7"/>
  <c r="R903" i="7"/>
  <c r="R1476" i="7"/>
  <c r="R1664" i="7"/>
  <c r="R1715" i="7"/>
  <c r="R1725" i="7"/>
  <c r="R1810" i="7"/>
  <c r="R1818" i="7"/>
  <c r="R1860" i="7"/>
  <c r="R1876" i="7"/>
  <c r="R2044" i="7"/>
  <c r="R243" i="7"/>
  <c r="R252" i="7"/>
  <c r="R391" i="7"/>
  <c r="R862" i="7"/>
  <c r="R870" i="7"/>
  <c r="R879" i="7"/>
  <c r="R928" i="7"/>
  <c r="R1027" i="7"/>
  <c r="R1663" i="7"/>
  <c r="R1817" i="7"/>
  <c r="R1921" i="7"/>
  <c r="R1937" i="7"/>
  <c r="R1962" i="7"/>
  <c r="R1981" i="7"/>
  <c r="R2050" i="7"/>
  <c r="R254" i="7"/>
  <c r="R280" i="7"/>
  <c r="R111" i="7"/>
  <c r="R203" i="7"/>
  <c r="R205" i="7"/>
  <c r="R212" i="7"/>
  <c r="R213" i="7"/>
  <c r="R222" i="7"/>
  <c r="R223" i="7"/>
  <c r="R233" i="7"/>
  <c r="R367" i="7"/>
  <c r="R485" i="7"/>
  <c r="R497" i="7"/>
  <c r="R234" i="7"/>
  <c r="R262" i="7"/>
  <c r="R172" i="7"/>
  <c r="R201" i="7"/>
  <c r="R211" i="7"/>
  <c r="R220" i="7"/>
  <c r="R354" i="7"/>
  <c r="R383" i="7"/>
  <c r="R421" i="7"/>
  <c r="R153" i="7"/>
  <c r="R160" i="7"/>
  <c r="R170" i="7"/>
  <c r="R180" i="7"/>
  <c r="R218" i="7"/>
  <c r="R319" i="7"/>
  <c r="R381" i="7"/>
  <c r="R407" i="7"/>
  <c r="R417" i="7"/>
  <c r="R418" i="7"/>
  <c r="R351" i="7"/>
  <c r="R539" i="7"/>
  <c r="R588" i="7"/>
  <c r="R596" i="7"/>
  <c r="R245" i="7"/>
  <c r="R263" i="7"/>
  <c r="R378" i="7"/>
  <c r="R658" i="7"/>
  <c r="R666" i="7"/>
  <c r="R675" i="7"/>
  <c r="R699" i="7"/>
  <c r="R707" i="7"/>
  <c r="R715" i="7"/>
  <c r="R723" i="7"/>
  <c r="R729" i="7"/>
  <c r="R750" i="7"/>
  <c r="R131" i="7"/>
  <c r="R166" i="7"/>
  <c r="R186" i="7"/>
  <c r="R248" i="7"/>
  <c r="R294" i="7"/>
  <c r="R304" i="7"/>
  <c r="R324" i="7"/>
  <c r="R359" i="7"/>
  <c r="R393" i="7"/>
  <c r="R484" i="7"/>
  <c r="R496" i="7"/>
  <c r="R505" i="7"/>
  <c r="R516" i="7"/>
  <c r="R529" i="7"/>
  <c r="R536" i="7"/>
  <c r="R654" i="7"/>
  <c r="R655" i="7"/>
  <c r="R657" i="7"/>
  <c r="R766" i="7"/>
  <c r="R776" i="7"/>
  <c r="R805" i="7"/>
  <c r="R826" i="7"/>
  <c r="R827" i="7"/>
  <c r="R837" i="7"/>
  <c r="R889" i="7"/>
  <c r="R905" i="7"/>
  <c r="R913" i="7"/>
  <c r="R922" i="7"/>
  <c r="R943" i="7"/>
  <c r="R964" i="7"/>
  <c r="R971" i="7"/>
  <c r="R972" i="7"/>
  <c r="R1037" i="7"/>
  <c r="R1049" i="7"/>
  <c r="R1066" i="7"/>
  <c r="R1140" i="7"/>
  <c r="R1175" i="7"/>
  <c r="R1265" i="7"/>
  <c r="R399" i="7"/>
  <c r="R425" i="7"/>
  <c r="R461" i="7"/>
  <c r="R471" i="7"/>
  <c r="R481" i="7"/>
  <c r="R513" i="7"/>
  <c r="R815" i="7"/>
  <c r="R818" i="7"/>
  <c r="R853" i="7"/>
  <c r="R1057" i="7"/>
  <c r="R1344" i="7"/>
  <c r="R397" i="7"/>
  <c r="R398" i="7"/>
  <c r="R410" i="7"/>
  <c r="R433" i="7"/>
  <c r="R434" i="7"/>
  <c r="R442" i="7"/>
  <c r="R449" i="7"/>
  <c r="R450" i="7"/>
  <c r="R470" i="7"/>
  <c r="R491" i="7"/>
  <c r="R501" i="7"/>
  <c r="R512" i="7"/>
  <c r="R575" i="7"/>
  <c r="R583" i="7"/>
  <c r="R591" i="7"/>
  <c r="R599" i="7"/>
  <c r="R607" i="7"/>
  <c r="R624" i="7"/>
  <c r="R662" i="7"/>
  <c r="R772" i="7"/>
  <c r="R773" i="7"/>
  <c r="R781" i="7"/>
  <c r="R803" i="7"/>
  <c r="R814" i="7"/>
  <c r="R852" i="7"/>
  <c r="R869" i="7"/>
  <c r="R877" i="7"/>
  <c r="R894" i="7"/>
  <c r="R940" i="7"/>
  <c r="R949" i="7"/>
  <c r="R1014" i="7"/>
  <c r="R1023" i="7"/>
  <c r="R1044" i="7"/>
  <c r="R1055" i="7"/>
  <c r="R1104" i="7"/>
  <c r="R1112" i="7"/>
  <c r="R1120" i="7"/>
  <c r="R1199" i="7"/>
  <c r="R1208" i="7"/>
  <c r="R1234" i="7"/>
  <c r="R1278" i="7"/>
  <c r="R823" i="7"/>
  <c r="R834" i="7"/>
  <c r="R843" i="7"/>
  <c r="R893" i="7"/>
  <c r="R901" i="7"/>
  <c r="R967" i="7"/>
  <c r="R985" i="7"/>
  <c r="R993" i="7"/>
  <c r="R1022" i="7"/>
  <c r="R1030" i="7"/>
  <c r="R1042" i="7"/>
  <c r="R1054" i="7"/>
  <c r="R1070" i="7"/>
  <c r="R1103" i="7"/>
  <c r="R1128" i="7"/>
  <c r="R1187" i="7"/>
  <c r="R1198" i="7"/>
  <c r="R1202" i="7"/>
  <c r="R1205" i="7"/>
  <c r="R1206" i="7"/>
  <c r="R242" i="7"/>
  <c r="R318" i="7"/>
  <c r="R376" i="7"/>
  <c r="R382" i="7"/>
  <c r="R384" i="7"/>
  <c r="R395" i="7"/>
  <c r="R432" i="7"/>
  <c r="R440" i="7"/>
  <c r="R448" i="7"/>
  <c r="R456" i="7"/>
  <c r="R465" i="7"/>
  <c r="R500" i="7"/>
  <c r="R510" i="7"/>
  <c r="R540" i="7"/>
  <c r="R557" i="7"/>
  <c r="R565" i="7"/>
  <c r="R573" i="7"/>
  <c r="R581" i="7"/>
  <c r="R589" i="7"/>
  <c r="R597" i="7"/>
  <c r="R605" i="7"/>
  <c r="R614" i="7"/>
  <c r="R622" i="7"/>
  <c r="R630" i="7"/>
  <c r="R639" i="7"/>
  <c r="R640" i="7"/>
  <c r="R649" i="7"/>
  <c r="R660" i="7"/>
  <c r="R668" i="7"/>
  <c r="R677" i="7"/>
  <c r="R685" i="7"/>
  <c r="R693" i="7"/>
  <c r="R701" i="7"/>
  <c r="R709" i="7"/>
  <c r="R717" i="7"/>
  <c r="R725" i="7"/>
  <c r="R731" i="7"/>
  <c r="R738" i="7"/>
  <c r="R744" i="7"/>
  <c r="R752" i="7"/>
  <c r="R799" i="7"/>
  <c r="R801" i="7"/>
  <c r="R849" i="7"/>
  <c r="R850" i="7"/>
  <c r="R1001" i="7"/>
  <c r="R1197" i="7"/>
  <c r="R1230" i="7"/>
  <c r="R810" i="7"/>
  <c r="R821" i="7"/>
  <c r="R936" i="7"/>
  <c r="R983" i="7"/>
  <c r="R1019" i="7"/>
  <c r="R1300" i="7"/>
  <c r="R1601" i="7"/>
  <c r="R1675" i="7"/>
  <c r="R1735" i="7"/>
  <c r="R1868" i="7"/>
  <c r="R1879" i="7"/>
  <c r="R1901" i="7"/>
  <c r="R1956" i="7"/>
  <c r="R1215" i="7"/>
  <c r="R1223" i="7"/>
  <c r="R1224" i="7"/>
  <c r="R1257" i="7"/>
  <c r="R1269" i="7"/>
  <c r="R1277" i="7"/>
  <c r="R1286" i="7"/>
  <c r="R1290" i="7"/>
  <c r="R1309" i="7"/>
  <c r="R1319" i="7"/>
  <c r="R1340" i="7"/>
  <c r="R1341" i="7"/>
  <c r="R1343" i="7"/>
  <c r="R1363" i="7"/>
  <c r="R1393" i="7"/>
  <c r="R1411" i="7"/>
  <c r="R1460" i="7"/>
  <c r="R1478" i="7"/>
  <c r="R1523" i="7"/>
  <c r="R1532" i="7"/>
  <c r="R1533" i="7"/>
  <c r="R1543" i="7"/>
  <c r="R1607" i="7"/>
  <c r="R1615" i="7"/>
  <c r="R1623" i="7"/>
  <c r="R1634" i="7"/>
  <c r="R1655" i="7"/>
  <c r="R1674" i="7"/>
  <c r="R1709" i="7"/>
  <c r="R1721" i="7"/>
  <c r="R1783" i="7"/>
  <c r="R1794" i="7"/>
  <c r="R1827" i="7"/>
  <c r="R1836" i="7"/>
  <c r="R1867" i="7"/>
  <c r="R1899" i="7"/>
  <c r="R1915" i="7"/>
  <c r="R1928" i="7"/>
  <c r="R1944" i="7"/>
  <c r="R1955" i="7"/>
  <c r="R1965" i="7"/>
  <c r="R1998" i="7"/>
  <c r="R1243" i="7"/>
  <c r="R1285" i="7"/>
  <c r="R1327" i="7"/>
  <c r="R1365" i="7"/>
  <c r="R1458" i="7"/>
  <c r="R1622" i="7"/>
  <c r="R1707" i="7"/>
  <c r="R1719" i="7"/>
  <c r="R1755" i="7"/>
  <c r="R1772" i="7"/>
  <c r="R1989" i="7"/>
  <c r="R2015" i="7"/>
  <c r="R1220" i="7"/>
  <c r="R1231" i="7"/>
  <c r="R1232" i="7"/>
  <c r="R1274" i="7"/>
  <c r="R1282" i="7"/>
  <c r="R1316" i="7"/>
  <c r="R1375" i="7"/>
  <c r="R1384" i="7"/>
  <c r="R1385" i="7"/>
  <c r="R1386" i="7"/>
  <c r="R1470" i="7"/>
  <c r="R1529" i="7"/>
  <c r="R1539" i="7"/>
  <c r="R1540" i="7" s="1"/>
  <c r="S1540" i="7" s="1"/>
  <c r="R1580" i="7"/>
  <c r="R1588" i="7"/>
  <c r="R1604" i="7"/>
  <c r="R1612" i="7"/>
  <c r="R1620" i="7"/>
  <c r="R1621" i="7"/>
  <c r="R1671" i="7"/>
  <c r="R1697" i="7"/>
  <c r="R1705" i="7"/>
  <c r="R1717" i="7"/>
  <c r="R1739" i="7"/>
  <c r="R1741" i="7"/>
  <c r="R1751" i="7"/>
  <c r="R1753" i="7"/>
  <c r="R1779" i="7"/>
  <c r="R1790" i="7"/>
  <c r="R1800" i="7"/>
  <c r="R1833" i="7"/>
  <c r="R1851" i="7"/>
  <c r="R1872" i="7"/>
  <c r="R1884" i="7"/>
  <c r="R1908" i="7"/>
  <c r="R1909" i="7"/>
  <c r="R1925" i="7"/>
  <c r="R1975" i="7"/>
  <c r="R2003" i="7"/>
  <c r="R1272" i="7"/>
  <c r="R1281" i="7"/>
  <c r="R1294" i="7"/>
  <c r="R1323" i="7"/>
  <c r="R1357" i="7"/>
  <c r="R1359" i="7"/>
  <c r="R1382" i="7"/>
  <c r="R1417" i="7"/>
  <c r="R1468" i="7"/>
  <c r="R1559" i="7"/>
  <c r="R1627" i="7"/>
  <c r="R1640" i="7"/>
  <c r="R1659" i="7"/>
  <c r="R1788" i="7"/>
  <c r="R1850" i="7"/>
  <c r="R1883" i="7"/>
  <c r="R1905" i="7"/>
  <c r="R1959" i="7"/>
  <c r="R1983" i="7"/>
  <c r="R1994" i="7"/>
  <c r="R1302" i="7"/>
  <c r="R1333" i="7"/>
  <c r="R1347" i="7"/>
  <c r="R1547" i="7"/>
  <c r="R1557" i="7"/>
  <c r="R1814" i="7"/>
  <c r="R1957" i="7"/>
  <c r="R6" i="7"/>
  <c r="R10" i="7"/>
  <c r="R14" i="7"/>
  <c r="R18" i="7"/>
  <c r="R26" i="7"/>
  <c r="R57" i="7"/>
  <c r="R59" i="7"/>
  <c r="R67" i="7"/>
  <c r="R5" i="7"/>
  <c r="R139" i="7"/>
  <c r="R147" i="7"/>
  <c r="R162" i="7"/>
  <c r="R221" i="7"/>
  <c r="R253" i="7"/>
  <c r="R9" i="7"/>
  <c r="R12" i="7"/>
  <c r="R15" i="7"/>
  <c r="R19" i="7"/>
  <c r="R23" i="7"/>
  <c r="R27" i="7"/>
  <c r="R30" i="7"/>
  <c r="R33" i="7"/>
  <c r="R36" i="7"/>
  <c r="R40" i="7"/>
  <c r="R69" i="7"/>
  <c r="R107" i="7"/>
  <c r="R115" i="7"/>
  <c r="R106" i="7"/>
  <c r="R114" i="7"/>
  <c r="R130" i="7"/>
  <c r="R138" i="7"/>
  <c r="R154" i="7"/>
  <c r="R169" i="7"/>
  <c r="R187" i="7"/>
  <c r="R279" i="7"/>
  <c r="R321" i="7"/>
  <c r="R363" i="7"/>
  <c r="R422" i="7"/>
  <c r="R104" i="7"/>
  <c r="R112" i="7"/>
  <c r="R120" i="7"/>
  <c r="R144" i="7"/>
  <c r="R152" i="7"/>
  <c r="R159" i="7"/>
  <c r="R167" i="7"/>
  <c r="R182" i="7"/>
  <c r="R183" i="7"/>
  <c r="R185" i="7"/>
  <c r="R202" i="7"/>
  <c r="R266" i="7"/>
  <c r="R268" i="7"/>
  <c r="R308" i="7"/>
  <c r="R315" i="7"/>
  <c r="R340" i="7"/>
  <c r="R102" i="7"/>
  <c r="R118" i="7"/>
  <c r="R126" i="7"/>
  <c r="R142" i="7"/>
  <c r="R150" i="7"/>
  <c r="R157" i="7"/>
  <c r="R165" i="7"/>
  <c r="R178" i="7"/>
  <c r="R179" i="7"/>
  <c r="R195" i="7"/>
  <c r="R197" i="7"/>
  <c r="R259" i="7"/>
  <c r="R261" i="7"/>
  <c r="R289" i="7"/>
  <c r="R347" i="7"/>
  <c r="R13" i="7"/>
  <c r="R17" i="7"/>
  <c r="R20" i="7"/>
  <c r="R22" i="7"/>
  <c r="R25" i="7"/>
  <c r="R29" i="7"/>
  <c r="R32" i="7"/>
  <c r="R35" i="7"/>
  <c r="R39" i="7"/>
  <c r="R70" i="7"/>
  <c r="R71" i="7"/>
  <c r="R72" i="7"/>
  <c r="R73" i="7"/>
  <c r="R74" i="7"/>
  <c r="R75" i="7"/>
  <c r="R76" i="7"/>
  <c r="R77" i="7"/>
  <c r="R78" i="7"/>
  <c r="R79" i="7"/>
  <c r="R81" i="7"/>
  <c r="R82" i="7"/>
  <c r="R83" i="7"/>
  <c r="R84" i="7"/>
  <c r="R86" i="7"/>
  <c r="R87" i="7"/>
  <c r="R88" i="7"/>
  <c r="R89" i="7"/>
  <c r="R90" i="7"/>
  <c r="R91" i="7"/>
  <c r="R92" i="7"/>
  <c r="R93" i="7"/>
  <c r="R94" i="7"/>
  <c r="R95" i="7"/>
  <c r="R96" i="7"/>
  <c r="R97" i="7"/>
  <c r="R98" i="7"/>
  <c r="R99" i="7"/>
  <c r="R100" i="7"/>
  <c r="R101" i="7"/>
  <c r="R109" i="7"/>
  <c r="R141" i="7"/>
  <c r="R149" i="7"/>
  <c r="R156" i="7"/>
  <c r="R176" i="7"/>
  <c r="R194" i="7"/>
  <c r="R258" i="7"/>
  <c r="R7" i="7"/>
  <c r="R11" i="7"/>
  <c r="R16" i="7"/>
  <c r="R21" i="7"/>
  <c r="R28" i="7"/>
  <c r="R31" i="7"/>
  <c r="R34" i="7"/>
  <c r="R37" i="7"/>
  <c r="R38" i="7"/>
  <c r="R42" i="7"/>
  <c r="R43" i="7"/>
  <c r="R44" i="7"/>
  <c r="R45" i="7"/>
  <c r="R46" i="7"/>
  <c r="R47" i="7"/>
  <c r="R48" i="7"/>
  <c r="R49" i="7"/>
  <c r="R50" i="7"/>
  <c r="R51" i="7"/>
  <c r="R52" i="7"/>
  <c r="R53" i="7"/>
  <c r="R54" i="7"/>
  <c r="R56" i="7"/>
  <c r="M128" i="7"/>
  <c r="M135" i="7"/>
  <c r="M80" i="7"/>
  <c r="M64" i="7"/>
  <c r="O1771" i="7"/>
  <c r="N1761" i="7"/>
  <c r="O1722" i="7"/>
  <c r="N1718" i="7"/>
  <c r="O1695" i="7"/>
  <c r="O1646" i="7"/>
  <c r="O1638" i="7"/>
  <c r="O1492" i="7"/>
  <c r="N1409" i="7"/>
  <c r="N1400" i="7"/>
  <c r="N1398" i="7"/>
  <c r="N1337" i="7"/>
  <c r="N1335" i="7"/>
  <c r="N1334" i="7"/>
  <c r="N1332" i="7"/>
  <c r="N1331" i="7"/>
  <c r="N1308" i="7"/>
  <c r="O1297" i="7"/>
  <c r="N1293" i="7"/>
  <c r="N1288" i="7"/>
  <c r="N1216" i="7"/>
  <c r="N1189" i="7"/>
  <c r="N1188" i="7"/>
  <c r="N1186" i="7"/>
  <c r="N1185" i="7"/>
  <c r="N1180" i="7"/>
  <c r="N1174" i="7"/>
  <c r="N1166" i="7"/>
  <c r="N1161" i="7"/>
  <c r="N1146" i="7"/>
  <c r="N1097" i="7"/>
  <c r="N1089" i="7"/>
  <c r="N1088" i="7"/>
  <c r="N1082" i="7"/>
  <c r="N1080" i="7"/>
  <c r="N1069" i="7"/>
  <c r="O1031" i="7"/>
  <c r="N1026" i="7"/>
  <c r="O1021" i="7"/>
  <c r="N1018" i="7"/>
  <c r="O1002" i="7"/>
  <c r="N999" i="7"/>
  <c r="N998" i="7"/>
  <c r="N975" i="7"/>
  <c r="N974" i="7"/>
  <c r="N973" i="7"/>
  <c r="N939" i="7"/>
  <c r="N929" i="7"/>
  <c r="N927" i="7"/>
  <c r="N926" i="7"/>
  <c r="N925" i="7"/>
  <c r="N924" i="7"/>
  <c r="N665" i="7"/>
  <c r="N637" i="7"/>
  <c r="N632" i="7"/>
  <c r="N629" i="7"/>
  <c r="N616" i="7"/>
  <c r="N564" i="7"/>
  <c r="M1489" i="7"/>
  <c r="O480" i="7"/>
  <c r="N479" i="7"/>
  <c r="O457" i="7"/>
  <c r="N453" i="7"/>
  <c r="O366" i="7"/>
  <c r="N358" i="7"/>
  <c r="O327" i="7"/>
  <c r="N323" i="7"/>
  <c r="N314" i="7"/>
  <c r="N293" i="7"/>
  <c r="N291" i="7"/>
  <c r="N288" i="7"/>
  <c r="N286" i="7"/>
  <c r="N282" i="7"/>
  <c r="N281" i="7"/>
  <c r="N273" i="7"/>
  <c r="N272" i="7"/>
  <c r="N264" i="7"/>
  <c r="N256" i="7"/>
  <c r="N251" i="7"/>
  <c r="N246" i="7"/>
  <c r="N240" i="7"/>
  <c r="N236" i="7"/>
  <c r="N229" i="7"/>
  <c r="N227" i="7"/>
  <c r="N226" i="7"/>
  <c r="N198" i="7"/>
  <c r="N190" i="7"/>
  <c r="N174" i="7"/>
  <c r="O164" i="7"/>
  <c r="N161" i="7"/>
  <c r="O136" i="7"/>
  <c r="N135" i="7"/>
  <c r="O133" i="7"/>
  <c r="N128" i="7"/>
  <c r="N125" i="7"/>
  <c r="N103" i="7"/>
  <c r="O85" i="7"/>
  <c r="N80" i="7"/>
  <c r="N1504" i="7"/>
  <c r="O1891" i="7"/>
  <c r="O1538" i="7"/>
  <c r="O1527" i="7"/>
  <c r="N1516" i="7"/>
  <c r="N1502" i="7"/>
  <c r="N1499" i="7"/>
  <c r="O1354" i="7"/>
  <c r="O1339" i="7"/>
  <c r="M1308" i="7"/>
  <c r="O1170" i="7"/>
  <c r="O1149" i="7"/>
  <c r="O1126" i="7"/>
  <c r="O1048" i="7"/>
  <c r="O976" i="7"/>
  <c r="M637" i="7"/>
  <c r="M616" i="7"/>
  <c r="O672" i="7"/>
  <c r="M453" i="7"/>
  <c r="M358" i="7"/>
  <c r="M272" i="7"/>
  <c r="M256" i="7"/>
  <c r="M246" i="7"/>
  <c r="M236" i="7"/>
  <c r="M229" i="7"/>
  <c r="M174" i="7"/>
  <c r="O65" i="7"/>
  <c r="N923" i="7"/>
  <c r="M1040" i="7"/>
  <c r="M1064" i="7"/>
  <c r="O1258" i="7"/>
  <c r="M1325" i="7"/>
  <c r="N1352" i="7"/>
  <c r="M665" i="7"/>
  <c r="N64" i="7"/>
  <c r="N1040" i="7"/>
  <c r="N1064" i="7"/>
  <c r="O1310" i="7"/>
  <c r="N1325" i="7"/>
  <c r="O1192" i="7"/>
  <c r="O1418" i="7"/>
  <c r="O1507" i="7"/>
  <c r="O1518" i="7"/>
  <c r="O1764" i="7"/>
  <c r="O110" i="7"/>
  <c r="O267" i="7"/>
  <c r="N271" i="7"/>
  <c r="M282" i="7"/>
  <c r="M293" i="7"/>
  <c r="M323" i="7"/>
  <c r="N554" i="7"/>
  <c r="M924" i="7"/>
  <c r="M926" i="7"/>
  <c r="M939" i="7"/>
  <c r="M1082" i="7"/>
  <c r="M1189" i="7"/>
  <c r="M1216" i="7"/>
  <c r="M1335" i="7"/>
  <c r="M1398" i="7"/>
  <c r="M1504" i="7"/>
  <c r="M1526" i="7"/>
  <c r="M1537" i="7"/>
  <c r="M1761" i="7"/>
  <c r="M103" i="7"/>
  <c r="M226" i="7"/>
  <c r="M264" i="7"/>
  <c r="M479" i="7"/>
  <c r="M564" i="7"/>
  <c r="M1026" i="7"/>
  <c r="M1142" i="7"/>
  <c r="M1174" i="7"/>
  <c r="N1526" i="7"/>
  <c r="N1537" i="7"/>
  <c r="M286" i="7"/>
  <c r="M288" i="7"/>
  <c r="M291" i="7"/>
  <c r="M929" i="7"/>
  <c r="M974" i="7"/>
  <c r="M1080" i="7"/>
  <c r="M1089" i="7"/>
  <c r="N1142" i="7"/>
  <c r="M1499" i="7"/>
  <c r="M1502" i="7"/>
  <c r="M1516" i="7"/>
  <c r="Q62" i="7" l="1"/>
  <c r="R62" i="7" s="1"/>
  <c r="Q66" i="7"/>
  <c r="R66" i="7" s="1"/>
  <c r="Q1789" i="7"/>
  <c r="P1555" i="7"/>
  <c r="P1710" i="7"/>
  <c r="Q1039" i="7"/>
  <c r="Q117" i="7"/>
  <c r="Q1052" i="7"/>
  <c r="Q487" i="7"/>
  <c r="Q1792" i="7"/>
  <c r="Q1549" i="7"/>
  <c r="Q336" i="7"/>
  <c r="Q1203" i="7"/>
  <c r="Q1679" i="7"/>
  <c r="P1769" i="7"/>
  <c r="Q329" i="7"/>
  <c r="Q330" i="7" s="1"/>
  <c r="Q285" i="7"/>
  <c r="R285" i="7" s="1"/>
  <c r="Q1372" i="7"/>
  <c r="R1372" i="7" s="1"/>
  <c r="Q1859" i="7"/>
  <c r="R1859" i="7" s="1"/>
  <c r="Q1552" i="7"/>
  <c r="R1552" i="7" s="1"/>
  <c r="Q1590" i="7"/>
  <c r="R1590" i="7" s="1"/>
  <c r="Q1665" i="7"/>
  <c r="R1665" i="7" s="1"/>
  <c r="Q1355" i="7"/>
  <c r="Q1972" i="7"/>
  <c r="R1972" i="7" s="1"/>
  <c r="Q1727" i="7"/>
  <c r="R1727" i="7" s="1"/>
  <c r="Q1893" i="7"/>
  <c r="R1893" i="7" s="1"/>
  <c r="Q1939" i="7"/>
  <c r="R1939" i="7" s="1"/>
  <c r="Q598" i="7"/>
  <c r="R598" i="7" s="1"/>
  <c r="Q1733" i="7"/>
  <c r="R1733" i="7" s="1"/>
  <c r="Q1846" i="7"/>
  <c r="R1846" i="7" s="1"/>
  <c r="Q295" i="7"/>
  <c r="R295" i="7" s="1"/>
  <c r="Q379" i="7"/>
  <c r="R379" i="7" s="1"/>
  <c r="Q231" i="7"/>
  <c r="R231" i="7" s="1"/>
  <c r="Q265" i="7"/>
  <c r="R265" i="7" s="1"/>
  <c r="Q137" i="7"/>
  <c r="Q146" i="7" s="1"/>
  <c r="Q255" i="7"/>
  <c r="R255" i="7" s="1"/>
  <c r="Q216" i="7"/>
  <c r="R216" i="7" s="1"/>
  <c r="Q228" i="7"/>
  <c r="R228" i="7" s="1"/>
  <c r="Q244" i="7"/>
  <c r="R244" i="7" s="1"/>
  <c r="Q296" i="7"/>
  <c r="R296" i="7" s="1"/>
  <c r="Q543" i="7"/>
  <c r="R543" i="7" s="1"/>
  <c r="Q394" i="7"/>
  <c r="R394" i="7" s="1"/>
  <c r="Q634" i="7"/>
  <c r="R634" i="7" s="1"/>
  <c r="Q638" i="7"/>
  <c r="R638" i="7" s="1"/>
  <c r="Q774" i="7"/>
  <c r="R774" i="7" s="1"/>
  <c r="Q807" i="7"/>
  <c r="R807" i="7" s="1"/>
  <c r="Q969" i="7"/>
  <c r="R969" i="7" s="1"/>
  <c r="Q970" i="7"/>
  <c r="R970" i="7" s="1"/>
  <c r="Q1092" i="7"/>
  <c r="R1092" i="7" s="1"/>
  <c r="Q1255" i="7"/>
  <c r="R1255" i="7" s="1"/>
  <c r="Q1364" i="7"/>
  <c r="R1364" i="7" s="1"/>
  <c r="Q1336" i="7"/>
  <c r="R1336" i="7" s="1"/>
  <c r="Q1361" i="7"/>
  <c r="R1361" i="7" s="1"/>
  <c r="Q1554" i="7"/>
  <c r="R1554" i="7" s="1"/>
  <c r="Q1616" i="7"/>
  <c r="R1616" i="7" s="1"/>
  <c r="Q1667" i="7"/>
  <c r="R1667" i="7" s="1"/>
  <c r="Q1711" i="7"/>
  <c r="R1711" i="7" s="1"/>
  <c r="Q1820" i="7"/>
  <c r="R1820" i="7" s="1"/>
  <c r="Q1804" i="7"/>
  <c r="R1804" i="7" s="1"/>
  <c r="Q1837" i="7"/>
  <c r="R1837" i="7" s="1"/>
  <c r="Q1854" i="7"/>
  <c r="R1854" i="7" s="1"/>
  <c r="Q1873" i="7"/>
  <c r="R1873" i="7" s="1"/>
  <c r="Q1980" i="7"/>
  <c r="R1980" i="7" s="1"/>
  <c r="Q1942" i="7"/>
  <c r="R1942" i="7" s="1"/>
  <c r="Q2010" i="7"/>
  <c r="R2010" i="7" s="1"/>
  <c r="Q1973" i="7"/>
  <c r="R1973" i="7" s="1"/>
  <c r="Q2017" i="7"/>
  <c r="R2017" i="7" s="1"/>
  <c r="Q2038" i="7"/>
  <c r="R2038" i="7" s="1"/>
  <c r="Q467" i="7"/>
  <c r="R467" i="7" s="1"/>
  <c r="Q509" i="7"/>
  <c r="Q519" i="7" s="1"/>
  <c r="Q743" i="7"/>
  <c r="R743" i="7" s="1"/>
  <c r="Q1296" i="7"/>
  <c r="R1296" i="7" s="1"/>
  <c r="Q1885" i="7"/>
  <c r="R1885" i="7" s="1"/>
  <c r="Q892" i="7"/>
  <c r="R892" i="7" s="1"/>
  <c r="Q1138" i="7"/>
  <c r="R1138" i="7" s="1"/>
  <c r="Q1360" i="7"/>
  <c r="R1360" i="7" s="1"/>
  <c r="Q375" i="7"/>
  <c r="R375" i="7" s="1"/>
  <c r="Q208" i="7"/>
  <c r="R208" i="7" s="1"/>
  <c r="Q237" i="7"/>
  <c r="R237" i="7" s="1"/>
  <c r="Q618" i="7"/>
  <c r="R618" i="7" s="1"/>
  <c r="Q617" i="7"/>
  <c r="R617" i="7" s="1"/>
  <c r="Q1856" i="7"/>
  <c r="R1856" i="7" s="1"/>
  <c r="Q1866" i="7"/>
  <c r="R1866" i="7" s="1"/>
  <c r="Q274" i="7"/>
  <c r="R274" i="7" s="1"/>
  <c r="Q134" i="7"/>
  <c r="R134" i="7" s="1"/>
  <c r="Q122" i="7"/>
  <c r="Q123" i="7" s="1"/>
  <c r="Q362" i="7"/>
  <c r="R362" i="7" s="1"/>
  <c r="Q184" i="7"/>
  <c r="R184" i="7" s="1"/>
  <c r="Q284" i="7"/>
  <c r="R284" i="7" s="1"/>
  <c r="Q429" i="7"/>
  <c r="R429" i="7" s="1"/>
  <c r="Q437" i="7"/>
  <c r="R437" i="7" s="1"/>
  <c r="Q445" i="7"/>
  <c r="R445" i="7" s="1"/>
  <c r="Q408" i="7"/>
  <c r="R408" i="7" s="1"/>
  <c r="Q612" i="7"/>
  <c r="R612" i="7" s="1"/>
  <c r="Q604" i="7"/>
  <c r="R604" i="7" s="1"/>
  <c r="Q661" i="7"/>
  <c r="R661" i="7" s="1"/>
  <c r="Q753" i="7"/>
  <c r="R753" i="7" s="1"/>
  <c r="Q683" i="7"/>
  <c r="R683" i="7" s="1"/>
  <c r="Q691" i="7"/>
  <c r="R691" i="7" s="1"/>
  <c r="Q736" i="7"/>
  <c r="R736" i="7" s="1"/>
  <c r="Q742" i="7"/>
  <c r="R742" i="7" s="1"/>
  <c r="Q858" i="7"/>
  <c r="R858" i="7" s="1"/>
  <c r="Q986" i="7"/>
  <c r="R986" i="7" s="1"/>
  <c r="Q1129" i="7"/>
  <c r="R1129" i="7" s="1"/>
  <c r="Q1111" i="7"/>
  <c r="R1111" i="7" s="1"/>
  <c r="Q1313" i="7"/>
  <c r="R1313" i="7" s="1"/>
  <c r="Q1395" i="7"/>
  <c r="R1395" i="7" s="1"/>
  <c r="Q1407" i="7"/>
  <c r="R1407" i="7" s="1"/>
  <c r="Q1572" i="7"/>
  <c r="R1572" i="7" s="1"/>
  <c r="Q1641" i="7"/>
  <c r="R1641" i="7" s="1"/>
  <c r="Q1683" i="7"/>
  <c r="R1683" i="7" s="1"/>
  <c r="Q1880" i="7"/>
  <c r="R1880" i="7" s="1"/>
  <c r="Q1949" i="7"/>
  <c r="R1949" i="7" s="1"/>
  <c r="Q1907" i="7"/>
  <c r="Q1917" i="7" s="1"/>
  <c r="Q900" i="7"/>
  <c r="R900" i="7" s="1"/>
  <c r="Q1160" i="7"/>
  <c r="R1160" i="7" s="1"/>
  <c r="Q1304" i="7"/>
  <c r="R1304" i="7" s="1"/>
  <c r="Q678" i="7"/>
  <c r="R678" i="7" s="1"/>
  <c r="Q686" i="7"/>
  <c r="R686" i="7" s="1"/>
  <c r="Q732" i="7"/>
  <c r="R732" i="7" s="1"/>
  <c r="Q739" i="7"/>
  <c r="R739" i="7" s="1"/>
  <c r="Q745" i="7"/>
  <c r="R745" i="7" s="1"/>
  <c r="Q856" i="7"/>
  <c r="R856" i="7" s="1"/>
  <c r="Q963" i="7"/>
  <c r="R963" i="7" s="1"/>
  <c r="Q1241" i="7"/>
  <c r="R1241" i="7" s="1"/>
  <c r="Q1213" i="7"/>
  <c r="R1213" i="7" s="1"/>
  <c r="Q761" i="7"/>
  <c r="R761" i="7" s="1"/>
  <c r="Q790" i="7"/>
  <c r="R790" i="7" s="1"/>
  <c r="Q791" i="7"/>
  <c r="R791" i="7" s="1"/>
  <c r="Q792" i="7"/>
  <c r="R792" i="7" s="1"/>
  <c r="Q793" i="7"/>
  <c r="R793" i="7" s="1"/>
  <c r="Q1093" i="7"/>
  <c r="R1093" i="7" s="1"/>
  <c r="Q1132" i="7"/>
  <c r="R1132" i="7" s="1"/>
  <c r="Q1428" i="7"/>
  <c r="R1428" i="7" s="1"/>
  <c r="Q1466" i="7"/>
  <c r="R1466" i="7" s="1"/>
  <c r="Q1396" i="7"/>
  <c r="R1396" i="7" s="1"/>
  <c r="Q413" i="7"/>
  <c r="R413" i="7" s="1"/>
  <c r="Q24" i="7"/>
  <c r="Q55" i="7" s="1"/>
  <c r="Q346" i="7"/>
  <c r="R346" i="7" s="1"/>
  <c r="Q427" i="7"/>
  <c r="R427" i="7" s="1"/>
  <c r="Q441" i="7"/>
  <c r="R441" i="7" s="1"/>
  <c r="Q523" i="7"/>
  <c r="Q562" i="7"/>
  <c r="R562" i="7" s="1"/>
  <c r="Q749" i="7"/>
  <c r="R749" i="7" s="1"/>
  <c r="Q758" i="7"/>
  <c r="R758" i="7" s="1"/>
  <c r="Q838" i="7"/>
  <c r="R838" i="7" s="1"/>
  <c r="Q854" i="7"/>
  <c r="R854" i="7" s="1"/>
  <c r="Q1131" i="7"/>
  <c r="R1131" i="7" s="1"/>
  <c r="Q1148" i="7"/>
  <c r="R1148" i="7" s="1"/>
  <c r="Q1550" i="7"/>
  <c r="Q1469" i="7"/>
  <c r="R1469" i="7" s="1"/>
  <c r="Q910" i="7"/>
  <c r="R910" i="7" s="1"/>
  <c r="Q1830" i="7"/>
  <c r="R1830" i="7" s="1"/>
  <c r="Q1289" i="7"/>
  <c r="R1289" i="7" s="1"/>
  <c r="Q1968" i="7"/>
  <c r="R1968" i="7" s="1"/>
  <c r="Q1239" i="7"/>
  <c r="R1239" i="7" s="1"/>
  <c r="Q1700" i="7"/>
  <c r="R1700" i="7" s="1"/>
  <c r="Q2014" i="7"/>
  <c r="R2014" i="7" s="1"/>
  <c r="Q1063" i="7"/>
  <c r="R1063" i="7" s="1"/>
  <c r="Q390" i="7"/>
  <c r="R390" i="7" s="1"/>
  <c r="Q1425" i="7"/>
  <c r="Q1427" i="7" s="1"/>
  <c r="Q1371" i="7"/>
  <c r="R1371" i="7" s="1"/>
  <c r="Q1481" i="7"/>
  <c r="R1481" i="7" s="1"/>
  <c r="Q1086" i="7"/>
  <c r="R1086" i="7" s="1"/>
  <c r="Q1777" i="7"/>
  <c r="Q1780" i="7" s="1"/>
  <c r="Q1584" i="7"/>
  <c r="R1584" i="7" s="1"/>
  <c r="Q2046" i="7"/>
  <c r="R2046" i="7" s="1"/>
  <c r="Q1576" i="7"/>
  <c r="R1576" i="7" s="1"/>
  <c r="Q1114" i="7"/>
  <c r="R1114" i="7" s="1"/>
  <c r="Q1079" i="7"/>
  <c r="R1079" i="7" s="1"/>
  <c r="Q888" i="7"/>
  <c r="R888" i="7" s="1"/>
  <c r="Q1542" i="7"/>
  <c r="Q1546" i="7" s="1"/>
  <c r="Q1053" i="7"/>
  <c r="R1053" i="7" s="1"/>
  <c r="Q1692" i="7"/>
  <c r="R1692" i="7" s="1"/>
  <c r="Q1661" i="7"/>
  <c r="R1661" i="7" s="1"/>
  <c r="Q1776" i="7"/>
  <c r="Q342" i="7"/>
  <c r="Q61" i="7"/>
  <c r="Q493" i="7"/>
  <c r="Q848" i="7"/>
  <c r="R848" i="7" s="1"/>
  <c r="Q1065" i="7"/>
  <c r="R1065" i="7" s="1"/>
  <c r="Q1952" i="7"/>
  <c r="R1952" i="7" s="1"/>
  <c r="Q2024" i="7"/>
  <c r="R2024" i="7" s="1"/>
  <c r="Q373" i="7"/>
  <c r="R373" i="7" s="1"/>
  <c r="Q1501" i="7"/>
  <c r="R1501" i="7" s="1"/>
  <c r="Q656" i="7"/>
  <c r="R656" i="7" s="1"/>
  <c r="Q2040" i="7"/>
  <c r="R2040" i="7" s="1"/>
  <c r="Q2037" i="7"/>
  <c r="R2037" i="7" s="1"/>
  <c r="Q1485" i="7"/>
  <c r="R1485" i="7" s="1"/>
  <c r="Q1267" i="7"/>
  <c r="R1267" i="7" s="1"/>
  <c r="Q1768" i="7"/>
  <c r="R1768" i="7" s="1"/>
  <c r="Q1720" i="7"/>
  <c r="R1720" i="7" s="1"/>
  <c r="Q1706" i="7"/>
  <c r="R1706" i="7" s="1"/>
  <c r="Q2013" i="7"/>
  <c r="R2013" i="7" s="1"/>
  <c r="Q1958" i="7"/>
  <c r="R1958" i="7" s="1"/>
  <c r="Q1763" i="7"/>
  <c r="R1763" i="7" s="1"/>
  <c r="Q1704" i="7"/>
  <c r="R1704" i="7" s="1"/>
  <c r="Q1421" i="7"/>
  <c r="Q1195" i="7"/>
  <c r="Q1744" i="7"/>
  <c r="R58" i="7"/>
  <c r="R63" i="7"/>
  <c r="R68" i="7"/>
  <c r="R108" i="7"/>
  <c r="R116" i="7"/>
  <c r="R117" i="7" s="1"/>
  <c r="S117" i="7" s="1"/>
  <c r="R124" i="7"/>
  <c r="R132" i="7"/>
  <c r="R140" i="7"/>
  <c r="R148" i="7"/>
  <c r="R155" i="7"/>
  <c r="R334" i="7"/>
  <c r="R335" i="7"/>
  <c r="R337" i="7"/>
  <c r="R435" i="7"/>
  <c r="R436" i="7"/>
  <c r="R443" i="7"/>
  <c r="R451" i="7"/>
  <c r="R452" i="7"/>
  <c r="R460" i="7"/>
  <c r="R469" i="7"/>
  <c r="R472" i="7"/>
  <c r="R488" i="7"/>
  <c r="R489" i="7" s="1"/>
  <c r="S489" i="7" s="1"/>
  <c r="R504" i="7"/>
  <c r="R520" i="7"/>
  <c r="R559" i="7"/>
  <c r="R577" i="7"/>
  <c r="R585" i="7"/>
  <c r="R593" i="7"/>
  <c r="R601" i="7"/>
  <c r="R609" i="7"/>
  <c r="R643" i="7"/>
  <c r="R644" i="7"/>
  <c r="R671" i="7"/>
  <c r="R163" i="7"/>
  <c r="R175" i="7"/>
  <c r="R177" i="7"/>
  <c r="R206" i="7"/>
  <c r="R207" i="7"/>
  <c r="R209" i="7"/>
  <c r="R238" i="7"/>
  <c r="R239" i="7"/>
  <c r="R241" i="7"/>
  <c r="R269" i="7"/>
  <c r="R270" i="7"/>
  <c r="R298" i="7"/>
  <c r="R299" i="7"/>
  <c r="R301" i="7"/>
  <c r="R331" i="7"/>
  <c r="R333" i="7"/>
  <c r="R374" i="7"/>
  <c r="R385" i="7"/>
  <c r="R386" i="7"/>
  <c r="R483" i="7"/>
  <c r="R486" i="7"/>
  <c r="R499" i="7"/>
  <c r="R502" i="7"/>
  <c r="R515" i="7"/>
  <c r="R518" i="7"/>
  <c r="R535" i="7"/>
  <c r="R549" i="7"/>
  <c r="R567" i="7"/>
  <c r="R600" i="7"/>
  <c r="R608" i="7"/>
  <c r="R620" i="7"/>
  <c r="R628" i="7"/>
  <c r="R642" i="7"/>
  <c r="R627" i="7"/>
  <c r="R322" i="7"/>
  <c r="R388" i="7"/>
  <c r="R392" i="7"/>
  <c r="R401" i="7"/>
  <c r="R402" i="7"/>
  <c r="R405" i="7"/>
  <c r="R466" i="7"/>
  <c r="R482" i="7"/>
  <c r="R495" i="7"/>
  <c r="R498" i="7"/>
  <c r="R511" i="7"/>
  <c r="R514" i="7"/>
  <c r="R532" i="7"/>
  <c r="R619" i="7"/>
  <c r="R626" i="7"/>
  <c r="R779" i="7"/>
  <c r="R431" i="7"/>
  <c r="R439" i="7"/>
  <c r="R447" i="7"/>
  <c r="R455" i="7"/>
  <c r="R463" i="7"/>
  <c r="R477" i="7"/>
  <c r="R525" i="7"/>
  <c r="R531" i="7"/>
  <c r="R544" i="7"/>
  <c r="R625" i="7"/>
  <c r="R651" i="7"/>
  <c r="R652" i="7"/>
  <c r="R676" i="7"/>
  <c r="R684" i="7"/>
  <c r="R692" i="7"/>
  <c r="R700" i="7"/>
  <c r="R708" i="7"/>
  <c r="R716" i="7"/>
  <c r="R724" i="7"/>
  <c r="R730" i="7"/>
  <c r="R737" i="7"/>
  <c r="R751" i="7"/>
  <c r="R777" i="7"/>
  <c r="R310" i="7"/>
  <c r="R311" i="7"/>
  <c r="R313" i="7"/>
  <c r="R344" i="7"/>
  <c r="R345" i="7"/>
  <c r="R350" i="7"/>
  <c r="R352" i="7"/>
  <c r="R353" i="7"/>
  <c r="R360" i="7"/>
  <c r="R361" i="7"/>
  <c r="R368" i="7"/>
  <c r="R369" i="7"/>
  <c r="R371" i="7"/>
  <c r="R372" i="7"/>
  <c r="R414" i="7"/>
  <c r="R416" i="7"/>
  <c r="R430" i="7"/>
  <c r="R438" i="7"/>
  <c r="R446" i="7"/>
  <c r="R454" i="7"/>
  <c r="R462" i="7"/>
  <c r="R476" i="7"/>
  <c r="R508" i="7"/>
  <c r="R524" i="7"/>
  <c r="R579" i="7"/>
  <c r="R587" i="7"/>
  <c r="R595" i="7"/>
  <c r="R603" i="7"/>
  <c r="R613" i="7"/>
  <c r="R633" i="7"/>
  <c r="R646" i="7"/>
  <c r="R647" i="7"/>
  <c r="R648" i="7"/>
  <c r="R674" i="7"/>
  <c r="R682" i="7"/>
  <c r="R690" i="7"/>
  <c r="R698" i="7"/>
  <c r="R706" i="7"/>
  <c r="R714" i="7"/>
  <c r="R722" i="7"/>
  <c r="R728" i="7"/>
  <c r="R735" i="7"/>
  <c r="R741" i="7"/>
  <c r="R214" i="7"/>
  <c r="R215" i="7"/>
  <c r="R217" i="7"/>
  <c r="R247" i="7"/>
  <c r="R249" i="7"/>
  <c r="R275" i="7"/>
  <c r="R276" i="7"/>
  <c r="R277" i="7"/>
  <c r="R306" i="7"/>
  <c r="R307" i="7"/>
  <c r="R309" i="7"/>
  <c r="R338" i="7"/>
  <c r="R339" i="7"/>
  <c r="R348" i="7"/>
  <c r="R349" i="7"/>
  <c r="R356" i="7"/>
  <c r="R357" i="7"/>
  <c r="R364" i="7"/>
  <c r="R420" i="7"/>
  <c r="R474" i="7"/>
  <c r="R490" i="7"/>
  <c r="R506" i="7"/>
  <c r="R522" i="7"/>
  <c r="R551" i="7"/>
  <c r="R586" i="7"/>
  <c r="R594" i="7"/>
  <c r="R602" i="7"/>
  <c r="R610" i="7"/>
  <c r="R611" i="7"/>
  <c r="R645" i="7"/>
  <c r="R673" i="7"/>
  <c r="R681" i="7"/>
  <c r="R689" i="7"/>
  <c r="R697" i="7"/>
  <c r="R705" i="7"/>
  <c r="R1056" i="7"/>
  <c r="R759" i="7"/>
  <c r="R767" i="7"/>
  <c r="R770" i="7"/>
  <c r="R771" i="7"/>
  <c r="R822" i="7"/>
  <c r="R824" i="7"/>
  <c r="R825" i="7"/>
  <c r="R839" i="7"/>
  <c r="R855" i="7"/>
  <c r="R880" i="7"/>
  <c r="R902" i="7"/>
  <c r="R945" i="7"/>
  <c r="R947" i="7"/>
  <c r="R988" i="7"/>
  <c r="R995" i="7"/>
  <c r="R1012" i="7"/>
  <c r="R1020" i="7"/>
  <c r="R1028" i="7"/>
  <c r="R1050" i="7"/>
  <c r="R1051" i="7"/>
  <c r="R1058" i="7"/>
  <c r="R1059" i="7"/>
  <c r="R1060" i="7"/>
  <c r="R1062" i="7"/>
  <c r="R1081" i="7"/>
  <c r="R1090" i="7"/>
  <c r="R1101" i="7"/>
  <c r="R1119" i="7"/>
  <c r="R1130" i="7"/>
  <c r="R1139" i="7"/>
  <c r="R1147" i="7"/>
  <c r="R1156" i="7"/>
  <c r="R1157" i="7"/>
  <c r="R1168" i="7"/>
  <c r="R1176" i="7"/>
  <c r="R1185" i="7"/>
  <c r="R1196" i="7"/>
  <c r="R1228" i="7"/>
  <c r="R1268" i="7"/>
  <c r="R1072" i="7"/>
  <c r="R765" i="7"/>
  <c r="R778" i="7"/>
  <c r="R780" i="7"/>
  <c r="R816" i="7"/>
  <c r="R851" i="7"/>
  <c r="R865" i="7"/>
  <c r="R921" i="7"/>
  <c r="R941" i="7"/>
  <c r="R1035" i="7"/>
  <c r="R1036" i="7"/>
  <c r="R1075" i="7"/>
  <c r="R1076" i="7"/>
  <c r="R1078" i="7"/>
  <c r="R1099" i="7"/>
  <c r="R1108" i="7"/>
  <c r="R1116" i="7"/>
  <c r="R1117" i="7"/>
  <c r="R1127" i="7"/>
  <c r="R1137" i="7"/>
  <c r="R1165" i="7"/>
  <c r="R1183" i="7"/>
  <c r="R1194" i="7"/>
  <c r="R721" i="7"/>
  <c r="R734" i="7"/>
  <c r="R740" i="7"/>
  <c r="R748" i="7"/>
  <c r="R756" i="7"/>
  <c r="R764" i="7"/>
  <c r="R811" i="7"/>
  <c r="R817" i="7"/>
  <c r="R819" i="7"/>
  <c r="R864" i="7"/>
  <c r="R874" i="7"/>
  <c r="R887" i="7"/>
  <c r="R907" i="7"/>
  <c r="R917" i="7"/>
  <c r="R919" i="7"/>
  <c r="R938" i="7"/>
  <c r="R960" i="7"/>
  <c r="R968" i="7"/>
  <c r="R984" i="7"/>
  <c r="R1017" i="7"/>
  <c r="R1025" i="7"/>
  <c r="R1033" i="7"/>
  <c r="R1034" i="7"/>
  <c r="R1046" i="7"/>
  <c r="R1087" i="7"/>
  <c r="R1107" i="7"/>
  <c r="R1115" i="7"/>
  <c r="R1124" i="7"/>
  <c r="R1125" i="7"/>
  <c r="R1136" i="7"/>
  <c r="R1144" i="7"/>
  <c r="R1153" i="7"/>
  <c r="R1164" i="7"/>
  <c r="R1173" i="7"/>
  <c r="R1182" i="7"/>
  <c r="R1251" i="7"/>
  <c r="R1264" i="7"/>
  <c r="R680" i="7"/>
  <c r="R688" i="7"/>
  <c r="R696" i="7"/>
  <c r="R704" i="7"/>
  <c r="R712" i="7"/>
  <c r="R720" i="7"/>
  <c r="R747" i="7"/>
  <c r="R763" i="7"/>
  <c r="R806" i="7"/>
  <c r="R808" i="7"/>
  <c r="R809" i="7"/>
  <c r="R813" i="7"/>
  <c r="R831" i="7"/>
  <c r="R832" i="7"/>
  <c r="R833" i="7"/>
  <c r="R835" i="7"/>
  <c r="R847" i="7"/>
  <c r="R863" i="7"/>
  <c r="R873" i="7"/>
  <c r="R886" i="7"/>
  <c r="R896" i="7"/>
  <c r="R914" i="7"/>
  <c r="R915" i="7"/>
  <c r="R937" i="7"/>
  <c r="R958" i="7"/>
  <c r="R991" i="7"/>
  <c r="R1016" i="7"/>
  <c r="R1024" i="7"/>
  <c r="R1032" i="7"/>
  <c r="R1045" i="7"/>
  <c r="R1096" i="7"/>
  <c r="R1123" i="7"/>
  <c r="R1135" i="7"/>
  <c r="R1143" i="7"/>
  <c r="R1152" i="7"/>
  <c r="R1163" i="7"/>
  <c r="R1172" i="7"/>
  <c r="R1181" i="7"/>
  <c r="R1250" i="7"/>
  <c r="R669" i="7"/>
  <c r="R670" i="7"/>
  <c r="R679" i="7"/>
  <c r="R695" i="7"/>
  <c r="R703" i="7"/>
  <c r="R711" i="7"/>
  <c r="R719" i="7"/>
  <c r="R727" i="7"/>
  <c r="R733" i="7"/>
  <c r="R754" i="7"/>
  <c r="R762" i="7"/>
  <c r="R798" i="7"/>
  <c r="R830" i="7"/>
  <c r="R841" i="7"/>
  <c r="R844" i="7"/>
  <c r="R857" i="7"/>
  <c r="R860" i="7"/>
  <c r="R872" i="7"/>
  <c r="R895" i="7"/>
  <c r="R933" i="7"/>
  <c r="R935" i="7"/>
  <c r="R957" i="7"/>
  <c r="R965" i="7"/>
  <c r="R966" i="7"/>
  <c r="R981" i="7"/>
  <c r="R982" i="7"/>
  <c r="R1084" i="7"/>
  <c r="R1085" i="7"/>
  <c r="R1094" i="7"/>
  <c r="R1095" i="7"/>
  <c r="R1105" i="7"/>
  <c r="R1113" i="7"/>
  <c r="R1133" i="7"/>
  <c r="R1151" i="7"/>
  <c r="R1171" i="7"/>
  <c r="R1179" i="7"/>
  <c r="R1249" i="7"/>
  <c r="R797" i="7"/>
  <c r="R829" i="7"/>
  <c r="R859" i="7"/>
  <c r="R953" i="7"/>
  <c r="R997" i="7"/>
  <c r="R1121" i="7"/>
  <c r="R1141" i="7"/>
  <c r="R1150" i="7"/>
  <c r="R1474" i="7"/>
  <c r="R1524" i="7"/>
  <c r="R1558" i="7"/>
  <c r="R1625" i="7"/>
  <c r="R1207" i="7"/>
  <c r="R1219" i="7"/>
  <c r="R1233" i="7"/>
  <c r="R1235" i="7"/>
  <c r="R1236" i="7"/>
  <c r="R1240" i="7"/>
  <c r="R1246" i="7"/>
  <c r="R1270" i="7"/>
  <c r="R1292" i="7"/>
  <c r="R1307" i="7"/>
  <c r="R1318" i="7"/>
  <c r="R1370" i="7"/>
  <c r="R1377" i="7"/>
  <c r="R1378" i="7"/>
  <c r="R1388" i="7"/>
  <c r="R1394" i="7"/>
  <c r="R1412" i="7"/>
  <c r="R1440" i="7"/>
  <c r="R1456" i="7"/>
  <c r="R1522" i="7"/>
  <c r="R1530" i="7"/>
  <c r="R1541" i="7"/>
  <c r="R1556" i="7"/>
  <c r="R1605" i="7"/>
  <c r="R1613" i="7"/>
  <c r="R1703" i="7"/>
  <c r="R1405" i="7"/>
  <c r="R1436" i="7"/>
  <c r="R1486" i="7"/>
  <c r="R1510" i="7"/>
  <c r="R1520" i="7"/>
  <c r="R1528" i="7"/>
  <c r="R1551" i="7"/>
  <c r="R1553" i="7"/>
  <c r="R1563" i="7"/>
  <c r="R1564" i="7" s="1"/>
  <c r="S1564" i="7" s="1"/>
  <c r="R1603" i="7"/>
  <c r="R1611" i="7"/>
  <c r="R1619" i="7"/>
  <c r="R1658" i="7"/>
  <c r="R1200" i="7"/>
  <c r="R1201" i="7"/>
  <c r="R1284" i="7"/>
  <c r="R1328" i="7"/>
  <c r="R1329" i="7"/>
  <c r="R1330" i="7"/>
  <c r="R1435" i="7"/>
  <c r="R1448" i="7"/>
  <c r="R1509" i="7"/>
  <c r="R1513" i="7"/>
  <c r="R1514" i="7"/>
  <c r="R1517" i="7"/>
  <c r="R1519" i="7"/>
  <c r="R1536" i="7"/>
  <c r="R1548" i="7"/>
  <c r="R1549" i="7" s="1"/>
  <c r="S1549" i="7" s="1"/>
  <c r="R1586" i="7"/>
  <c r="R1594" i="7"/>
  <c r="R1602" i="7"/>
  <c r="R1610" i="7"/>
  <c r="R1618" i="7"/>
  <c r="R1403" i="7"/>
  <c r="R1419" i="7"/>
  <c r="R1434" i="7"/>
  <c r="R1446" i="7"/>
  <c r="R1506" i="7"/>
  <c r="R1508" i="7"/>
  <c r="R1535" i="7"/>
  <c r="R1609" i="7"/>
  <c r="R1617" i="7"/>
  <c r="R1654" i="7"/>
  <c r="R1214" i="7"/>
  <c r="R1222" i="7"/>
  <c r="R1259" i="7"/>
  <c r="R1260" i="7"/>
  <c r="R1261" i="7"/>
  <c r="R1279" i="7"/>
  <c r="R1295" i="7"/>
  <c r="R1298" i="7"/>
  <c r="R1311" i="7"/>
  <c r="R1324" i="7"/>
  <c r="R1383" i="7"/>
  <c r="R1503" i="7"/>
  <c r="R1525" i="7"/>
  <c r="R1534" i="7"/>
  <c r="R1545" i="7"/>
  <c r="R1600" i="7"/>
  <c r="R1608" i="7"/>
  <c r="R1626" i="7"/>
  <c r="R1653" i="7"/>
  <c r="R1749" i="7"/>
  <c r="R1841" i="7"/>
  <c r="R1964" i="7"/>
  <c r="R2016" i="7"/>
  <c r="R2039" i="7"/>
  <c r="R2042" i="7"/>
  <c r="R1696" i="7"/>
  <c r="R1713" i="7"/>
  <c r="R1729" i="7"/>
  <c r="R1745" i="7"/>
  <c r="R1765" i="7"/>
  <c r="R1766" i="7" s="1"/>
  <c r="S1766" i="7" s="1"/>
  <c r="R1778" i="7"/>
  <c r="R1787" i="7"/>
  <c r="R1789" i="7" s="1"/>
  <c r="S1789" i="7" s="1"/>
  <c r="R1796" i="7"/>
  <c r="R1797" i="7"/>
  <c r="R1808" i="7"/>
  <c r="R1816" i="7"/>
  <c r="R1825" i="7"/>
  <c r="R1835" i="7"/>
  <c r="R1840" i="7"/>
  <c r="R1895" i="7"/>
  <c r="R1896" i="7"/>
  <c r="R1897" i="7"/>
  <c r="R1910" i="7"/>
  <c r="R1923" i="7"/>
  <c r="R1933" i="7"/>
  <c r="R1941" i="7"/>
  <c r="R1963" i="7"/>
  <c r="R1971" i="7"/>
  <c r="R1979" i="7"/>
  <c r="R2023" i="7"/>
  <c r="R2053" i="7"/>
  <c r="R1693" i="7"/>
  <c r="R1757" i="7"/>
  <c r="R1795" i="7"/>
  <c r="R1806" i="7"/>
  <c r="R1807" i="7"/>
  <c r="R1815" i="7"/>
  <c r="R1824" i="7"/>
  <c r="R1875" i="7"/>
  <c r="R1888" i="7"/>
  <c r="R1889" i="7"/>
  <c r="R1890" i="7"/>
  <c r="R1911" i="7"/>
  <c r="R1912" i="7"/>
  <c r="R1932" i="7"/>
  <c r="R1940" i="7"/>
  <c r="R1976" i="7"/>
  <c r="R1977" i="7"/>
  <c r="R2012" i="7"/>
  <c r="R2022" i="7"/>
  <c r="R2051" i="7"/>
  <c r="R2052" i="7"/>
  <c r="R1636" i="7"/>
  <c r="R1637" i="7"/>
  <c r="R1677" i="7"/>
  <c r="R1678" i="7"/>
  <c r="R1685" i="7"/>
  <c r="R1756" i="7"/>
  <c r="R1762" i="7"/>
  <c r="R1774" i="7"/>
  <c r="R1784" i="7"/>
  <c r="R1793" i="7"/>
  <c r="R1803" i="7"/>
  <c r="R1813" i="7"/>
  <c r="R1822" i="7"/>
  <c r="R1832" i="7"/>
  <c r="R1870" i="7"/>
  <c r="R1881" i="7"/>
  <c r="R1916" i="7"/>
  <c r="R1918" i="7"/>
  <c r="R1919" i="7" s="1"/>
  <c r="S1919" i="7" s="1"/>
  <c r="R1920" i="7"/>
  <c r="R1929" i="7"/>
  <c r="R1938" i="7"/>
  <c r="R1948" i="7"/>
  <c r="R1997" i="7"/>
  <c r="R2004" i="7"/>
  <c r="R2007" i="7"/>
  <c r="R2031" i="7"/>
  <c r="R2032" i="7"/>
  <c r="R2047" i="7"/>
  <c r="R2048" i="7"/>
  <c r="R1628" i="7"/>
  <c r="R1631" i="7"/>
  <c r="R1644" i="7"/>
  <c r="R1645" i="7"/>
  <c r="R1699" i="7"/>
  <c r="R1701" i="7"/>
  <c r="R1782" i="7"/>
  <c r="R1791" i="7"/>
  <c r="R1792" i="7" s="1"/>
  <c r="S1792" i="7" s="1"/>
  <c r="R1801" i="7"/>
  <c r="R1811" i="7"/>
  <c r="R1819" i="7"/>
  <c r="R1828" i="7"/>
  <c r="R1829" i="7"/>
  <c r="R1844" i="7"/>
  <c r="R1847" i="7"/>
  <c r="R1858" i="7"/>
  <c r="R1861" i="7"/>
  <c r="R1900" i="7"/>
  <c r="R1902" i="7"/>
  <c r="R1904" i="7"/>
  <c r="R1927" i="7"/>
  <c r="R1936" i="7"/>
  <c r="R1945" i="7"/>
  <c r="R1947" i="7"/>
  <c r="R1954" i="7"/>
  <c r="R1960" i="7"/>
  <c r="R1988" i="7"/>
  <c r="R1991" i="7"/>
  <c r="R1992" i="7"/>
  <c r="R1995" i="7"/>
  <c r="R2000" i="7"/>
  <c r="R302" i="7"/>
  <c r="R377" i="7"/>
  <c r="R290" i="7"/>
  <c r="R200" i="7"/>
  <c r="R328" i="7"/>
  <c r="R530" i="7"/>
  <c r="R507" i="7"/>
  <c r="R478" i="7"/>
  <c r="R659" i="7"/>
  <c r="R760" i="7"/>
  <c r="R667" i="7"/>
  <c r="R768" i="7"/>
  <c r="R952" i="7"/>
  <c r="R977" i="7"/>
  <c r="R978" i="7" s="1"/>
  <c r="S978" i="7" s="1"/>
  <c r="R1320" i="7"/>
  <c r="R1452" i="7"/>
  <c r="R1204" i="7"/>
  <c r="R1244" i="7"/>
  <c r="R1443" i="7"/>
  <c r="R1408" i="7"/>
  <c r="R1345" i="7"/>
  <c r="R1635" i="7"/>
  <c r="R1687" i="7"/>
  <c r="R1743" i="7"/>
  <c r="R1759" i="7"/>
  <c r="R1877" i="7"/>
  <c r="R1934" i="7"/>
  <c r="R1950" i="7"/>
  <c r="Q979" i="7"/>
  <c r="R979" i="7" s="1"/>
  <c r="Q1167" i="7"/>
  <c r="Q1158" i="7"/>
  <c r="Q1809" i="7"/>
  <c r="P1786" i="7"/>
  <c r="Q1217" i="7"/>
  <c r="R1217" i="7" s="1"/>
  <c r="Q1190" i="7"/>
  <c r="R1190" i="7" s="1"/>
  <c r="Q1254" i="7"/>
  <c r="R1254" i="7" s="1"/>
  <c r="Q1005" i="7"/>
  <c r="R1005" i="7" s="1"/>
  <c r="Q992" i="7"/>
  <c r="R992" i="7" s="1"/>
  <c r="Q1015" i="7"/>
  <c r="R1015" i="7" s="1"/>
  <c r="Q920" i="7"/>
  <c r="R920" i="7" s="1"/>
  <c r="Q868" i="7"/>
  <c r="R868" i="7" s="1"/>
  <c r="Q555" i="7"/>
  <c r="R555" i="7" s="1"/>
  <c r="Q569" i="7"/>
  <c r="R569" i="7" s="1"/>
  <c r="Q552" i="7"/>
  <c r="R552" i="7" s="1"/>
  <c r="Q584" i="7"/>
  <c r="R584" i="7" s="1"/>
  <c r="Q550" i="7"/>
  <c r="R550" i="7" s="1"/>
  <c r="Q419" i="7"/>
  <c r="R419" i="7" s="1"/>
  <c r="Q1865" i="7"/>
  <c r="R1865" i="7" s="1"/>
  <c r="Q1754" i="7"/>
  <c r="R1754" i="7" s="1"/>
  <c r="Q1488" i="7"/>
  <c r="R1488" i="7" s="1"/>
  <c r="Q1496" i="7"/>
  <c r="R1496" i="7" s="1"/>
  <c r="Q875" i="7"/>
  <c r="R875" i="7" s="1"/>
  <c r="Q560" i="7"/>
  <c r="R560" i="7" s="1"/>
  <c r="Q2021" i="7"/>
  <c r="R2021" i="7" s="1"/>
  <c r="Q1724" i="7"/>
  <c r="R1724" i="7" s="1"/>
  <c r="Q1730" i="7"/>
  <c r="R1730" i="7" s="1"/>
  <c r="Q1479" i="7"/>
  <c r="R1479" i="7" s="1"/>
  <c r="Q1342" i="7"/>
  <c r="Q1346" i="7" s="1"/>
  <c r="Q812" i="7"/>
  <c r="R812" i="7" s="1"/>
  <c r="Q898" i="7"/>
  <c r="R898" i="7" s="1"/>
  <c r="Q556" i="7"/>
  <c r="R556" i="7" s="1"/>
  <c r="Q547" i="7"/>
  <c r="R547" i="7" s="1"/>
  <c r="Q561" i="7"/>
  <c r="R561" i="7" s="1"/>
  <c r="Q403" i="7"/>
  <c r="R403" i="7" s="1"/>
  <c r="Q412" i="7"/>
  <c r="R412" i="7" s="1"/>
  <c r="Q1373" i="7"/>
  <c r="R1373" i="7" s="1"/>
  <c r="Q1449" i="7"/>
  <c r="R1449" i="7" s="1"/>
  <c r="Q1006" i="7"/>
  <c r="R1006" i="7" s="1"/>
  <c r="Q572" i="7"/>
  <c r="R572" i="7" s="1"/>
  <c r="Q563" i="7"/>
  <c r="R563" i="7" s="1"/>
  <c r="Q558" i="7"/>
  <c r="R558" i="7" s="1"/>
  <c r="Q2025" i="7"/>
  <c r="R2025" i="7" s="1"/>
  <c r="Q1852" i="7"/>
  <c r="R1852" i="7" s="1"/>
  <c r="Q1682" i="7"/>
  <c r="R1682" i="7" s="1"/>
  <c r="Q1650" i="7"/>
  <c r="R1650" i="7" s="1"/>
  <c r="Q1589" i="7"/>
  <c r="R1589" i="7" s="1"/>
  <c r="Q1571" i="7"/>
  <c r="R1571" i="7" s="1"/>
  <c r="Q1225" i="7"/>
  <c r="R1225" i="7" s="1"/>
  <c r="Q1004" i="7"/>
  <c r="R1004" i="7" s="1"/>
  <c r="Q2028" i="7"/>
  <c r="R2028" i="7" s="1"/>
  <c r="Q1853" i="7"/>
  <c r="R1853" i="7" s="1"/>
  <c r="Q1839" i="7"/>
  <c r="R1839" i="7" s="1"/>
  <c r="Q1712" i="7"/>
  <c r="R1712" i="7" s="1"/>
  <c r="Q1750" i="7"/>
  <c r="R1750" i="7" s="1"/>
  <c r="Q1577" i="7"/>
  <c r="R1577" i="7" s="1"/>
  <c r="Q1583" i="7"/>
  <c r="R1583" i="7" s="1"/>
  <c r="Q1560" i="7"/>
  <c r="R1560" i="7" s="1"/>
  <c r="Q1441" i="7"/>
  <c r="R1441" i="7" s="1"/>
  <c r="Q1414" i="7"/>
  <c r="R1414" i="7" s="1"/>
  <c r="Q1484" i="7"/>
  <c r="R1484" i="7" s="1"/>
  <c r="Q1410" i="7"/>
  <c r="R1410" i="7" s="1"/>
  <c r="Q1406" i="7"/>
  <c r="R1406" i="7" s="1"/>
  <c r="Q1253" i="7"/>
  <c r="R1253" i="7" s="1"/>
  <c r="Q1263" i="7"/>
  <c r="R1263" i="7" s="1"/>
  <c r="Q1011" i="7"/>
  <c r="R1011" i="7" s="1"/>
  <c r="Q1003" i="7"/>
  <c r="R1003" i="7" s="1"/>
  <c r="Q989" i="7"/>
  <c r="Q912" i="7"/>
  <c r="R912" i="7" s="1"/>
  <c r="Q891" i="7"/>
  <c r="R891" i="7" s="1"/>
  <c r="Q904" i="7"/>
  <c r="R904" i="7" s="1"/>
  <c r="Q548" i="7"/>
  <c r="R548" i="7" s="1"/>
  <c r="Q580" i="7"/>
  <c r="R580" i="7" s="1"/>
  <c r="Q387" i="7"/>
  <c r="R387" i="7" s="1"/>
  <c r="Q2019" i="7"/>
  <c r="R2019" i="7" s="1"/>
  <c r="Q1716" i="7"/>
  <c r="R1716" i="7" s="1"/>
  <c r="Q828" i="7"/>
  <c r="R828" i="7" s="1"/>
  <c r="Q783" i="7"/>
  <c r="R783" i="7" s="1"/>
  <c r="Q1966" i="7"/>
  <c r="R1966" i="7" s="1"/>
  <c r="Q1662" i="7"/>
  <c r="R1662" i="7" s="1"/>
  <c r="Q1680" i="7"/>
  <c r="Q1681" i="7" s="1"/>
  <c r="Q1413" i="7"/>
  <c r="R1413" i="7" s="1"/>
  <c r="Q1882" i="7"/>
  <c r="R1882" i="7" s="1"/>
  <c r="Q1843" i="7"/>
  <c r="R1843" i="7" s="1"/>
  <c r="Q1849" i="7"/>
  <c r="R1849" i="7" s="1"/>
  <c r="Q2027" i="7"/>
  <c r="R2027" i="7" s="1"/>
  <c r="Q2036" i="7"/>
  <c r="R2036" i="7" s="1"/>
  <c r="Q2034" i="7"/>
  <c r="R2034" i="7" s="1"/>
  <c r="Q1924" i="7"/>
  <c r="R1924" i="7" s="1"/>
  <c r="Q1886" i="7"/>
  <c r="R1886" i="7" s="1"/>
  <c r="Q1862" i="7"/>
  <c r="R1862" i="7" s="1"/>
  <c r="Q1848" i="7"/>
  <c r="R1848" i="7" s="1"/>
  <c r="Q1732" i="7"/>
  <c r="R1732" i="7" s="1"/>
  <c r="Q1738" i="7"/>
  <c r="Q1740" i="7" s="1"/>
  <c r="Q1686" i="7"/>
  <c r="R1686" i="7" s="1"/>
  <c r="Q1647" i="7"/>
  <c r="R1647" i="7" s="1"/>
  <c r="Q1630" i="7"/>
  <c r="R1630" i="7" s="1"/>
  <c r="Q1581" i="7"/>
  <c r="R1581" i="7" s="1"/>
  <c r="Q1450" i="7"/>
  <c r="R1450" i="7" s="1"/>
  <c r="Q1494" i="7"/>
  <c r="R1494" i="7" s="1"/>
  <c r="Q1483" i="7"/>
  <c r="R1483" i="7" s="1"/>
  <c r="Q1397" i="7"/>
  <c r="R1397" i="7" s="1"/>
  <c r="Q1380" i="7"/>
  <c r="R1380" i="7" s="1"/>
  <c r="Q1010" i="7"/>
  <c r="R1010" i="7" s="1"/>
  <c r="Q987" i="7"/>
  <c r="R987" i="7" s="1"/>
  <c r="Q911" i="7"/>
  <c r="R911" i="7" s="1"/>
  <c r="Q884" i="7"/>
  <c r="R884" i="7" s="1"/>
  <c r="Q956" i="7"/>
  <c r="R956" i="7" s="1"/>
  <c r="Q883" i="7"/>
  <c r="R883" i="7" s="1"/>
  <c r="Q534" i="7"/>
  <c r="Q537" i="7" s="1"/>
  <c r="Q578" i="7"/>
  <c r="R578" i="7" s="1"/>
  <c r="Q538" i="7"/>
  <c r="R538" i="7" s="1"/>
  <c r="Q396" i="7"/>
  <c r="R396" i="7" s="1"/>
  <c r="Q1874" i="7"/>
  <c r="R1874" i="7" s="1"/>
  <c r="Q1291" i="7"/>
  <c r="R1291" i="7" s="1"/>
  <c r="Q1726" i="7"/>
  <c r="R1726" i="7" s="1"/>
  <c r="Q1648" i="7"/>
  <c r="R1648" i="7" s="1"/>
  <c r="Q1569" i="7"/>
  <c r="R1569" i="7" s="1"/>
  <c r="Q1575" i="7"/>
  <c r="R1575" i="7" s="1"/>
  <c r="Q1573" i="7"/>
  <c r="R1573" i="7" s="1"/>
  <c r="Q1497" i="7"/>
  <c r="R1497" i="7" s="1"/>
  <c r="Q1471" i="7"/>
  <c r="R1471" i="7" s="1"/>
  <c r="Q1437" i="7"/>
  <c r="R1437" i="7" s="1"/>
  <c r="Q1429" i="7"/>
  <c r="R1429" i="7" s="1"/>
  <c r="Q1389" i="7"/>
  <c r="R1389" i="7" s="1"/>
  <c r="Q1358" i="7"/>
  <c r="R1358" i="7" s="1"/>
  <c r="Q1326" i="7"/>
  <c r="R1326" i="7" s="1"/>
  <c r="Q1317" i="7"/>
  <c r="Q1321" i="7" s="1"/>
  <c r="Q1221" i="7"/>
  <c r="R1221" i="7" s="1"/>
  <c r="Q1209" i="7"/>
  <c r="R1209" i="7" s="1"/>
  <c r="Q1047" i="7"/>
  <c r="R1047" i="7" s="1"/>
  <c r="Q1009" i="7"/>
  <c r="R1009" i="7" s="1"/>
  <c r="Q1000" i="7"/>
  <c r="R1000" i="7" s="1"/>
  <c r="Q1013" i="7"/>
  <c r="R1013" i="7" s="1"/>
  <c r="Q876" i="7"/>
  <c r="R876" i="7" s="1"/>
  <c r="Q636" i="7"/>
  <c r="R636" i="7" s="1"/>
  <c r="Q576" i="7"/>
  <c r="R576" i="7" s="1"/>
  <c r="Q542" i="7"/>
  <c r="R542" i="7" s="1"/>
  <c r="Q2041" i="7"/>
  <c r="R2041" i="7" s="1"/>
  <c r="Q1668" i="7"/>
  <c r="R1668" i="7" s="1"/>
  <c r="Q1587" i="7"/>
  <c r="R1587" i="7" s="1"/>
  <c r="Q1271" i="7"/>
  <c r="R1271" i="7" s="1"/>
  <c r="Q1229" i="7"/>
  <c r="R1229" i="7" s="1"/>
  <c r="Q1878" i="7"/>
  <c r="R1878" i="7" s="1"/>
  <c r="Q1746" i="7"/>
  <c r="R1746" i="7" s="1"/>
  <c r="Q1299" i="7"/>
  <c r="Q1303" i="7" s="1"/>
  <c r="Q1287" i="7"/>
  <c r="R1287" i="7" s="1"/>
  <c r="Q1191" i="7"/>
  <c r="R1191" i="7" s="1"/>
  <c r="Q899" i="7"/>
  <c r="R899" i="7" s="1"/>
  <c r="Q916" i="7"/>
  <c r="R916" i="7" s="1"/>
  <c r="Q836" i="7"/>
  <c r="R836" i="7" s="1"/>
  <c r="Q380" i="7"/>
  <c r="R380" i="7" s="1"/>
  <c r="R1184" i="7"/>
  <c r="P164" i="7"/>
  <c r="P136" i="7"/>
  <c r="P85" i="7"/>
  <c r="P1562" i="7"/>
  <c r="P996" i="7"/>
  <c r="P1424" i="7"/>
  <c r="P1447" i="7"/>
  <c r="P1008" i="7"/>
  <c r="P1438" i="7"/>
  <c r="P1917" i="7"/>
  <c r="P1315" i="7"/>
  <c r="P1306" i="7"/>
  <c r="P1714" i="7"/>
  <c r="P755" i="7"/>
  <c r="P1376" i="7"/>
  <c r="P1515" i="7"/>
  <c r="P1951" i="7"/>
  <c r="P2020" i="7"/>
  <c r="P1465" i="7"/>
  <c r="P1903" i="7"/>
  <c r="P1477" i="7"/>
  <c r="P55" i="7"/>
  <c r="P1978" i="7"/>
  <c r="P1570" i="7"/>
  <c r="P1459" i="7"/>
  <c r="P1688" i="7"/>
  <c r="P1366" i="7"/>
  <c r="P1752" i="7"/>
  <c r="P1734" i="7"/>
  <c r="P528" i="7"/>
  <c r="P2008" i="7"/>
  <c r="P2035" i="7"/>
  <c r="P2054" i="7"/>
  <c r="P1472" i="7"/>
  <c r="P1771" i="7"/>
  <c r="P1722" i="7"/>
  <c r="P1695" i="7"/>
  <c r="P1492" i="7"/>
  <c r="P1031" i="7"/>
  <c r="P1021" i="7"/>
  <c r="P1002" i="7"/>
  <c r="P480" i="7"/>
  <c r="Q1322" i="7"/>
  <c r="R1445" i="7"/>
  <c r="R168" i="7"/>
  <c r="S168" i="7" s="1"/>
  <c r="R171" i="7"/>
  <c r="S171" i="7" s="1"/>
  <c r="R1350" i="7"/>
  <c r="S1350" i="7" s="1"/>
  <c r="Q1424" i="7"/>
  <c r="P327" i="7"/>
  <c r="P1258" i="7"/>
  <c r="P1676" i="7"/>
  <c r="R1038" i="7"/>
  <c r="Q1786" i="7"/>
  <c r="Q1515" i="7"/>
  <c r="Q1465" i="7"/>
  <c r="Q1477" i="7"/>
  <c r="R1369" i="7"/>
  <c r="S1369" i="7" s="1"/>
  <c r="R121" i="7"/>
  <c r="S121" i="7" s="1"/>
  <c r="P1418" i="7"/>
  <c r="P1764" i="7"/>
  <c r="P1297" i="7"/>
  <c r="P1638" i="7"/>
  <c r="Q527" i="7"/>
  <c r="Q2001" i="7"/>
  <c r="Q2008" i="7" s="1"/>
  <c r="Q1227" i="7"/>
  <c r="Q1760" i="7"/>
  <c r="Q1280" i="7"/>
  <c r="Q566" i="7"/>
  <c r="Q2029" i="7"/>
  <c r="Q1656" i="7"/>
  <c r="Q582" i="7"/>
  <c r="Q1660" i="7"/>
  <c r="Q1652" i="7"/>
  <c r="Q1237" i="7"/>
  <c r="Q553" i="7"/>
  <c r="Q2043" i="7"/>
  <c r="Q1467" i="7"/>
  <c r="Q545" i="7"/>
  <c r="Q574" i="7"/>
  <c r="Q1802" i="7"/>
  <c r="Q1596" i="7"/>
  <c r="Q1416" i="7"/>
  <c r="Q785" i="7"/>
  <c r="Q1391" i="7"/>
  <c r="Q1770" i="7"/>
  <c r="Q1771" i="7" s="1"/>
  <c r="Q1761" i="7"/>
  <c r="Q1718" i="7"/>
  <c r="Q1689" i="7"/>
  <c r="Q1599" i="7"/>
  <c r="Q1504" i="7"/>
  <c r="Q1489" i="7"/>
  <c r="Q1409" i="7"/>
  <c r="Q1400" i="7"/>
  <c r="Q1398" i="7"/>
  <c r="Q1337" i="7"/>
  <c r="Q1335" i="7"/>
  <c r="Q1334" i="7"/>
  <c r="Q1332" i="7"/>
  <c r="Q1293" i="7"/>
  <c r="Q1288" i="7"/>
  <c r="Q1216" i="7"/>
  <c r="Q1189" i="7"/>
  <c r="Q1188" i="7"/>
  <c r="Q1186" i="7"/>
  <c r="Q1180" i="7"/>
  <c r="Q1166" i="7"/>
  <c r="Q1146" i="7"/>
  <c r="Q1097" i="7"/>
  <c r="Q1089" i="7"/>
  <c r="Q1088" i="7"/>
  <c r="Q1082" i="7"/>
  <c r="Q1080" i="7"/>
  <c r="Q1068" i="7"/>
  <c r="Q1026" i="7"/>
  <c r="Q1031" i="7" s="1"/>
  <c r="Q1018" i="7"/>
  <c r="Q999" i="7"/>
  <c r="Q975" i="7"/>
  <c r="Q974" i="7"/>
  <c r="Q973" i="7"/>
  <c r="Q939" i="7"/>
  <c r="Q929" i="7"/>
  <c r="Q927" i="7"/>
  <c r="Q926" i="7"/>
  <c r="Q925" i="7"/>
  <c r="Q924" i="7"/>
  <c r="Q665" i="7"/>
  <c r="Q632" i="7"/>
  <c r="Q629" i="7"/>
  <c r="Q564" i="7"/>
  <c r="Q479" i="7"/>
  <c r="Q343" i="7"/>
  <c r="Q325" i="7"/>
  <c r="Q323" i="7"/>
  <c r="Q314" i="7"/>
  <c r="Q293" i="7"/>
  <c r="Q291" i="7"/>
  <c r="Q288" i="7"/>
  <c r="Q287" i="7"/>
  <c r="Q286" i="7"/>
  <c r="Q282" i="7"/>
  <c r="Q281" i="7"/>
  <c r="Q273" i="7"/>
  <c r="Q264" i="7"/>
  <c r="Q260" i="7"/>
  <c r="Q257" i="7"/>
  <c r="Q251" i="7"/>
  <c r="Q240" i="7"/>
  <c r="Q227" i="7"/>
  <c r="Q226" i="7"/>
  <c r="Q198" i="7"/>
  <c r="Q190" i="7"/>
  <c r="Q161" i="7"/>
  <c r="Q164" i="7" s="1"/>
  <c r="Q135" i="7"/>
  <c r="Q128" i="7"/>
  <c r="Q125" i="7"/>
  <c r="Q80" i="7"/>
  <c r="R932" i="7"/>
  <c r="R1077" i="7"/>
  <c r="R1134" i="7"/>
  <c r="R934" i="7"/>
  <c r="R1781" i="7"/>
  <c r="R1432" i="7"/>
  <c r="R570" i="7"/>
  <c r="R861" i="7"/>
  <c r="R1946" i="7"/>
  <c r="R189" i="7"/>
  <c r="R1511" i="7"/>
  <c r="R948" i="7"/>
  <c r="R918" i="7"/>
  <c r="R1266" i="7"/>
  <c r="R954" i="7"/>
  <c r="R1402" i="7"/>
  <c r="R1098" i="7"/>
  <c r="R1451" i="7"/>
  <c r="R1061" i="7"/>
  <c r="R1864" i="7"/>
  <c r="R1633" i="7"/>
  <c r="R1433" i="7"/>
  <c r="R1826" i="7"/>
  <c r="R1211" i="7"/>
  <c r="R1074" i="7"/>
  <c r="R546" i="7"/>
  <c r="R1106" i="7"/>
  <c r="R1767" i="7"/>
  <c r="R946" i="7"/>
  <c r="R1842" i="7"/>
  <c r="R1073" i="7"/>
  <c r="R1110" i="7"/>
  <c r="R1415" i="7"/>
  <c r="R1043" i="7"/>
  <c r="R1122" i="7"/>
  <c r="R541" i="7"/>
  <c r="R950" i="7"/>
  <c r="R641" i="7"/>
  <c r="R1926" i="7"/>
  <c r="R1871" i="7"/>
  <c r="R909" i="7"/>
  <c r="R1154" i="7"/>
  <c r="R1118" i="7"/>
  <c r="R305" i="7"/>
  <c r="R406" i="7"/>
  <c r="R788" i="7"/>
  <c r="R1922" i="7"/>
  <c r="R1145" i="7"/>
  <c r="R1785" i="7"/>
  <c r="R2009" i="7"/>
  <c r="R2005" i="7"/>
  <c r="R1305" i="7"/>
  <c r="R1930" i="7"/>
  <c r="R1102" i="7"/>
  <c r="R1812" i="7"/>
  <c r="R1773" i="7"/>
  <c r="R1273" i="7"/>
  <c r="R365" i="7"/>
  <c r="R1798" i="7"/>
  <c r="R1423" i="7"/>
  <c r="R1155" i="7"/>
  <c r="R1071" i="7"/>
  <c r="R1495" i="7"/>
  <c r="R1162" i="7"/>
  <c r="R881" i="7"/>
  <c r="R885" i="7"/>
  <c r="R1629" i="7"/>
  <c r="R1262" i="7"/>
  <c r="R930" i="7"/>
  <c r="R1592" i="7"/>
  <c r="R1178" i="7"/>
  <c r="R786" i="7"/>
  <c r="R317" i="7"/>
  <c r="R320" i="7" s="1"/>
  <c r="S320" i="7" s="1"/>
  <c r="R173" i="7"/>
  <c r="R1869" i="7"/>
  <c r="R959" i="7"/>
  <c r="R890" i="7"/>
  <c r="R1338" i="7"/>
  <c r="R687" i="7"/>
  <c r="R713" i="7"/>
  <c r="R389" i="7"/>
  <c r="R41" i="7"/>
  <c r="R2030" i="7"/>
  <c r="R1461" i="7"/>
  <c r="R1276" i="7"/>
  <c r="R341" i="7"/>
  <c r="R1892" i="7"/>
  <c r="R1834" i="7"/>
  <c r="R1913" i="7"/>
  <c r="R592" i="7"/>
  <c r="R1935" i="7"/>
  <c r="R1568" i="7"/>
  <c r="R423" i="7"/>
  <c r="R60" i="7"/>
  <c r="R1473" i="7"/>
  <c r="R871" i="7"/>
  <c r="R746" i="7"/>
  <c r="R492" i="7"/>
  <c r="R444" i="7"/>
  <c r="R8" i="7"/>
  <c r="R219" i="7"/>
  <c r="R897" i="7"/>
  <c r="R1401" i="7"/>
  <c r="R635" i="7"/>
  <c r="R1985" i="7"/>
  <c r="R1505" i="7"/>
  <c r="R1512" i="7"/>
  <c r="R1708" i="7"/>
  <c r="R1702" i="7"/>
  <c r="R1565" i="7"/>
  <c r="R1566" i="7" s="1"/>
  <c r="S1566" i="7" s="1"/>
  <c r="R1578" i="7"/>
  <c r="R1430" i="7"/>
  <c r="R1422" i="7"/>
  <c r="R1454" i="7"/>
  <c r="R1420" i="7"/>
  <c r="R1193" i="7"/>
  <c r="R998" i="7"/>
  <c r="R867" i="7"/>
  <c r="R2018" i="7"/>
  <c r="R1728" i="7"/>
  <c r="R1758" i="7"/>
  <c r="R1694" i="7"/>
  <c r="R1684" i="7"/>
  <c r="R1666" i="7"/>
  <c r="R1672" i="7"/>
  <c r="R1593" i="7"/>
  <c r="R1567" i="7"/>
  <c r="R1561" i="7"/>
  <c r="R1595" i="7"/>
  <c r="R1404" i="7"/>
  <c r="R1381" i="7"/>
  <c r="R1283" i="7"/>
  <c r="R1362" i="7"/>
  <c r="R1314" i="7"/>
  <c r="R1007" i="7"/>
  <c r="R908" i="7"/>
  <c r="R820" i="7"/>
  <c r="R804" i="7"/>
  <c r="R784" i="7"/>
  <c r="R571" i="7"/>
  <c r="R568" i="7"/>
  <c r="R2045" i="7"/>
  <c r="R1462" i="7"/>
  <c r="R1442" i="7"/>
  <c r="R994" i="7"/>
  <c r="R906" i="7"/>
  <c r="R428" i="7"/>
  <c r="R424" i="7"/>
  <c r="R2026" i="7"/>
  <c r="R1857" i="7"/>
  <c r="R1736" i="7"/>
  <c r="R1737" i="7" s="1"/>
  <c r="S1737" i="7" s="1"/>
  <c r="R1742" i="7"/>
  <c r="R1670" i="7"/>
  <c r="R1690" i="7"/>
  <c r="R1585" i="7"/>
  <c r="R1591" i="7"/>
  <c r="R1597" i="7"/>
  <c r="R1579" i="7"/>
  <c r="R1487" i="7"/>
  <c r="R1491" i="7"/>
  <c r="R1475" i="7"/>
  <c r="R1245" i="7"/>
  <c r="R1275" i="7"/>
  <c r="P1891" i="7"/>
  <c r="P1538" i="7"/>
  <c r="P1527" i="7"/>
  <c r="P1518" i="7"/>
  <c r="P1354" i="7"/>
  <c r="P1339" i="7"/>
  <c r="P1170" i="7"/>
  <c r="P1126" i="7"/>
  <c r="P1048" i="7"/>
  <c r="P976" i="7"/>
  <c r="P457" i="7"/>
  <c r="P366" i="7"/>
  <c r="Q1306" i="7" l="1"/>
  <c r="R1542" i="7"/>
  <c r="R1546" i="7" s="1"/>
  <c r="S1546" i="7" s="1"/>
  <c r="R534" i="7"/>
  <c r="R537" i="7" s="1"/>
  <c r="S537" i="7" s="1"/>
  <c r="R509" i="7"/>
  <c r="R519" i="7" s="1"/>
  <c r="S519" i="7" s="1"/>
  <c r="Q85" i="7"/>
  <c r="R493" i="7"/>
  <c r="S493" i="7" s="1"/>
  <c r="R61" i="7"/>
  <c r="S61" i="7" s="1"/>
  <c r="R1776" i="7"/>
  <c r="S1776" i="7" s="1"/>
  <c r="Q1903" i="7"/>
  <c r="R1299" i="7"/>
  <c r="R1303" i="7" s="1"/>
  <c r="S1303" i="7" s="1"/>
  <c r="R24" i="7"/>
  <c r="R55" i="7" s="1"/>
  <c r="R1906" i="7"/>
  <c r="S1906" i="7" s="1"/>
  <c r="R1987" i="7"/>
  <c r="S1987" i="7" s="1"/>
  <c r="R1421" i="7"/>
  <c r="S1421" i="7" s="1"/>
  <c r="R1679" i="7"/>
  <c r="S1679" i="7" s="1"/>
  <c r="Q990" i="7"/>
  <c r="R989" i="7"/>
  <c r="Q1555" i="7"/>
  <c r="R1550" i="7"/>
  <c r="R1555" i="7" s="1"/>
  <c r="S1555" i="7" s="1"/>
  <c r="Q526" i="7"/>
  <c r="R523" i="7"/>
  <c r="Q1356" i="7"/>
  <c r="R1355" i="7"/>
  <c r="R1356" i="7" s="1"/>
  <c r="S1356" i="7" s="1"/>
  <c r="Q136" i="7"/>
  <c r="Q1722" i="7"/>
  <c r="R1195" i="7"/>
  <c r="S1195" i="7" s="1"/>
  <c r="Q480" i="7"/>
  <c r="Q1002" i="7"/>
  <c r="Q1695" i="7"/>
  <c r="R487" i="7"/>
  <c r="S487" i="7" s="1"/>
  <c r="R1203" i="7"/>
  <c r="S1203" i="7" s="1"/>
  <c r="R1425" i="7"/>
  <c r="R1427" i="7" s="1"/>
  <c r="S1427" i="7" s="1"/>
  <c r="R1907" i="7"/>
  <c r="R1917" i="7" s="1"/>
  <c r="S1917" i="7" s="1"/>
  <c r="R137" i="7"/>
  <c r="R146" i="7" s="1"/>
  <c r="S146" i="7" s="1"/>
  <c r="Q1710" i="7"/>
  <c r="R1738" i="7"/>
  <c r="R1740" i="7" s="1"/>
  <c r="S1740" i="7" s="1"/>
  <c r="R1680" i="7"/>
  <c r="R1681" i="7" s="1"/>
  <c r="S1681" i="7" s="1"/>
  <c r="R1744" i="7"/>
  <c r="S1744" i="7" s="1"/>
  <c r="R122" i="7"/>
  <c r="R123" i="7" s="1"/>
  <c r="S123" i="7" s="1"/>
  <c r="R329" i="7"/>
  <c r="R330" i="7" s="1"/>
  <c r="S330" i="7" s="1"/>
  <c r="Q1769" i="7"/>
  <c r="Q755" i="7"/>
  <c r="R1052" i="7"/>
  <c r="S1052" i="7" s="1"/>
  <c r="R336" i="7"/>
  <c r="S336" i="7" s="1"/>
  <c r="R1777" i="7"/>
  <c r="R1780" i="7" s="1"/>
  <c r="S1780" i="7" s="1"/>
  <c r="R1342" i="7"/>
  <c r="R1346" i="7" s="1"/>
  <c r="S1346" i="7" s="1"/>
  <c r="R1317" i="7"/>
  <c r="R1321" i="7" s="1"/>
  <c r="S1321" i="7" s="1"/>
  <c r="R1039" i="7"/>
  <c r="S1039" i="7" s="1"/>
  <c r="Q1021" i="7"/>
  <c r="Q528" i="7"/>
  <c r="R526" i="7"/>
  <c r="S526" i="7" s="1"/>
  <c r="R342" i="7"/>
  <c r="S342" i="7" s="1"/>
  <c r="Q1748" i="7"/>
  <c r="R1748" i="7" s="1"/>
  <c r="R1752" i="7" s="1"/>
  <c r="S1752" i="7" s="1"/>
  <c r="R1167" i="7"/>
  <c r="R1158" i="7"/>
  <c r="R1809" i="7"/>
  <c r="Q1366" i="7"/>
  <c r="P133" i="7"/>
  <c r="P878" i="7"/>
  <c r="Q996" i="7"/>
  <c r="Q1008" i="7"/>
  <c r="Q1447" i="7"/>
  <c r="Q1562" i="7"/>
  <c r="Q1714" i="7"/>
  <c r="Q1315" i="7"/>
  <c r="Q1438" i="7"/>
  <c r="Q1376" i="7"/>
  <c r="Q1951" i="7"/>
  <c r="Q2020" i="7"/>
  <c r="Q1978" i="7"/>
  <c r="Q1570" i="7"/>
  <c r="Q1734" i="7"/>
  <c r="Q1459" i="7"/>
  <c r="Q1688" i="7"/>
  <c r="Q845" i="7"/>
  <c r="Q878" i="7" s="1"/>
  <c r="Q2035" i="7"/>
  <c r="Q2054" i="7"/>
  <c r="Q1472" i="7"/>
  <c r="Q1492" i="7"/>
  <c r="R1322" i="7"/>
  <c r="P316" i="7"/>
  <c r="R1562" i="7"/>
  <c r="S1562" i="7" s="1"/>
  <c r="Q133" i="7"/>
  <c r="R1903" i="7"/>
  <c r="S1903" i="7" s="1"/>
  <c r="R1447" i="7"/>
  <c r="S1447" i="7" s="1"/>
  <c r="Q1258" i="7"/>
  <c r="R996" i="7"/>
  <c r="R1366" i="7"/>
  <c r="S1366" i="7" s="1"/>
  <c r="R1424" i="7"/>
  <c r="S1424" i="7" s="1"/>
  <c r="P1507" i="7"/>
  <c r="Q327" i="7"/>
  <c r="P267" i="7"/>
  <c r="R1008" i="7"/>
  <c r="S1008" i="7" s="1"/>
  <c r="Q1676" i="7"/>
  <c r="P672" i="7"/>
  <c r="P65" i="7"/>
  <c r="Q1297" i="7"/>
  <c r="Q1638" i="7"/>
  <c r="Q1418" i="7"/>
  <c r="R1306" i="7"/>
  <c r="S1306" i="7" s="1"/>
  <c r="R1769" i="7"/>
  <c r="S1769" i="7" s="1"/>
  <c r="R2020" i="7"/>
  <c r="S2020" i="7" s="1"/>
  <c r="R1477" i="7"/>
  <c r="S1477" i="7" s="1"/>
  <c r="R1570" i="7"/>
  <c r="S1570" i="7" s="1"/>
  <c r="R1734" i="7"/>
  <c r="S1734" i="7" s="1"/>
  <c r="O1987" i="7"/>
  <c r="O2055" i="7" s="1"/>
  <c r="R1714" i="7"/>
  <c r="S1714" i="7" s="1"/>
  <c r="R1710" i="7"/>
  <c r="S1710" i="7" s="1"/>
  <c r="R1376" i="7"/>
  <c r="S1376" i="7" s="1"/>
  <c r="R1786" i="7"/>
  <c r="S1786" i="7" s="1"/>
  <c r="R1515" i="7"/>
  <c r="S1515" i="7" s="1"/>
  <c r="R1465" i="7"/>
  <c r="S1465" i="7" s="1"/>
  <c r="R1978" i="7"/>
  <c r="S1978" i="7" s="1"/>
  <c r="R1459" i="7"/>
  <c r="S1459" i="7" s="1"/>
  <c r="R1688" i="7"/>
  <c r="S1688" i="7" s="1"/>
  <c r="Q1764" i="7"/>
  <c r="R1315" i="7"/>
  <c r="R755" i="7"/>
  <c r="R1438" i="7"/>
  <c r="S1438" i="7" s="1"/>
  <c r="R1951" i="7"/>
  <c r="S1951" i="7" s="1"/>
  <c r="R1398" i="7"/>
  <c r="Q1838" i="7"/>
  <c r="Q1891" i="7" s="1"/>
  <c r="Q1537" i="7"/>
  <c r="Q1538" i="7" s="1"/>
  <c r="Q1526" i="7"/>
  <c r="Q1527" i="7" s="1"/>
  <c r="Q1516" i="7"/>
  <c r="Q1518" i="7" s="1"/>
  <c r="Q1502" i="7"/>
  <c r="Q1499" i="7"/>
  <c r="Q1352" i="7"/>
  <c r="Q1354" i="7" s="1"/>
  <c r="Q1325" i="7"/>
  <c r="Q1339" i="7" s="1"/>
  <c r="Q1161" i="7"/>
  <c r="Q1170" i="7" s="1"/>
  <c r="Q1064" i="7"/>
  <c r="Q1126" i="7" s="1"/>
  <c r="Q1040" i="7"/>
  <c r="Q1048" i="7" s="1"/>
  <c r="Q923" i="7"/>
  <c r="Q976" i="7" s="1"/>
  <c r="Q637" i="7"/>
  <c r="Q616" i="7"/>
  <c r="Q554" i="7"/>
  <c r="Q453" i="7"/>
  <c r="Q457" i="7" s="1"/>
  <c r="Q358" i="7"/>
  <c r="Q366" i="7" s="1"/>
  <c r="Q272" i="7"/>
  <c r="Q271" i="7"/>
  <c r="Q256" i="7"/>
  <c r="Q246" i="7"/>
  <c r="Q236" i="7"/>
  <c r="Q229" i="7"/>
  <c r="Q174" i="7"/>
  <c r="Q64" i="7"/>
  <c r="Q65" i="7" s="1"/>
  <c r="R1288" i="7"/>
  <c r="R1189" i="7"/>
  <c r="R1188" i="7"/>
  <c r="R1186" i="7"/>
  <c r="R1180" i="7"/>
  <c r="R1088" i="7"/>
  <c r="R999" i="7"/>
  <c r="R1002" i="7" s="1"/>
  <c r="S1002" i="7" s="1"/>
  <c r="R974" i="7"/>
  <c r="R973" i="7"/>
  <c r="R926" i="7"/>
  <c r="R281" i="7"/>
  <c r="R927" i="7"/>
  <c r="R564" i="7"/>
  <c r="R479" i="7"/>
  <c r="R480" i="7" s="1"/>
  <c r="S480" i="7" s="1"/>
  <c r="R343" i="7"/>
  <c r="R325" i="7"/>
  <c r="R323" i="7"/>
  <c r="R314" i="7"/>
  <c r="R293" i="7"/>
  <c r="R273" i="7"/>
  <c r="R264" i="7"/>
  <c r="R227" i="7"/>
  <c r="R226" i="7"/>
  <c r="R198" i="7"/>
  <c r="R80" i="7"/>
  <c r="R85" i="7" s="1"/>
  <c r="S85" i="7" s="1"/>
  <c r="R1018" i="7"/>
  <c r="R1021" i="7" s="1"/>
  <c r="S1021" i="7" s="1"/>
  <c r="R975" i="7"/>
  <c r="R929" i="7"/>
  <c r="R629" i="7"/>
  <c r="R288" i="7"/>
  <c r="R287" i="7"/>
  <c r="R286" i="7"/>
  <c r="R161" i="7"/>
  <c r="R164" i="7" s="1"/>
  <c r="R128" i="7"/>
  <c r="R125" i="7"/>
  <c r="R527" i="7"/>
  <c r="R528" i="7" s="1"/>
  <c r="R2001" i="7"/>
  <c r="R2008" i="7" s="1"/>
  <c r="S2008" i="7" s="1"/>
  <c r="R1227" i="7"/>
  <c r="R1760" i="7"/>
  <c r="R1280" i="7"/>
  <c r="R566" i="7"/>
  <c r="R2029" i="7"/>
  <c r="R2035" i="7" s="1"/>
  <c r="S2035" i="7" s="1"/>
  <c r="R1656" i="7"/>
  <c r="R582" i="7"/>
  <c r="R1660" i="7"/>
  <c r="R1652" i="7"/>
  <c r="R1237" i="7"/>
  <c r="R553" i="7"/>
  <c r="R2043" i="7"/>
  <c r="R2054" i="7" s="1"/>
  <c r="S2054" i="7" s="1"/>
  <c r="R1467" i="7"/>
  <c r="R1472" i="7" s="1"/>
  <c r="S1472" i="7" s="1"/>
  <c r="R545" i="7"/>
  <c r="R574" i="7"/>
  <c r="R1802" i="7"/>
  <c r="R1596" i="7"/>
  <c r="R1416" i="7"/>
  <c r="R785" i="7"/>
  <c r="R1391" i="7"/>
  <c r="R1770" i="7"/>
  <c r="R1771" i="7" s="1"/>
  <c r="S1771" i="7" s="1"/>
  <c r="R1761" i="7"/>
  <c r="R1718" i="7"/>
  <c r="R1722" i="7" s="1"/>
  <c r="S1722" i="7" s="1"/>
  <c r="R1689" i="7"/>
  <c r="R1695" i="7" s="1"/>
  <c r="S1695" i="7" s="1"/>
  <c r="R1599" i="7"/>
  <c r="R1504" i="7"/>
  <c r="R1489" i="7"/>
  <c r="R1492" i="7" s="1"/>
  <c r="S1492" i="7" s="1"/>
  <c r="R1409" i="7"/>
  <c r="R1400" i="7"/>
  <c r="R1337" i="7"/>
  <c r="R1335" i="7"/>
  <c r="R1334" i="7"/>
  <c r="R1332" i="7"/>
  <c r="R1293" i="7"/>
  <c r="R1216" i="7"/>
  <c r="R1166" i="7"/>
  <c r="R1146" i="7"/>
  <c r="R1097" i="7"/>
  <c r="R1089" i="7"/>
  <c r="R1082" i="7"/>
  <c r="R1080" i="7"/>
  <c r="R1068" i="7"/>
  <c r="R1026" i="7"/>
  <c r="R1031" i="7" s="1"/>
  <c r="S1031" i="7" s="1"/>
  <c r="R939" i="7"/>
  <c r="R925" i="7"/>
  <c r="R924" i="7"/>
  <c r="R665" i="7"/>
  <c r="R632" i="7"/>
  <c r="R291" i="7"/>
  <c r="R282" i="7"/>
  <c r="R260" i="7"/>
  <c r="R257" i="7"/>
  <c r="R251" i="7"/>
  <c r="R240" i="7"/>
  <c r="R190" i="7"/>
  <c r="R135" i="7"/>
  <c r="R136" i="7" s="1"/>
  <c r="S136" i="7" s="1"/>
  <c r="P1646" i="7"/>
  <c r="P1192" i="7"/>
  <c r="Q1752" i="7" l="1"/>
  <c r="S1315" i="7"/>
  <c r="S996" i="7"/>
  <c r="S755" i="7"/>
  <c r="S528" i="7"/>
  <c r="S164" i="7"/>
  <c r="P110" i="7"/>
  <c r="R990" i="7"/>
  <c r="S990" i="7" s="1"/>
  <c r="R845" i="7"/>
  <c r="R878" i="7" s="1"/>
  <c r="S878" i="7" s="1"/>
  <c r="R327" i="7"/>
  <c r="S327" i="7" s="1"/>
  <c r="R133" i="7"/>
  <c r="S133" i="7" s="1"/>
  <c r="Q316" i="7"/>
  <c r="R1676" i="7"/>
  <c r="S1676" i="7" s="1"/>
  <c r="Q672" i="7"/>
  <c r="Q267" i="7"/>
  <c r="S55" i="7"/>
  <c r="Q1507" i="7"/>
  <c r="R1258" i="7"/>
  <c r="S1258" i="7" s="1"/>
  <c r="R1764" i="7"/>
  <c r="S1764" i="7" s="1"/>
  <c r="R1297" i="7"/>
  <c r="R1638" i="7"/>
  <c r="S1638" i="7" s="1"/>
  <c r="R1418" i="7"/>
  <c r="R236" i="7"/>
  <c r="Q1642" i="7"/>
  <c r="Q1646" i="7" s="1"/>
  <c r="Q1174" i="7"/>
  <c r="Q1192" i="7" s="1"/>
  <c r="Q103" i="7"/>
  <c r="Q110" i="7" s="1"/>
  <c r="R1838" i="7"/>
  <c r="R1891" i="7" s="1"/>
  <c r="S1891" i="7" s="1"/>
  <c r="R1537" i="7"/>
  <c r="R1538" i="7" s="1"/>
  <c r="S1538" i="7" s="1"/>
  <c r="R1526" i="7"/>
  <c r="R1527" i="7" s="1"/>
  <c r="S1527" i="7" s="1"/>
  <c r="R1516" i="7"/>
  <c r="R1518" i="7" s="1"/>
  <c r="S1518" i="7" s="1"/>
  <c r="R1502" i="7"/>
  <c r="R1499" i="7"/>
  <c r="R1352" i="7"/>
  <c r="R1354" i="7" s="1"/>
  <c r="S1354" i="7" s="1"/>
  <c r="R1325" i="7"/>
  <c r="R1339" i="7" s="1"/>
  <c r="S1339" i="7" s="1"/>
  <c r="R1161" i="7"/>
  <c r="R1170" i="7" s="1"/>
  <c r="S1170" i="7" s="1"/>
  <c r="R1064" i="7"/>
  <c r="R1126" i="7" s="1"/>
  <c r="S1126" i="7" s="1"/>
  <c r="R1040" i="7"/>
  <c r="R1048" i="7" s="1"/>
  <c r="S1048" i="7" s="1"/>
  <c r="R923" i="7"/>
  <c r="R976" i="7" s="1"/>
  <c r="R637" i="7"/>
  <c r="R616" i="7"/>
  <c r="R554" i="7"/>
  <c r="R453" i="7"/>
  <c r="R457" i="7" s="1"/>
  <c r="S457" i="7" s="1"/>
  <c r="R358" i="7"/>
  <c r="R366" i="7" s="1"/>
  <c r="S366" i="7" s="1"/>
  <c r="R272" i="7"/>
  <c r="R271" i="7"/>
  <c r="R256" i="7"/>
  <c r="R246" i="7"/>
  <c r="R229" i="7"/>
  <c r="R174" i="7"/>
  <c r="R64" i="7"/>
  <c r="R65" i="7" s="1"/>
  <c r="S1418" i="7" l="1"/>
  <c r="S1297" i="7"/>
  <c r="S976" i="7"/>
  <c r="P1310" i="7"/>
  <c r="P1149" i="7"/>
  <c r="R316" i="7"/>
  <c r="R672" i="7"/>
  <c r="S672" i="7" s="1"/>
  <c r="R1507" i="7"/>
  <c r="S1507" i="7" s="1"/>
  <c r="R267" i="7"/>
  <c r="S267" i="7" s="1"/>
  <c r="Q1308" i="7"/>
  <c r="Q1310" i="7" s="1"/>
  <c r="Q1142" i="7"/>
  <c r="Q1149" i="7" s="1"/>
  <c r="R1642" i="7"/>
  <c r="R1646" i="7" s="1"/>
  <c r="S1646" i="7" s="1"/>
  <c r="R1174" i="7"/>
  <c r="R1192" i="7" s="1"/>
  <c r="S1192" i="7" s="1"/>
  <c r="R103" i="7"/>
  <c r="R110" i="7" s="1"/>
  <c r="S110" i="7" s="1"/>
  <c r="S316" i="7" l="1"/>
  <c r="P2055" i="7"/>
  <c r="S65" i="7"/>
  <c r="R1308" i="7"/>
  <c r="R1310" i="7" s="1"/>
  <c r="S1310" i="7" s="1"/>
  <c r="R1142" i="7"/>
  <c r="R1149" i="7" l="1"/>
  <c r="S1149" i="7" l="1"/>
  <c r="R2055" i="7"/>
</calcChain>
</file>

<file path=xl/comments1.xml><?xml version="1.0" encoding="utf-8"?>
<comments xmlns="http://schemas.openxmlformats.org/spreadsheetml/2006/main">
  <authors>
    <author>Автор</author>
  </authors>
  <commentList>
    <comment ref="F24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Исключить 1 шт, останется 3:
4-1=3
Спиридонова 29.07.25</t>
        </r>
      </text>
    </comment>
  </commentList>
</comments>
</file>

<file path=xl/sharedStrings.xml><?xml version="1.0" encoding="utf-8"?>
<sst xmlns="http://schemas.openxmlformats.org/spreadsheetml/2006/main" count="15953" uniqueCount="4552">
  <si>
    <t>ШТ</t>
  </si>
  <si>
    <t>Отвод 90-133х4-20 Г17375</t>
  </si>
  <si>
    <t>Труба 34х4 В 20 Г8734-75 Г8733-74</t>
  </si>
  <si>
    <t>Т</t>
  </si>
  <si>
    <t>Труба 57х6 В 20 Г8732-78 8731-74</t>
  </si>
  <si>
    <t>Труба 45х3,5 В 20 Г8732-78 8731-74</t>
  </si>
  <si>
    <t>Труба 89х4 В 20 оцинк. Г10704 10705</t>
  </si>
  <si>
    <t>Труба 57x3,5 В 20 оцинк. Г10704 10705</t>
  </si>
  <si>
    <t>КГ</t>
  </si>
  <si>
    <t>Труба 108x3,5 В 20 оцинк. Г10704 10705</t>
  </si>
  <si>
    <t>Труба 159x4,5 В 20 оцинк. Г10704 10705</t>
  </si>
  <si>
    <t>Предохранитель концевой DHEC 2400</t>
  </si>
  <si>
    <t>Трансформатор тока ТПЛ-10-100/5</t>
  </si>
  <si>
    <t>Отвод 90-219х8-20 Г17375 оцинк.</t>
  </si>
  <si>
    <t>Переход К-133х4-57х3-20 оцинк. Г17378</t>
  </si>
  <si>
    <t>Халат раб.жен.х/б р.120-124/158-164</t>
  </si>
  <si>
    <t>Коробка протяжная У996</t>
  </si>
  <si>
    <t>М</t>
  </si>
  <si>
    <t>Горелка ЭИВ-01-И L600</t>
  </si>
  <si>
    <t>Свеча зажигания СП-06ВП-3</t>
  </si>
  <si>
    <t>Отвод 90-273х7-20 Г17375 оцинк.</t>
  </si>
  <si>
    <t>Блок питания AD5101А Aswega</t>
  </si>
  <si>
    <t>Маслопровод ВД В 60860140 для ГТД-6РМ</t>
  </si>
  <si>
    <t>Маслопровод ВД В 60860150 для ГТД-6РМ</t>
  </si>
  <si>
    <t>Маслопровод ВД В 60860150-01 для ГТД-6РМ</t>
  </si>
  <si>
    <t>Садко 107 ТЖИУ.406423.009.01 10-40кПа</t>
  </si>
  <si>
    <t>Счётчик VA2305МA-1-1-25-D-1-1-100</t>
  </si>
  <si>
    <t>Преобразователь VLT Danfoss 131H8794</t>
  </si>
  <si>
    <t>КМП</t>
  </si>
  <si>
    <t>Счетчик электроэнергии Меркурий 230 (10</t>
  </si>
  <si>
    <t>Отвод 60-133х9-20 Г17375</t>
  </si>
  <si>
    <t>Кран Bohmer BBF/KSF-V Ду300 Ру40 SA07.6</t>
  </si>
  <si>
    <t>Затвор BFC600W2/GS Ду600 Ру25 А Vexve</t>
  </si>
  <si>
    <t>Переход ПК-219х6-133х4-20 Г17378</t>
  </si>
  <si>
    <t>Отвод 90-530х12-20 Г30753</t>
  </si>
  <si>
    <t>Клапан V277-015 Ду15 Pу16</t>
  </si>
  <si>
    <t>Датчик герконовый ДГКИ-02-02.2</t>
  </si>
  <si>
    <t>Вставка плавкая ППН-37-х0-00УХЛ3-200-2</t>
  </si>
  <si>
    <t>Датчик давл. КРТ-5-2-1,0-1,0</t>
  </si>
  <si>
    <t>Переход К-38х2-25х2-20 оцинк. Г17378</t>
  </si>
  <si>
    <t>Халат раб.жен.х/б р.120-124/170-176</t>
  </si>
  <si>
    <t>Клапан ПСК-50Пс/50</t>
  </si>
  <si>
    <t>Отвод 90-45х3-20 Г17375 оцинк.</t>
  </si>
  <si>
    <t>Отвод 45-325х10-20 Г17375</t>
  </si>
  <si>
    <t>SA-94/3-C-3-ЕК-080/н-Ф/Ф-Т-2-1-2/н-1-5</t>
  </si>
  <si>
    <t>Отвод 90-38х2,5-20 Г17375 оцинк.</t>
  </si>
  <si>
    <t>Кран VE-РАСКО-НЗ-1,6-G1/2-М20</t>
  </si>
  <si>
    <t>Комплект монтаж. Ду20 7пр. Ogint A012-20</t>
  </si>
  <si>
    <t>Sensors DMP 331 110-1002-1-3-100-500-1</t>
  </si>
  <si>
    <t>Отвод 90-1-168,3х7,1-20 Г17375 оцинк.</t>
  </si>
  <si>
    <t>Переход К-1-114,3х6,3-76,1х5-20 оцинк.</t>
  </si>
  <si>
    <t>Переход К-1-114,3х6,3-88,9х5,6-20 оцинк.</t>
  </si>
  <si>
    <t>УПК</t>
  </si>
  <si>
    <t>Л</t>
  </si>
  <si>
    <t>Отвод 45-76х3,5-20 Г17375</t>
  </si>
  <si>
    <t>Мановакуумметр МВ-5000</t>
  </si>
  <si>
    <t>Колено 90-720х11-2,5 156 09Г2С</t>
  </si>
  <si>
    <t>Блок индикации микропроцессорный БИМ-01</t>
  </si>
  <si>
    <t>Щит Kaedra 4 мод. 200x123x112 SE 13976</t>
  </si>
  <si>
    <t>Шайба А.05.02.ст3кп.09 Г11371-78(DIN125)</t>
  </si>
  <si>
    <t>Переход К-1-168,3х7,1-114,3х6,3-20 оцин.</t>
  </si>
  <si>
    <t>Переход К-38х2-32х2-20 оцинк. Г17378</t>
  </si>
  <si>
    <t>Переход К-76х3,5-57х3-20 оцинк. Г17378</t>
  </si>
  <si>
    <t>Клапан 998-20-0 Ду20 Ру373 ЧЗЭМ</t>
  </si>
  <si>
    <t>Шайба 18.02.09 Г11371-80</t>
  </si>
  <si>
    <t>Переход К-1-33,7х3,2-21,3х3,2-20 Г17378</t>
  </si>
  <si>
    <t>Шайба плоская М24 DIN 9021</t>
  </si>
  <si>
    <t>Модуль ввода AI810 ABB 3BSE008516R1</t>
  </si>
  <si>
    <t>Переход К-219х10-168х8-20 оцинк. Г17378</t>
  </si>
  <si>
    <t>Шайба А.10.02.ст3кп.09 Г11371 (DIN 125)</t>
  </si>
  <si>
    <t>Изолятор ИО-10-3,75-1 У3 В/В предохр.</t>
  </si>
  <si>
    <t>Датчик-реле давл. ДЕМ 102-2-02-2</t>
  </si>
  <si>
    <t>Халат раб.жен.х/б р.104-108/182-188</t>
  </si>
  <si>
    <t>Кронштейн настенный для флага тройной</t>
  </si>
  <si>
    <t>Шайба А.10.02.ст3кп Г11371-78 (DIN125)</t>
  </si>
  <si>
    <t>Шайба C.10.02.Ст3кп Г11371-80 DIN125</t>
  </si>
  <si>
    <t>МИДА-ДИ-13П-У2-0,5-0,1МПа-01-М20-П</t>
  </si>
  <si>
    <t>Халат раб.жен.х/б р.104-108/158-164</t>
  </si>
  <si>
    <t>Средство Karcher RM 69 ASF 20л</t>
  </si>
  <si>
    <t>Sensors DMP 331 110-1602-1-3-100-100-1</t>
  </si>
  <si>
    <t>Горелка для газосв. Малютка</t>
  </si>
  <si>
    <t>Переход К-133х8-114х6-20 оцинк. Г17378</t>
  </si>
  <si>
    <t>Халат раб.жен.х/б р.96-100/170-176</t>
  </si>
  <si>
    <t>М-55-ДИ-515-МП-t1-050-1,6МПа-42-М20-С</t>
  </si>
  <si>
    <t>Шайба А.6.01.10кп.016 Г11371-80 DIN125</t>
  </si>
  <si>
    <t>Комплект наконечников 3шт SE 31563</t>
  </si>
  <si>
    <t>Ручка дверная золото Нора-М 117</t>
  </si>
  <si>
    <t>Шайба С.12.02.Ст3кп Г11371-80 DIN125</t>
  </si>
  <si>
    <t>Отвод 90-1-42,4х2,6-20 Г17375</t>
  </si>
  <si>
    <t>Отвод 90-1-48,3х2,6-20 Г17375</t>
  </si>
  <si>
    <t>Средство Master Contact Spray 400мл</t>
  </si>
  <si>
    <t>Переход К-168х8-89х6-20 оцинк. Г17378</t>
  </si>
  <si>
    <t>Фланец 1-400-25 ст. 20 Г12820-80</t>
  </si>
  <si>
    <t>Болт М8х20мм ГОСТ 7805-70</t>
  </si>
  <si>
    <t>Крышка лотка 2000х100х15 DKC 35512</t>
  </si>
  <si>
    <t>Прокладка ПФ-34-00-141х87х2</t>
  </si>
  <si>
    <t>Трансформатор тока Т-0,66-М УЗ 200/5</t>
  </si>
  <si>
    <t>Винт М6х10 с п/кр. гол.</t>
  </si>
  <si>
    <t>Телефон Siemens Euroset 5020</t>
  </si>
  <si>
    <t>Асбест А-7-450</t>
  </si>
  <si>
    <t>Шайба оцинк. А.8.01.10кп.016 Г11371-80</t>
  </si>
  <si>
    <t>Кнопка Mosaic Legrand 79230</t>
  </si>
  <si>
    <t>Крышка короба Panduit Т-70 T70CAW2 2м</t>
  </si>
  <si>
    <t>Кнопка Legrand Mosaic 79240</t>
  </si>
  <si>
    <t>Редуктор пропановый балонный БПО-5-4</t>
  </si>
  <si>
    <t>Держатель CТ25G 25мм с дюбелем Экопласт</t>
  </si>
  <si>
    <t>Шайба C.6.02.Ст3кп Г11371-80 DIN125</t>
  </si>
  <si>
    <t>Хомут с рез. пр. М8 32-36 Alpha-co</t>
  </si>
  <si>
    <t>Механизм Mosaic 2К+З Legrand 77213</t>
  </si>
  <si>
    <t>Шайба А.16.01.10кп.016 Г11371-80 DIN125</t>
  </si>
  <si>
    <t>Отвод 90-219х6-20 Г17375 оцинк.</t>
  </si>
  <si>
    <t>Реле давления РДД-2-X 2R BD</t>
  </si>
  <si>
    <t>Стекло натриевое жидкое Г13078-81</t>
  </si>
  <si>
    <t>Шайба 12 65Г Г6402-70 DIN127</t>
  </si>
  <si>
    <t>М2</t>
  </si>
  <si>
    <t>Винт самонар. 3,5х55 для ГКЛ, кр. рез.</t>
  </si>
  <si>
    <t>Зажим соединит.-изолир. СИЗ-2 100шт/уп</t>
  </si>
  <si>
    <t>Плата логики и управления V07 GE</t>
  </si>
  <si>
    <t>Гнездо СКРП-31 315А</t>
  </si>
  <si>
    <t>Стекло к очкам сварщика Г-3</t>
  </si>
  <si>
    <t>Крышка лотка 3000х50х15мм DKC 35520</t>
  </si>
  <si>
    <t>Пульт накопительный НП-4А</t>
  </si>
  <si>
    <t>Ниппель универсальный 6/9мм</t>
  </si>
  <si>
    <t>Муфта чугунная Ду-025</t>
  </si>
  <si>
    <t>Электрод ЦЧ-4-ф3 НАКС</t>
  </si>
  <si>
    <t>Резьба Ду-015 оцинк.</t>
  </si>
  <si>
    <t>Фитинг (нипель) лат. Ду-32</t>
  </si>
  <si>
    <t>Дюбель ''Бабочка'' 10х50 500шт/уп</t>
  </si>
  <si>
    <t>Фитинг (нипель) лат. Ду-25</t>
  </si>
  <si>
    <t>Крышка лотка 2000х50х15мм DKC 35510</t>
  </si>
  <si>
    <t>Труба 159х6 В 20 Г8732 Г8731 оцинк.</t>
  </si>
  <si>
    <t>Отводы 426*9мм</t>
  </si>
  <si>
    <t>Болт М36-6gх200.58 (S55) Г7798-70</t>
  </si>
  <si>
    <t>Сетка стальная сварная 50х50х4 Г23279-85</t>
  </si>
  <si>
    <t>Угольник 90-1-20 Г8946-75</t>
  </si>
  <si>
    <t>Резьба Ду-025 оцинк.</t>
  </si>
  <si>
    <t>Угольник 90-1-32 Г8946-75</t>
  </si>
  <si>
    <t>Датчик СДВ-И-D-1,60МПа-4-20мА-D3422-0605</t>
  </si>
  <si>
    <t>Жир паяльный</t>
  </si>
  <si>
    <t>Шайба зубчатая DIN6798A</t>
  </si>
  <si>
    <t>Материал</t>
  </si>
  <si>
    <t>Краткий текст материала</t>
  </si>
  <si>
    <t>Базисная ЕИ</t>
  </si>
  <si>
    <t>Подшипник 180609 ГОСТ 8882-75</t>
  </si>
  <si>
    <t>ВИС.Т ТС-200-2-3-1-1 Ду40/40</t>
  </si>
  <si>
    <t>Клапан 1256.20.00 Ду20 Ру16</t>
  </si>
  <si>
    <t>Клапан MSV-F2 Ду100 Ру16 003Z1064</t>
  </si>
  <si>
    <t>Автомат газогорелочный LMG 21.330.B27</t>
  </si>
  <si>
    <t>Подшипник 314 ГОСТ 8338-75</t>
  </si>
  <si>
    <t>Блок управления горелкой ГБГ-0,6</t>
  </si>
  <si>
    <t>Электрод КЭ-исп.01-700</t>
  </si>
  <si>
    <t>ТСМУ-205-/250-(0+100)С-0,5%</t>
  </si>
  <si>
    <t>Труба КАСАФЛЕКС 66/125 1,6МПа 160С СОДК</t>
  </si>
  <si>
    <t>Труба КАСАФЛЕКС 86/145 1,6МПа 160С СОДК</t>
  </si>
  <si>
    <t>Труба КАСАФЛЕКС 55/110 1,6МПа 160С СОДК</t>
  </si>
  <si>
    <t>М-100-ДД-1495-02-МП1-t1-050-63кПа-42-С</t>
  </si>
  <si>
    <t>Дифманометр мембранный ДМЭУ-МИ 630 кгс/м</t>
  </si>
  <si>
    <t>Модуль Allen Bradley 1203-GD1</t>
  </si>
  <si>
    <t>М-100-ДИВ-1311-02-МП1-t1-015-0,315кПа-42</t>
  </si>
  <si>
    <t>Датчик уровня Эхо-5Н-1,5-31-2,5-0-4-20-Б</t>
  </si>
  <si>
    <t>Термопреобразователь ТСМ-296.02.01 200мм</t>
  </si>
  <si>
    <t>Датчик факела горелки УДФ</t>
  </si>
  <si>
    <t>М-100-ДГ-1531-02-МП1-t10-050-25кПа-42</t>
  </si>
  <si>
    <t>М-100-ДД-1495-02-МП1-t1-015-25кПа-42-М20</t>
  </si>
  <si>
    <t>Труба Касафлекс 86/145 1,6МПа 135 ОДК</t>
  </si>
  <si>
    <t>Труба Касафлекс 55/110 1,6МПа 135 ОДК</t>
  </si>
  <si>
    <t>Реле РПЛ-122 220В</t>
  </si>
  <si>
    <t>Реле РПЛ-131 220В</t>
  </si>
  <si>
    <t>Контактор МК6-30ТУХЛ3 250-400А 220В 50Гц</t>
  </si>
  <si>
    <t>Дифманометр ДМ 3583М 0-6,3 кПа-1-У3</t>
  </si>
  <si>
    <t>Реле РЭП37-221-УХЛ4 220В</t>
  </si>
  <si>
    <t>Блок ручного управления БРУ-42-03</t>
  </si>
  <si>
    <t>М-100-Ех-ДИ-1141-02-МП1-t1-050-10кПа-42</t>
  </si>
  <si>
    <t>Контактор TeSys D LC1-D150M7 150А SE</t>
  </si>
  <si>
    <t>DMP 343 100-XXXX-1-100-100-00R 0,315кПа</t>
  </si>
  <si>
    <t>Тягонапоромер ТНМП-52-М2-40кПа-1,5-У3</t>
  </si>
  <si>
    <t>М-100-Ex-ДИ-1161-11-МП1-t10-015-1,0МПа</t>
  </si>
  <si>
    <t>Механизм исп. МЭО-100/10-0,25</t>
  </si>
  <si>
    <t>DMP 343 100-XXXX-1-100-100-00R-40+40мбар</t>
  </si>
  <si>
    <t>DMP 343 100-XXXX-1-8-100-100-00R3,15мбар</t>
  </si>
  <si>
    <t>Кран Vexve 154 251 Ду250 Ру25 м/ред</t>
  </si>
  <si>
    <t>Блок управления ГБЖ-08-04.03.000-01</t>
  </si>
  <si>
    <t>М-150CD1(0-630кгс/м2)2211L3AM5IMD9C1K04</t>
  </si>
  <si>
    <t>Подшипник 180314 ГОСТ 8882-75</t>
  </si>
  <si>
    <t>Подшипник 180605 ГОСТ 8882-75</t>
  </si>
  <si>
    <t>Подшипник 2317К1 ГОСТ 8328-75</t>
  </si>
  <si>
    <t>Подшипник 36318 ГОСТ 831-75</t>
  </si>
  <si>
    <t>Подшипник 7526 ГОСТ 520-2002</t>
  </si>
  <si>
    <t>Подшипник 6-2313М1 ГОСТ 8328-75</t>
  </si>
  <si>
    <t>Подшипник 208 ГОСТ 8338-75</t>
  </si>
  <si>
    <t>Подшипник 76-180610К1С9Ш1 ГОСТ 8882-75</t>
  </si>
  <si>
    <t>Подшипник 2312Л ГОСТ 8328-75</t>
  </si>
  <si>
    <t>Подшипник 308А,,</t>
  </si>
  <si>
    <t>Подшипн.№ 305А,,</t>
  </si>
  <si>
    <t>Контактор КТИ-5265 265А 400В ИЭК</t>
  </si>
  <si>
    <t>Реле ПЭ 37-42 220В</t>
  </si>
  <si>
    <t>DMP 343 100-0100-1-8-100-100-00R</t>
  </si>
  <si>
    <t>Подшипник 6316 SKF</t>
  </si>
  <si>
    <t>Регулятор Минитерм 400.00</t>
  </si>
  <si>
    <t>Подшипник 70-317А</t>
  </si>
  <si>
    <t>Напоромер НМП-52-М2-6кПа-2,5-У3</t>
  </si>
  <si>
    <t>Подшипник 310 ГОСТ 8338-75</t>
  </si>
  <si>
    <t>Подшипник 609 SKF</t>
  </si>
  <si>
    <t>Подшипник 180610 ГОСТ 8882-75</t>
  </si>
  <si>
    <t>Подшипник 180612 ГОСТ 8882-75</t>
  </si>
  <si>
    <t>Подшипник 2312 ГОСТ 8328-75</t>
  </si>
  <si>
    <t>Подшипник 3620 ГОСТ 5721-75</t>
  </si>
  <si>
    <t>Подшипник 316 ГОСТ 8338-75</t>
  </si>
  <si>
    <t>Напоромер НМП-52-М2-6кПа-(2,5-1,5-2,5)</t>
  </si>
  <si>
    <t>Кран Ду150 Ру25 КШТ.69.102.150 H1470</t>
  </si>
  <si>
    <t>Подшипник 180313 ГОСТ 8882-75</t>
  </si>
  <si>
    <t>Механизм исп. МЭО-40/63-0,25У-01</t>
  </si>
  <si>
    <t>Прибор контроля пламени Ф34-2</t>
  </si>
  <si>
    <t>Горелка ЭИВ-01 L750</t>
  </si>
  <si>
    <t>ВИС.Т ТС-201-3-3-2-1 Ду100/100</t>
  </si>
  <si>
    <t>Удлинение штока Ду1000 H1900 КМС-М</t>
  </si>
  <si>
    <t>Отводы 920*14мм</t>
  </si>
  <si>
    <t>Кран шаровой под приварку Ду 1000мм реду</t>
  </si>
  <si>
    <t>Адаптер связи Allen-Bradley 1747-ACN15</t>
  </si>
  <si>
    <t>Модуль вв/выв Allen-Bradley 1746-NIO4I</t>
  </si>
  <si>
    <t>Модуль Allen-Bradley 3150-MCM</t>
  </si>
  <si>
    <t>Кран шаровой Ду 900 мм полнопроходной с</t>
  </si>
  <si>
    <t>Насос T-65B/2 ф174 5,5/3000</t>
  </si>
  <si>
    <t>R-3051-L-2-A-G0-Q-D-21-A-B-M5-QG</t>
  </si>
  <si>
    <t>ВИС.Т ТС-201-0-2-1-1 Ду25/25</t>
  </si>
  <si>
    <t>Отвод Ст 630х12-15-1-ППУ-ПЭ L761/1597</t>
  </si>
  <si>
    <t>Отвод Ст 630х12-15-1-ППУ-ПЭ L761/761</t>
  </si>
  <si>
    <t>Электрозапальник газовый ЭЗ.00 L700</t>
  </si>
  <si>
    <t>Переход К-920х12-820х12 1,6МПа ТС-585-48</t>
  </si>
  <si>
    <t>Прибор контр. пламени Ф34-2 с 2 датч. ФД</t>
  </si>
  <si>
    <t>ВИС.Т ТС-201-0-2-1-1 Ду100/100</t>
  </si>
  <si>
    <t>ВИС.Т ТС-201-0-2-1-1 Ду80/80</t>
  </si>
  <si>
    <t>Выкл. авт. АЕ2056М-100У3 3п 50А</t>
  </si>
  <si>
    <t>Удлинение штока Ду600 H1900 КМС-М</t>
  </si>
  <si>
    <t>Задвижка Гранар серии KR11 Ду200 Ру16</t>
  </si>
  <si>
    <t>Камень БР 100.30.15 Г6665-91</t>
  </si>
  <si>
    <t>Щит ЩСУ-3 2200х800х600 №7/16-07/7-ЭМ.Н</t>
  </si>
  <si>
    <t>Шкаф ШПЧ 3-9 проект №6-182-ПП/12-АСУ</t>
  </si>
  <si>
    <t>Шкаф ШПЧ 3-11 проект №6-182-ПП/12-АСУ</t>
  </si>
  <si>
    <t>Датчик ДН-2,5 0,04-2,5кПа</t>
  </si>
  <si>
    <t>Механизм МЭО-250/63-0,25У02Б</t>
  </si>
  <si>
    <t>Датчик ДТ-40 0,4-40кПа</t>
  </si>
  <si>
    <t>Счётчик Меркурий-230 АМ-00 5-7,5А</t>
  </si>
  <si>
    <t>ВИС.Т ТС-200-2-2-1-1 Ду50/50</t>
  </si>
  <si>
    <t>Блок 003 SA-94 Aswega</t>
  </si>
  <si>
    <t>Механизм исп. МЭО-250/25-0,25У-99 компл.</t>
  </si>
  <si>
    <t>Счётчик Меркурий-230 ART-01 MCLN</t>
  </si>
  <si>
    <t>Модуль Allen-Bradley 1203-SM1</t>
  </si>
  <si>
    <t>Вычислитель расхода УВП-280Б+ГП</t>
  </si>
  <si>
    <t>Модуль ввода SLC500 1746-NI8 AB</t>
  </si>
  <si>
    <t>Модуль ввода Allen-Bradley 1746-IA16</t>
  </si>
  <si>
    <t>Регулятор РА-В-80-80-1-СЧ-1,6-150-У1</t>
  </si>
  <si>
    <t>Прибор микропр. Трансформер-ML МСС</t>
  </si>
  <si>
    <t>Блок 002 SA-94 Aswega</t>
  </si>
  <si>
    <t>Антенна АП1-900</t>
  </si>
  <si>
    <t>Прибор Трансформер-ML МВ БП24-5</t>
  </si>
  <si>
    <t>Компенсатор сальниковый Ду700мм</t>
  </si>
  <si>
    <t>Компенсатор сальниковый Ду400мм</t>
  </si>
  <si>
    <t>Модуль вывода Allen-Bradley 1746-OB32</t>
  </si>
  <si>
    <t>Модуль Allen-Bradley 1747-SCNR</t>
  </si>
  <si>
    <t>Модуль ввода Allen-Bradley 1746-NI4</t>
  </si>
  <si>
    <t>Модуль вывода Allen-Bradley 1746-NO4I</t>
  </si>
  <si>
    <t>Модуль сканера Allen-Bradley 1747-SN</t>
  </si>
  <si>
    <t>Модуль адаптера Allen-Bradley 1747-ASB</t>
  </si>
  <si>
    <t>Блок Allen-Bradley 80026-121-01-R</t>
  </si>
  <si>
    <t>Комплекс измер.СГ-ЭКВз-Т-0,75-1600/1,6</t>
  </si>
  <si>
    <t>Устройство ДМС-250Н 185кВт 380В 50Гц</t>
  </si>
  <si>
    <t>Модуль ввода Allen-Bradley 1746-IM16</t>
  </si>
  <si>
    <t>Отвод Ст 1220х12-75-1-ППУ-ПЭ Г30732</t>
  </si>
  <si>
    <t>Модуль Allen-Bradley 1746-OW16</t>
  </si>
  <si>
    <t>Модуль вывода DO16r-220FC</t>
  </si>
  <si>
    <t>Модуль интерфейса ABB IMICV01</t>
  </si>
  <si>
    <t>Модуль сетевой интерфейсный ABB INNIS21</t>
  </si>
  <si>
    <t>Модуль вывода Текон DO16s-220DC</t>
  </si>
  <si>
    <t>Модуль аналогового вывода Текон AOC8</t>
  </si>
  <si>
    <t>Б/У Кран КМС-М.ШК300.00 Ду300/254 Ру25</t>
  </si>
  <si>
    <t>Модуль дискретных выходов ABB IMDSO14</t>
  </si>
  <si>
    <t>Труба Ст 1220х12-1-ППУ-ПЭ мерная МЗИ</t>
  </si>
  <si>
    <t>Фильтр Viledon Compact Т60</t>
  </si>
  <si>
    <t>Переход К-219х6-159х4,5-20 оцинк. Г17378</t>
  </si>
  <si>
    <t>Детектор LDS аккумуляторный 9В</t>
  </si>
  <si>
    <t>Колено УФ 150 Г5525-88</t>
  </si>
  <si>
    <t>Набор прокладок M-71 Grasso 959000321N</t>
  </si>
  <si>
    <t>Комплект упл. М.22500СЭ.0103.1013.060</t>
  </si>
  <si>
    <t>Комплект упл. М.221250СЭ.0103.1013.090</t>
  </si>
  <si>
    <t>Труба водост.L3м ф150/100 Пурал RAL 9010</t>
  </si>
  <si>
    <t>Устройство защиты S-ET 10 Systemair 5154</t>
  </si>
  <si>
    <t>Модуль ввода Siemens 6ES7331-7PF11-0AB0</t>
  </si>
  <si>
    <t>Модуль Siemens 6ES7321-7BH01-0AB0</t>
  </si>
  <si>
    <t>Модуль Siemens 6ES7332-7ND02-0AB0</t>
  </si>
  <si>
    <t>Модуль Siemens 6ES7322-5HF00-0AB0</t>
  </si>
  <si>
    <t>Модуль Siemens 6ES7350-1AH03-0AE0</t>
  </si>
  <si>
    <t>Процессор Siemens 6ES7341-1CH02-0AE0</t>
  </si>
  <si>
    <t>Модуль Siemens 6ES7326-2BF10-0AB0</t>
  </si>
  <si>
    <t>Модуль Siemens 6ES7326-1BK02-0AB0</t>
  </si>
  <si>
    <t>Насос 1АХ-65-40-200-К-СД 15/2900</t>
  </si>
  <si>
    <t>Насос К-80-50-200 15/2900</t>
  </si>
  <si>
    <t>Плата цифр. вх. DI 650 3BHT300025R1</t>
  </si>
  <si>
    <t>Насос АХП-50-32-200б-К-2,0-СД-У2 7,5/290</t>
  </si>
  <si>
    <t>Тахометр с модулем ввод/выв. 318030-56</t>
  </si>
  <si>
    <t>Плата анал. вх. AI 625 3BHT300036R1</t>
  </si>
  <si>
    <t>Насос НЦВС-63/20М 8,0/2900</t>
  </si>
  <si>
    <t>Устройство контроля 318030-55</t>
  </si>
  <si>
    <t>Насос Leistritz L3MF-70/182</t>
  </si>
  <si>
    <t>Насос ДП-10/100ЭК14В 0,37/1500</t>
  </si>
  <si>
    <t>Плата анал. вх. AI 625 3BHT300011R1</t>
  </si>
  <si>
    <t>Насос Wilo TOP-RL-30/4-EM 0,07/2660</t>
  </si>
  <si>
    <t>Плата счётчика DP620 3BHT300016R1</t>
  </si>
  <si>
    <t>М-150TG1(0-40кПа)2G21AM52F2B1K01PA</t>
  </si>
  <si>
    <t>Насос Wilo Star-RS 25/4 0,017/2200</t>
  </si>
  <si>
    <t>Плата анал. вх. AI 635 3BHT300032R1</t>
  </si>
  <si>
    <t>Плата цифр. вых. DO 625 3BHT30007R1</t>
  </si>
  <si>
    <t>Модуль процессора PM150V08 3BSE009598R1</t>
  </si>
  <si>
    <t>Модуль анал. смешан. AX670 3BSE000566R1</t>
  </si>
  <si>
    <t>Насос АНМТ-100/8 УХЛ1 3/1410</t>
  </si>
  <si>
    <t>Агрегат ПЭНА-70-90 315/3000</t>
  </si>
  <si>
    <t>Насос АЦМС-Н4016-4 4/2900</t>
  </si>
  <si>
    <t>Модуль анал. вых. AO650 3BHT300051R1</t>
  </si>
  <si>
    <t>Эл.двигатель АИР 100Л4 4/1500</t>
  </si>
  <si>
    <t>Клапан отсечной электромагн. КЭО-80Г Ду-</t>
  </si>
  <si>
    <t>Э/дв ас. 5АИ160М6У2 15/965 IM1081 2p=6</t>
  </si>
  <si>
    <t>Модуль вывода аналоговых сигналов AO810</t>
  </si>
  <si>
    <t>Блок электронный БЭ для аппаратуры СВКА</t>
  </si>
  <si>
    <t>Возбудитель ВБД-40-3000 У3</t>
  </si>
  <si>
    <t>Соединение надземное ИС-159 Ду159 Ру16</t>
  </si>
  <si>
    <t>Вибровставка Ду 200</t>
  </si>
  <si>
    <t>Электомагнитный клапан ВН 3/4Н-4К</t>
  </si>
  <si>
    <t>Крышка ответвителя DРТ DKC 38042</t>
  </si>
  <si>
    <t>Элемент фильтрующий ELT-110 CF04</t>
  </si>
  <si>
    <t>Элемент фильтр. ABZFE-HO160-03-1X/M-DIM</t>
  </si>
  <si>
    <t>Элемент фил к BFD 330.980 Ду125 №3846718</t>
  </si>
  <si>
    <t>Труба водост. ф125/90 L1м Пурал RR20</t>
  </si>
  <si>
    <t>Панель приборная ПП-2,5</t>
  </si>
  <si>
    <t>Крышка угла CD90 DKC 38240</t>
  </si>
  <si>
    <t>Крышка угла CS90 DKC 38200</t>
  </si>
  <si>
    <t>Модуль ввода Siemens 6ES7331-7NF10-0AB0</t>
  </si>
  <si>
    <t>Модуль ввода Siemens 6ES7331-7PF01-0AB0</t>
  </si>
  <si>
    <t>Модуль Siemens 6ES7195-7KF00-0XA0</t>
  </si>
  <si>
    <t>Заглушка Ду150 Ру16 ДАРЦ 495115.000-04</t>
  </si>
  <si>
    <t>Плата NGDR-03C ABB 58976539</t>
  </si>
  <si>
    <t>Насос К 100-80-160 (11,0/3000)</t>
  </si>
  <si>
    <t>Плата NPOW-62C ABB 64113429</t>
  </si>
  <si>
    <t>М-150CD3(0-160кПа)2211L3AM5S5K01PA к/б</t>
  </si>
  <si>
    <t>Манометр с капс. чувст.элем.,0-60 mbar</t>
  </si>
  <si>
    <t>М-150CD2(0-16кПа)2211L3AM5D9K01PA к/б</t>
  </si>
  <si>
    <t>Кран шаровый NAVAL регулирующий Ду125</t>
  </si>
  <si>
    <t>Кран шаровый NAVAL газовый Ду150</t>
  </si>
  <si>
    <t>Горелка ГБ-2,7 БКМЗ</t>
  </si>
  <si>
    <t>Э/дв ас. 1LG4206-2AA60-Z 30/3000</t>
  </si>
  <si>
    <t>Ячейка QV-Flow IS1000 Swan А-83.411.111</t>
  </si>
  <si>
    <t>Устройство WI-ISB</t>
  </si>
  <si>
    <t>Угол вертикальный CD90 DKC 36780</t>
  </si>
  <si>
    <t>Модуль Siemens 6ES7336-4GE00-0AB0</t>
  </si>
  <si>
    <t>Площадка НС-101 20х20 100шт/уп KSS</t>
  </si>
  <si>
    <t>Элемент фильтр. ELT-Z-0880-API-PF025-V</t>
  </si>
  <si>
    <t>Элемент фильтрующий ELT-920</t>
  </si>
  <si>
    <t>Угол вертикальный CS90 DKC 36660</t>
  </si>
  <si>
    <t>Пульт управления NDSC-02C ABB 64560930</t>
  </si>
  <si>
    <t>Модуль ввода\вывода AI825</t>
  </si>
  <si>
    <t>Подшипник 7220CTRDULP3 NSK</t>
  </si>
  <si>
    <t>Крышка ответвителя DРТ DKC 38040</t>
  </si>
  <si>
    <t>Ответвитель Т-образный DPT DKC 36120</t>
  </si>
  <si>
    <t>Элемент фильтр. 2.0160 H3XL-B00-0-M</t>
  </si>
  <si>
    <t>Головка кнопки M22-DRL-G Moeller 216948</t>
  </si>
  <si>
    <t>Гильза надвижная 110 Т нерж. КТЗ</t>
  </si>
  <si>
    <t>Гильза надвижная 140 Т нерж. КТЗ</t>
  </si>
  <si>
    <t>Гильза надвижная 160 Т нерж. КТЗ</t>
  </si>
  <si>
    <t>Крышка угла CPO90 DKC 38000</t>
  </si>
  <si>
    <t>Элемент фильтр. 2.0160 H3XL-AOO-O-M</t>
  </si>
  <si>
    <t>Крышка угла CD90 DKC 38242</t>
  </si>
  <si>
    <t>Плата AC-POW-4 MD ABB 42000553</t>
  </si>
  <si>
    <t>Плата NGPS-13C ABB 3AUA0000042489</t>
  </si>
  <si>
    <t>Комплект удл. 5-ти жил. кабеля NYM 5х1,5</t>
  </si>
  <si>
    <t>Секция 168х4-1,0-РГ правая</t>
  </si>
  <si>
    <t>Ремкомплект АТЭК.491174.003НЖ-01 п/к</t>
  </si>
  <si>
    <t>Фильтр SA115G1L03A MP Filtri</t>
  </si>
  <si>
    <t>Элемент фильтрующий ELT-120</t>
  </si>
  <si>
    <t>Крышка лотка 3000х150х15мм DKC 35523</t>
  </si>
  <si>
    <t>Элемент фильтр. HP065-1-A10AN MP Filtri</t>
  </si>
  <si>
    <t>Элемент фильтр. MF100-2-P10NB MP Filtri</t>
  </si>
  <si>
    <t>Тягонапоромер ТНМП-52-М2+/-0,3кПа-2,5</t>
  </si>
  <si>
    <t>Элемент фильтрующий ELT-9594/2</t>
  </si>
  <si>
    <t>Элемент фильтрующий G7 XP 1140</t>
  </si>
  <si>
    <t>Труба водост. ф125/90 L3м Пурал RR20</t>
  </si>
  <si>
    <t>Профиль PSM 3000х2,5мм DKC 34181</t>
  </si>
  <si>
    <t>Фильтрующий элемент G7 ZP 1140</t>
  </si>
  <si>
    <t>Фильтр грубой очистки Hi-Cap 90/35-66 G4</t>
  </si>
  <si>
    <t>Фильтр MPK 410-31 GT GTU Н10</t>
  </si>
  <si>
    <t>Фильтр Hi-Flo M6 F6 Camfil Farr 535025A1</t>
  </si>
  <si>
    <t>Фильтр GTD 65 KR-8/600 SG GTU F6</t>
  </si>
  <si>
    <t>Масло ред. MOBIL SHC 630</t>
  </si>
  <si>
    <t>ВИС.Т ТС-400-4-4-2-1 Ду50/50+50/50</t>
  </si>
  <si>
    <t>ВИС.Т ТС-401-5-5-3-1-Е Ду100/100+150/100</t>
  </si>
  <si>
    <t>ВИС.Т ТС-400-4-4-2-1 Ду40/40+50/50</t>
  </si>
  <si>
    <t>ВИС.Т ТС-401-5-5-3-1-Е Ду40/40+32/32</t>
  </si>
  <si>
    <t>ВИС.Т ТС-500-5-6-3-1 Ду40/40+50/50+40</t>
  </si>
  <si>
    <t>ВИС.Т ТС-400-4-5-2-0 Ду40/40+50/50</t>
  </si>
  <si>
    <t>ВИС.Т ТС-201-3-3-2-1 Ду50/25</t>
  </si>
  <si>
    <t>ВИС.Т ТС-200-2-2-1-1 Ду100/100</t>
  </si>
  <si>
    <t>ВИС.Т ТС-500-5-6-3-1 Ду40/40+80/80+25</t>
  </si>
  <si>
    <t>Б/У Счётчик VA2305M-1-0-25-D-0,1-2</t>
  </si>
  <si>
    <t>Б/У Счётчик VA2305M-1-0-100-D-1,0-2</t>
  </si>
  <si>
    <t>Б/У ВИС.Т ТС-200-2-2-1-1 Ду50/50</t>
  </si>
  <si>
    <t>Б/У ВИС.Т ТС-200-3-3-2-1 Ду80/80</t>
  </si>
  <si>
    <t>Б/У ВИС.Т ТС-200-3-3-2-1 Ду100/100</t>
  </si>
  <si>
    <t>Б/У SA-94/2М-3-ПРН-025/025-Ф/Ф-Т-2-1-2/н</t>
  </si>
  <si>
    <t>Б/У ВИС.Т ТС-200-2-2-1-1 Ду25/25</t>
  </si>
  <si>
    <t>Б/У Расходомер Взлёт ЭР ЭРСВ-420Л Ду32</t>
  </si>
  <si>
    <t>Б/УРСМ-05.07-ПРП-50-50-0-0-0-0-0-0-1-2-2</t>
  </si>
  <si>
    <t>Б/У Расходомер Взлёт ЭР ЭРСВ-420Л Ду100</t>
  </si>
  <si>
    <t>Б/У Преобр.расхПРЭМ-20-L0-0-0-B1 сэндвич</t>
  </si>
  <si>
    <t>Б/УРСМ-05.07-ПРП-80-80-0-0-0-0-0-0-1-2-2</t>
  </si>
  <si>
    <t>Б/У ВИС.Т ТС-401-5-6-2-0-Е Ду80/80+40/40</t>
  </si>
  <si>
    <t>Б/У ВИС.Т ТС-300-3-4-2-1 Ду40/40+25</t>
  </si>
  <si>
    <t>Б/У SA-94/1-3-ПРН-050-ФЛ-Т-1-2-1</t>
  </si>
  <si>
    <t>Б/У ВИС.Т ТС-401-5-5-3-1-Е Ду40/40+25/25</t>
  </si>
  <si>
    <t>Б/У ВИС.Т ТС-401-5-5-3-1-Е 100/100+50/40</t>
  </si>
  <si>
    <t>Б/У ВИС.Т ТС-401-5-5-3-1-Е Ду40/40+50/50</t>
  </si>
  <si>
    <t>Б/У КМ-5-2-С-2ПР25-В1-ИСП1-Ф-0-pt100-0Р-</t>
  </si>
  <si>
    <t>Б/У ВИС.Т ТС-401-5-5-3-1-Е Ду50/50+40/40</t>
  </si>
  <si>
    <t>Б/У ВИС.Т ТС-401-5-5-3-1-Е Ду80/80+80/80</t>
  </si>
  <si>
    <t>Плата ИС Е/4</t>
  </si>
  <si>
    <t>ВИС.Т ТС-401-5-5-3-1-Е Ду32/32+32/25</t>
  </si>
  <si>
    <t>ВИС.Т ТС-401-5-5-3-1-Е Ду32/32+25/25</t>
  </si>
  <si>
    <t>ВИС.Т ТС-500-5-6-3-1 Ду40/40+50/50+25</t>
  </si>
  <si>
    <t>ВИС.Т ТС-301-4-4-3-1-Е Ду50/50+40</t>
  </si>
  <si>
    <t>ВИС.Т ТС-301-4-4-3-1-Е Ду50/50+25</t>
  </si>
  <si>
    <t>ВИС.Т ТС-200-2-2-1-1 Ду80/80</t>
  </si>
  <si>
    <t>Б/У КМ-5-4-С-2ПР25-В1-ИСП1-Ф-0-pt100-0Р-</t>
  </si>
  <si>
    <t>Б/У Счётчик VA2305M-1-0-40-D-0,2-2</t>
  </si>
  <si>
    <t>Б/У SA-94/2М-3-ПРН-050/050-Ф/Ф-Т-2-1-2/н</t>
  </si>
  <si>
    <t>Б/У КМ-5-2-С-2ПР32-В1-ИСП1-Ф-0-pt100-0Р-</t>
  </si>
  <si>
    <t>Б/У Расходомер Взлёт ЭР ЭРСВ-430Л Ду32</t>
  </si>
  <si>
    <t>Б/У КМ-5-1-С-1ПР32/нет-В1-ИСП1-Ф-0-П100-</t>
  </si>
  <si>
    <t>Б/У ВИС.Т ТС-401-5-5-3-0-Е Ду50/50+50/50</t>
  </si>
  <si>
    <t>Б/У ВИС.Т ТС-401-5-5-3-1-Е Ду50/50+80/50</t>
  </si>
  <si>
    <t>Б/У КМ-5-4-С-2ПР50/32-В1-ИСП1-Ф-0-pt100-</t>
  </si>
  <si>
    <t>Б/У Счётчик VA2305M-1-0-80-D-1,0-2</t>
  </si>
  <si>
    <t>Б/У ВИС.Т ТС-401-5-5-3-1-Е 100/100+80/50</t>
  </si>
  <si>
    <t>Б/У ВИС.Т ТС-401-5-5-3-1-Е Ду40/40+50/40</t>
  </si>
  <si>
    <t>Б/У ВИС.Т ТС-401-5-5-3-1-Е Ду40/40+40/40</t>
  </si>
  <si>
    <t>КМ-5-1-С-1ПР65/нет-В1-ИСП1-Ф-0-П100-0Р</t>
  </si>
  <si>
    <t>ВИС.Т ТС-301-4-4-3-1-Е Ду40/40+25</t>
  </si>
  <si>
    <t>ВИС.Т ТС-400-4-5-2-1 Ду40/40+25/25</t>
  </si>
  <si>
    <t>Б/У Счётчик VA2305M-1-0-50-D-0,25-2</t>
  </si>
  <si>
    <t>Б/У ВИС.Т ТС-401-5-5-3-1-Е Ду80/80+50/40</t>
  </si>
  <si>
    <t>Б/У ВИС.Т ТС-401-5-5-3-1-Е Ду100/100+100</t>
  </si>
  <si>
    <t>Б/У ВИС.Т ТС-401-5-5-3-1-Е Ду50/50+40/25</t>
  </si>
  <si>
    <t>Б/У ВИС.Т ТС-401-5-5-3-1-Е 100/100+80/80</t>
  </si>
  <si>
    <t>Б/У РСМ-05.07-ПРП-100-100-0-0-0-0-0-0-1-</t>
  </si>
  <si>
    <t>Б/У КМ-5-4-С-2ПР50/40-В1-ИСП1-Ф-0-pt100-</t>
  </si>
  <si>
    <t>Б/У КМ-5-4-С-2ПР80/50-В1-ИСП1-Ф-0-pt100-</t>
  </si>
  <si>
    <t>Б/У КМ-5-4-С-2ПР65-В1-ИСП1-Ф-0-pt100-0Р-</t>
  </si>
  <si>
    <t>Плата ПМ КСПД-5 в 3</t>
  </si>
  <si>
    <t>Модем М33 G</t>
  </si>
  <si>
    <t>Б/У Расходомер Взлёт ЭР ЭРСВ-420Л Ду80</t>
  </si>
  <si>
    <t>Б/У SA-94/2М-3-ПРН-080/080-Ф/Ф-Т-2-1-1/н</t>
  </si>
  <si>
    <t>Б/У КМ-5-4-С-2ПР100/80-В1-ИСП1-Ф-0-pt100</t>
  </si>
  <si>
    <t>Б/У КМ-5-4-С-2ПР65/50-В1-ИСП1-Ф-0-pt100-</t>
  </si>
  <si>
    <t>Б/У ВИС.Т ТС-401-5-5-3-1-Е Ду50/50+50/50</t>
  </si>
  <si>
    <t>Б/У ВИС.Т ТС-401-5-5-3-1-Е Ду50/50+50/40</t>
  </si>
  <si>
    <t>Б/У ВИС.Т ТС-401-5-5-3-1-Е Ду80/80+80/50</t>
  </si>
  <si>
    <t>Б/У КМ-5-4-С-2ПР32-В1-ИСП1-Ф-0-pt100-0Р-</t>
  </si>
  <si>
    <t>Б/У КМ-5-2-С-2ПР40-В1-ИСП1-Ф-0-pt100-0Р-</t>
  </si>
  <si>
    <t>Б/У ВИС.Т ТС-401-5-5-3-1-Е Ду80/80+50/50</t>
  </si>
  <si>
    <t>ВИС.Т ТС-400-4-5-2-1 Ду40/40+40/25</t>
  </si>
  <si>
    <t>Плата ВАУМ.687254.122-04</t>
  </si>
  <si>
    <t>Б/У Расходомер Взлёт ЭР ЭРСВ-420Л Ду50</t>
  </si>
  <si>
    <t>Б/У КМ-5-4-С-2ПР80-В1-ИСП1-Ф-0-pt100-0Р-</t>
  </si>
  <si>
    <t>Плата ВАУМ.687254.122-05</t>
  </si>
  <si>
    <t>Б/У КМ-5-4-С-2ПР100-В1-ИСП1-Ф-0-pt100-0Р</t>
  </si>
  <si>
    <t>Б/У Преобр.расхПРЭМ-32-L0-0-0-B1 сэндвич</t>
  </si>
  <si>
    <t>Контроллер КСПД-5 с БП</t>
  </si>
  <si>
    <t>Б/У КМ-5-2-С-2ПР65-В1-ИСП1-Ф-0-pt100-0Р-</t>
  </si>
  <si>
    <t>Б/У КМ-5-2-С-2ПР100-В1-ИСП1-Ф-0-pt100-0Р</t>
  </si>
  <si>
    <t>Б/У КМ-5-4-С-2ПР40-В1-ИСП1-Ф-0-pt100-0Р-</t>
  </si>
  <si>
    <t>Платформа подключения КМ-5</t>
  </si>
  <si>
    <t>Модем AnCom RM/D 143/000</t>
  </si>
  <si>
    <t>SA-94/3A-6-C-ЕК-100/н-2,5-Ф/Ф-Т-2-1-1н-1</t>
  </si>
  <si>
    <t>Б/У Преобр.расхПРЭМ-50-L0-0-0-B1 сэндвич</t>
  </si>
  <si>
    <t>Б/У Вычислитель ВКТ-7-04-0-0-0</t>
  </si>
  <si>
    <t>Б/У КМ-5-2-С-2ПР80-В1-ИСП1-Ф-0-pt100-0Р-</t>
  </si>
  <si>
    <t>Б/У Блок ИВБ-106</t>
  </si>
  <si>
    <t>Б/У КМ-5-4-С-2ПР50-В1-ИСП1-Ф-0-pt100-0Р-</t>
  </si>
  <si>
    <t>Б/У КМ-5-2-С-2ПР50-В1-ИСП1-Ф-0-pt100-0Р-</t>
  </si>
  <si>
    <t>Модем AnCom RM/D 133/000</t>
  </si>
  <si>
    <t>Панель КСПД-5-G</t>
  </si>
  <si>
    <t>Затвор поворотный ADAMS ф.200 мм с редук</t>
  </si>
  <si>
    <t>Узел сил к ф600</t>
  </si>
  <si>
    <t>Задвижка 30с964нж Ду150 Ру25 В под э/п</t>
  </si>
  <si>
    <t>Адрес Склада</t>
  </si>
  <si>
    <t>Номер пп</t>
  </si>
  <si>
    <t>Дата приобретения</t>
  </si>
  <si>
    <t>2013г</t>
  </si>
  <si>
    <t>31.12.2014</t>
  </si>
  <si>
    <t>2010г</t>
  </si>
  <si>
    <t>11.2013г.</t>
  </si>
  <si>
    <t>2012г.</t>
  </si>
  <si>
    <t>08.2015г.</t>
  </si>
  <si>
    <t>2012г</t>
  </si>
  <si>
    <t>2011г.</t>
  </si>
  <si>
    <t>31.12.2014г</t>
  </si>
  <si>
    <t xml:space="preserve"> 01.12.2014</t>
  </si>
  <si>
    <t>2012 г.</t>
  </si>
  <si>
    <t>2015 г.</t>
  </si>
  <si>
    <t>30.03.2017</t>
  </si>
  <si>
    <t>Муфта 15 Г8954-75</t>
  </si>
  <si>
    <t>Спираль ABB LUC 18 372 6х8 (25м)</t>
  </si>
  <si>
    <t>Отвод 90-45х2,5-20 Г17375 оцинк.</t>
  </si>
  <si>
    <t>Отвод крутоизогнутый 90 град Ду-15 оцинк</t>
  </si>
  <si>
    <t>Шайба С.4.02.Ст3кп Г11371-80 DIN125</t>
  </si>
  <si>
    <t>Термометр ТБ-1(-30+50)-1,5-100-М</t>
  </si>
  <si>
    <t>Трансформатор тока Т-0,66-М УЗ 150/5</t>
  </si>
  <si>
    <t>Дроссель М16хМ16 для РДУК,РДБК од. 1,5</t>
  </si>
  <si>
    <t>Контактор КМ-2-40 40А 2з EKF km-2-40-20</t>
  </si>
  <si>
    <t>Отвод 90-133х4-20 Г17375 оцинк</t>
  </si>
  <si>
    <t>Труба 76х6 В 20 Г8732-78 8731-74</t>
  </si>
  <si>
    <t>Задвижка 30ч39р Ду250 Ру10</t>
  </si>
  <si>
    <t>Клапан VYC 172-01-200 Ду200 Pу16</t>
  </si>
  <si>
    <t>Блок LUNA2 Siemens L30251-U600-A85</t>
  </si>
  <si>
    <t>Модуль DIUT2 Siemens L30220-Y600-A390</t>
  </si>
  <si>
    <t>Модуль SLMAE Siemens L30220-Y600-A382</t>
  </si>
  <si>
    <t>Модуль SLMO24 Siemens L30220-Y600-A252</t>
  </si>
  <si>
    <t>Модуль TMANI Siemens L30220-Y600-A245</t>
  </si>
  <si>
    <t>Шлюз HG 3575 V4 Siemens L30220-Y600-A417</t>
  </si>
  <si>
    <t>Устройство мониторинга</t>
  </si>
  <si>
    <t>R-3051-CD-1-M-2-2-A-1-A-B4-IM-C2-K05</t>
  </si>
  <si>
    <t>Автосинхронизатор АС-М3</t>
  </si>
  <si>
    <t>Агрегат АИК-25Р 27В 0,5А</t>
  </si>
  <si>
    <t>Агрегат зажигания СКНА-22-2А</t>
  </si>
  <si>
    <t>Агрегат командный КА-30ГР</t>
  </si>
  <si>
    <t>АКБ CSB HR1234W 12В 34Вт</t>
  </si>
  <si>
    <t>Блок Allen-Bradley 80026-172-23-R</t>
  </si>
  <si>
    <t>Блок PM3398B-6-1-3-E Pioneer Magnetics</t>
  </si>
  <si>
    <t>Блок питания БП-20</t>
  </si>
  <si>
    <t>Блок питания БП-24</t>
  </si>
  <si>
    <t>Блок питания Метран-602-Ехia-420-2-01К</t>
  </si>
  <si>
    <t>Блок резервного питания БИРП-12/1,6</t>
  </si>
  <si>
    <t>Блок терминальный ABB NTAI05</t>
  </si>
  <si>
    <t>Блок терминальный ABB NTAI06</t>
  </si>
  <si>
    <t>Блок терминальный ABB NTCL01</t>
  </si>
  <si>
    <t>Блок терминальный ABB NTDI01</t>
  </si>
  <si>
    <t>Блок терминальный ABB NTMP01</t>
  </si>
  <si>
    <t>Блок терминальный ABB NTUQ2E</t>
  </si>
  <si>
    <t>Блок упр. регулятора БУ-21</t>
  </si>
  <si>
    <t>Блок управления БУ ВНА</t>
  </si>
  <si>
    <t>Блок управления БУШ ДГ-03</t>
  </si>
  <si>
    <t>Ввод шины TB806 ABB 3BSE008536R1</t>
  </si>
  <si>
    <t>Видеодомофон Hyundai HA-201</t>
  </si>
  <si>
    <t>ВИС.Т ТС-100-0-2-2-1-КТ Ду200</t>
  </si>
  <si>
    <t>Выкл. авт. NB400N 3п 400А Merlin Gerin</t>
  </si>
  <si>
    <t>Выкл. авт. ВА55-43-33-52-50-20УХЛ3 1600А</t>
  </si>
  <si>
    <t>Выкл. ВА57-39-331110-20УХЛЗ 630А/1250А</t>
  </si>
  <si>
    <t>Газоанализатор СТМ-30-03</t>
  </si>
  <si>
    <t>Газоанализатор СТМ-30-52</t>
  </si>
  <si>
    <t>Головка переключателя M22-WLK3-W Moeller</t>
  </si>
  <si>
    <t>Датчик SW 25-2-0/23 IPM 627498002</t>
  </si>
  <si>
    <t>Датчик давл. ТЖИУ 406Д-1Ех-22-1-1-1-2</t>
  </si>
  <si>
    <t>Датчик давл.ТЖИУ-406.423.004.01 Садко107</t>
  </si>
  <si>
    <t>Датчик давления MIDAS SI тип401006/000-4</t>
  </si>
  <si>
    <t>Датчик давления Метран 100ДИ 1131-02-МП-</t>
  </si>
  <si>
    <t>Датчик давления ТЖИУ-406.422.008.01</t>
  </si>
  <si>
    <t>Датчик оборотов ДТА-10Е</t>
  </si>
  <si>
    <t>Датчик П-109</t>
  </si>
  <si>
    <t>Датчик температуры ТСП 9417</t>
  </si>
  <si>
    <t>Датчик ТЖИУ406-1Ех-03-5-3-5-2</t>
  </si>
  <si>
    <t>Датчик ТЖИУ406-1Ех-18-1-3-1-2</t>
  </si>
  <si>
    <t>Датчик ТЖИУ406-1Ех-19-1-3-1-2</t>
  </si>
  <si>
    <t>Датчик ТЖИУ406-1Ех-20-1-3-1-2</t>
  </si>
  <si>
    <t>Датчик ТЖИУ406А-1Ех-А-2-3-2-2</t>
  </si>
  <si>
    <t>Датчик ТЖИУ406Д-1Ех-03-1-3-1-2</t>
  </si>
  <si>
    <t>Датчик ТЖИУ406Д-1Ех-13-1-1-1-2</t>
  </si>
  <si>
    <t>Датчик ТЖИУ406Д-1Ех-16-1-1-1-2</t>
  </si>
  <si>
    <t>Датчик ТЖИУ406Д-1Ех-20-1-1-1-2</t>
  </si>
  <si>
    <t>Датчик т-ры Polar Bear DBTF-6P/PB</t>
  </si>
  <si>
    <t>Датчик т-ры ТК-31</t>
  </si>
  <si>
    <t>Датчик частоты вращения ДЧВ-7М2</t>
  </si>
  <si>
    <t>ЗИП д/уплотнения НМШ5-25-4/4Б</t>
  </si>
  <si>
    <t>Измеритель-регулятор ИРТ-5920 Элемер</t>
  </si>
  <si>
    <t>Источник питания S1006-R 24В</t>
  </si>
  <si>
    <t>Кабель TK811V015 ABB 3BSC950107R1</t>
  </si>
  <si>
    <t>Клапан DMV-D 5050/11 Dungs 224381</t>
  </si>
  <si>
    <t>Клапан LGV507/5 Dungs 119271</t>
  </si>
  <si>
    <t>Клапан MVD 507/5 R3/4 Рувх0,5 Kv30</t>
  </si>
  <si>
    <t>Клапан АТЭК-200-РП-С-40-ЭО Ду200, ПБР-3А</t>
  </si>
  <si>
    <t>Клапан для РДУК-200/105 в сборе с седлом</t>
  </si>
  <si>
    <t>Клапан КЗ-25-2,5-У-Ех-НО-ЭМ-Ф32/Нж-1-24</t>
  </si>
  <si>
    <t>Клапан ОГК Ду50 Ру25 для ГТУ-6РМ</t>
  </si>
  <si>
    <t>Клапан ПСК-50Н/20</t>
  </si>
  <si>
    <t>Компенсатор КСО-25-900-210</t>
  </si>
  <si>
    <t>Компенсатор сильфонный 1КСО-25-500</t>
  </si>
  <si>
    <t>Компенсатор сильфонный СКФ2-2ИК-15</t>
  </si>
  <si>
    <t>Комплект упл. Графлекс КТ 033.01.017</t>
  </si>
  <si>
    <t>Контроллер доступа Орион С2000-2</t>
  </si>
  <si>
    <t>Контроллер шлюзовой ABB BRC 300</t>
  </si>
  <si>
    <t>К-т ЗИП насоса НМШФ2-40-1,6/4Б-30М5</t>
  </si>
  <si>
    <t>М-100-ДВ-1211-02-МП1-t1-015-1,6кПа-42-C</t>
  </si>
  <si>
    <t>М-100-ДИВ-1310-02 МП1-t1-025-0,2кПа-0,5</t>
  </si>
  <si>
    <t>М-100-ДИВ-1311-02-МП1-t1-015-1,25кПа-42</t>
  </si>
  <si>
    <t>М-150CD1(0-1кПа)2211L3AM5IMS5K04 с к/б</t>
  </si>
  <si>
    <t>М-150CD2(0-16кПа)2211L3AM5IMK04</t>
  </si>
  <si>
    <t>М-55-Вн-Ди-515-t5-050-1МПа-4-20мА</t>
  </si>
  <si>
    <t>М-55-ДИ-515-t1-050-2,5МПа-42-М20-С</t>
  </si>
  <si>
    <t>Маслопровод ВД В 60860140-01 для ГТД-6РМ</t>
  </si>
  <si>
    <t>Механизм исп. МЭО-250/25-0,25</t>
  </si>
  <si>
    <t>Механизм исп. МЭО-40/63-0,25У-01-У2</t>
  </si>
  <si>
    <t>Механизм МЭОФ-2500/160-0,63-96К</t>
  </si>
  <si>
    <t>Мод.ввод дискр.сигн.D48/24 220В ТСС9-220</t>
  </si>
  <si>
    <t>Модули дискретных входов ABB IMDSI13</t>
  </si>
  <si>
    <t>Модуль AO810V2 4-20мА ABB 3BSE038415R1</t>
  </si>
  <si>
    <t>Модуль DI810 ABB 3BSE008508R1</t>
  </si>
  <si>
    <t>Модуль MCR-C-I-I-00-DC Phoenix</t>
  </si>
  <si>
    <t>Модуль PSM-ME-RS232/RS485-P Phoenix</t>
  </si>
  <si>
    <t>Модуль аналогового ввода Текон AI16</t>
  </si>
  <si>
    <t>Модуль аналогового входа ABB IMASI23</t>
  </si>
  <si>
    <t>Модуль аналогового входа ABB IMFEC12</t>
  </si>
  <si>
    <t>Модуль аналогового входа А8У</t>
  </si>
  <si>
    <t>Модуль аналоговых выходов ABB IMASO11</t>
  </si>
  <si>
    <t>Модуль ввода DI16-220</t>
  </si>
  <si>
    <t>Модуль ввода DI801</t>
  </si>
  <si>
    <t>Модуль ввода DI803</t>
  </si>
  <si>
    <t>Модуль ввода АI801</t>
  </si>
  <si>
    <t>Модуль ввода Текон D48/24</t>
  </si>
  <si>
    <t>Модуль ввода/вывода Текон А16/2</t>
  </si>
  <si>
    <t>Модуль вывода ABB DO802</t>
  </si>
  <si>
    <t>Модуль вывода Текон ТКМ.D40S</t>
  </si>
  <si>
    <t>Модуль дискретный входов Д8У</t>
  </si>
  <si>
    <t>Модуль измерения частоты ABB IMTSA01</t>
  </si>
  <si>
    <t>Модуль клеммных соединений ТСС-220АС</t>
  </si>
  <si>
    <t>Модуль коммуникац. порта ABB IMCPM02</t>
  </si>
  <si>
    <t>Модуль передачи данных ABB INICT13A</t>
  </si>
  <si>
    <t>Модуль сетевой процессорный ABB INNPM22</t>
  </si>
  <si>
    <t>Модуль центр. процессора Текон Р05-02</t>
  </si>
  <si>
    <t>Насос МНО-30К</t>
  </si>
  <si>
    <t>Насос НМШ5-25-4/25Б-1У3 5,5/1450</t>
  </si>
  <si>
    <t>Насос НМШФ2-40-1,6/4Б-13 1,1/1450</t>
  </si>
  <si>
    <t>Насос ОМН-30</t>
  </si>
  <si>
    <t>Опора скользящая Ду200 эск.</t>
  </si>
  <si>
    <t>Панель видеодомофона DVC-201 Эликс</t>
  </si>
  <si>
    <t>Переносное устройство EVER GUM</t>
  </si>
  <si>
    <t>Подшипник NU317 ECJ/C3 SKF</t>
  </si>
  <si>
    <t>Предохранитель В 61100031 для ГТД-6РМ</t>
  </si>
  <si>
    <t>Преобр. Е854В 0-5А 4-20мА</t>
  </si>
  <si>
    <t>Преобр. ПТПЗ</t>
  </si>
  <si>
    <t>Преобразователь CUE Grundfos 96754705</t>
  </si>
  <si>
    <t>Преобразователь ИПТВ-206/М3-03</t>
  </si>
  <si>
    <t>Преобразователь реактив.мощности Е860ВР2</t>
  </si>
  <si>
    <t>Регулятор REGAL-3 FSREG3-50 Ду50 Ру16</t>
  </si>
  <si>
    <t>Регулятор АРТ-85-125/16 п/себя</t>
  </si>
  <si>
    <t>Регулятор РДБК-1Н-200/140 Ду200 Pу12</t>
  </si>
  <si>
    <t>Регулятор РДУК-2Н-100/70 Ду100 Ру12</t>
  </si>
  <si>
    <t>Реле ПЭ 37-44 220В</t>
  </si>
  <si>
    <t>Реле ПЭ 37-62 220В</t>
  </si>
  <si>
    <t>Реле РП-21-004 24В</t>
  </si>
  <si>
    <t>Реле тепловое РТТ-310 63А 53,5-72,3А</t>
  </si>
  <si>
    <t>Садко 107 ТЖИУ.406423.005 0,4-1,6МПа</t>
  </si>
  <si>
    <t>Сепаратор Atlas Copco сер № AII289074</t>
  </si>
  <si>
    <t>Сигнализатор магнитный МСС 40-07-5021</t>
  </si>
  <si>
    <t>Система питания Advel Adlim SPS-RK8p2</t>
  </si>
  <si>
    <t>Система питания Advel Adlim SPS-RQ8p2</t>
  </si>
  <si>
    <t>Соединитель клеммный ТСС 9М</t>
  </si>
  <si>
    <t>Считыватель Parsec PR-EH05</t>
  </si>
  <si>
    <t>Трансформатор ДБСКТ-650-1Ш</t>
  </si>
  <si>
    <t>ТСМУ-205-3/320-(-50+ 50)С L=300мм</t>
  </si>
  <si>
    <t>ТСП-9506.158-01</t>
  </si>
  <si>
    <t>ТСП-9506.158-46</t>
  </si>
  <si>
    <t>ТСПУ-205-100П-3-(0+200)С-320-0,25</t>
  </si>
  <si>
    <t>ТХАУ Метран-271-(0+600)С-4-20мА</t>
  </si>
  <si>
    <t>Тягомер мембр. показывающий ТмМП-52-М2</t>
  </si>
  <si>
    <t>Уплотнение MT-26 Grasso 363098200 NB</t>
  </si>
  <si>
    <t>Уплотнение торц. /КГВ-250/75</t>
  </si>
  <si>
    <t>Уплотнение торц. 153/Д71.033.821КК</t>
  </si>
  <si>
    <t>Усилитель трехпозиционный У-300</t>
  </si>
  <si>
    <t>Фильтр Viledon Compact Т90</t>
  </si>
  <si>
    <t>Фильтр возд. компрес.Atlas Copco GA-15</t>
  </si>
  <si>
    <t>Фильтр сигнализатор к ЦВС-30</t>
  </si>
  <si>
    <t>Фотодатчик ФД4</t>
  </si>
  <si>
    <t>Цилиндр направляющего аппарата ЦНА-30К</t>
  </si>
  <si>
    <t>Электродвигатель АЧБКр225М4БУЗ</t>
  </si>
  <si>
    <t>Элемент контактный М22-СК01 Moeller</t>
  </si>
  <si>
    <t>Элемент контактный М22-СК10 Moeller</t>
  </si>
  <si>
    <t>Элемент ОС 16.03.300 для ДККС-16-3</t>
  </si>
  <si>
    <t>Элемент фильтр. Ф23.6.02.000</t>
  </si>
  <si>
    <t>Горелка ЭИВ-01-И L1000</t>
  </si>
  <si>
    <t>(0801) Очаковское шоссе, д.22</t>
  </si>
  <si>
    <t>(0804) ул. Бобруйская, д.19</t>
  </si>
  <si>
    <t>(0808) ул. Верейская, д.35</t>
  </si>
  <si>
    <t>Комплекс СГ-ЭК-Вз-Р-0,5-65/1,</t>
  </si>
  <si>
    <t>Затвор поворотный ADAMS ф.400 мм с ре</t>
  </si>
  <si>
    <t xml:space="preserve">(2001) Б.Каменщики ул., д. 4 </t>
  </si>
  <si>
    <t>Характеристики</t>
  </si>
  <si>
    <t>Техническое состояние</t>
  </si>
  <si>
    <t>КА-30ГР</t>
  </si>
  <si>
    <t>002 SA-94 Aswega</t>
  </si>
  <si>
    <t>БП-24</t>
  </si>
  <si>
    <t>БИРП-12/1,6</t>
  </si>
  <si>
    <t>ABB NTAI05</t>
  </si>
  <si>
    <t>ABB NTAI06</t>
  </si>
  <si>
    <t>ABB NTCL01</t>
  </si>
  <si>
    <t>ABB NTDI01</t>
  </si>
  <si>
    <t>ABB NTMP01</t>
  </si>
  <si>
    <t>ABB NTUQ2E</t>
  </si>
  <si>
    <t>Landis LFL1.322</t>
  </si>
  <si>
    <t>БУ-21</t>
  </si>
  <si>
    <t>БУ ВНА</t>
  </si>
  <si>
    <t>БУШ ДГ-03</t>
  </si>
  <si>
    <t>TB806 ABB 3BSE008536R1</t>
  </si>
  <si>
    <t>Hyundai HA-201</t>
  </si>
  <si>
    <t>ПН2-100/63А</t>
  </si>
  <si>
    <t>NB400N 3п 400А Merlin Gerin</t>
  </si>
  <si>
    <t>АЕ2046М-100У3 3п 31,5А</t>
  </si>
  <si>
    <t>АП50Б-3МТ-3,5Iu 3п 25А У3</t>
  </si>
  <si>
    <t>АП50Б-3МТ-3,5Iu 3п 40А У3</t>
  </si>
  <si>
    <t>ВА53-41-135250-20УХЛ3 250А</t>
  </si>
  <si>
    <t>ВА55-41-335250-00УХЛЗ 630А</t>
  </si>
  <si>
    <t>ВА21-29-341110-12In-380 25,00А</t>
  </si>
  <si>
    <t>СТМ-30-03</t>
  </si>
  <si>
    <t>M22-WLK3-W Moeller</t>
  </si>
  <si>
    <t>SW 25-2-0/23 IPM 627498002</t>
  </si>
  <si>
    <t>ТЖИУ 406Д-1Ех-22-1-1-1-2</t>
  </si>
  <si>
    <t>ТЖИУ-406.423.004.01 Садко107</t>
  </si>
  <si>
    <t>MIDAS SI тип401006/000-4</t>
  </si>
  <si>
    <t>Метран 100ДИ 1131-02-МП-</t>
  </si>
  <si>
    <t>ТЖИУ-406.422.008.01</t>
  </si>
  <si>
    <t>ДТА-10Е</t>
  </si>
  <si>
    <t>П-109</t>
  </si>
  <si>
    <t>ТСП 9417</t>
  </si>
  <si>
    <t>ТЖИУ406-1Ех-03-5-3-5-2</t>
  </si>
  <si>
    <t>ТЖИУ406-1Ех-18-1-3-1-2</t>
  </si>
  <si>
    <t>ТЖИУ406-1Ех-19-1-3-1-2</t>
  </si>
  <si>
    <t>ТЖИУ406-1Ех-20-1-3-1-2</t>
  </si>
  <si>
    <t>ТЖИУ406А-1Ех-А-2-3-2-2</t>
  </si>
  <si>
    <t>ТЖИУ406Д-1Ех-03-1-3-1-2</t>
  </si>
  <si>
    <t>ТЖИУ406Д-1Ех-13-1-1-1-2</t>
  </si>
  <si>
    <t>ТЖИУ406Д-1Ех-16-1-1-1-2</t>
  </si>
  <si>
    <t>ТЖИУ406Д-1Ех-20-1-1-1-2</t>
  </si>
  <si>
    <t>Polar Bear DBTF-6P/PB</t>
  </si>
  <si>
    <t>ТК-31</t>
  </si>
  <si>
    <t>СО-1 15В</t>
  </si>
  <si>
    <t>НМШ5-25-4/4Б</t>
  </si>
  <si>
    <t>ИРТ-5920 Элемер</t>
  </si>
  <si>
    <t>S1006-R 24В</t>
  </si>
  <si>
    <t>TK811V015 ABB 3BSC950107R1</t>
  </si>
  <si>
    <t>1256.20.00 Ду20 Ру16</t>
  </si>
  <si>
    <t>DMV-D 5050/11 Dungs 224381</t>
  </si>
  <si>
    <t>LGV507/5 Dungs 119271</t>
  </si>
  <si>
    <t>MVD 507/5 R3/4 Рувх0,5 Kv30</t>
  </si>
  <si>
    <t>АТЭК-200-РП-С-40-ЭО Ду200, ПБР-3А</t>
  </si>
  <si>
    <t>РДУК-200/105</t>
  </si>
  <si>
    <t>КЗ-25-2,5-У-Ех-НО-ЭМ-Ф32/Нж-1-24</t>
  </si>
  <si>
    <t>Ду50 Ру25 для ГТУ-6РМ</t>
  </si>
  <si>
    <t>Tantos HO-02 пластик</t>
  </si>
  <si>
    <t>КСО-25-900-210</t>
  </si>
  <si>
    <t>ПППН-Т7-25-600-2.2</t>
  </si>
  <si>
    <t>КСО-25-250</t>
  </si>
  <si>
    <t>КСО-25-500</t>
  </si>
  <si>
    <t>СКФ2-2ИК-15</t>
  </si>
  <si>
    <t>СГ-ЭКВз-Т-0,75-1600/1,6</t>
  </si>
  <si>
    <t>Графлекс КТ 033.01.017</t>
  </si>
  <si>
    <t>RS232-RS 485 ТС</t>
  </si>
  <si>
    <t>МК6-30ТУХЛ3 250-400А 220В 50Гц</t>
  </si>
  <si>
    <t>Орион С2000-2</t>
  </si>
  <si>
    <t>ABB BRC 300</t>
  </si>
  <si>
    <t>НМШФ2-40-1,6/4Б-30М5</t>
  </si>
  <si>
    <t>Roto-Inject Fluid</t>
  </si>
  <si>
    <t>ВД В 60860140 для ГТД-6РМ</t>
  </si>
  <si>
    <t>ВД В 60860140-01 для ГТД-6РМ</t>
  </si>
  <si>
    <t>ВД В 60860150 для ГТД-6РМ</t>
  </si>
  <si>
    <t>ВД В 60860150-01 для ГТД-6РМ</t>
  </si>
  <si>
    <t>МЭО-250/25-0,25</t>
  </si>
  <si>
    <t>МЭО-40/63-0,25У-01-У2</t>
  </si>
  <si>
    <t>МЭОФ-2500/160-0,63-96К</t>
  </si>
  <si>
    <t>D48/24 220В ТСС9-220</t>
  </si>
  <si>
    <t>ABB IMDSI13</t>
  </si>
  <si>
    <t>Allen-Bradley 1747-SCNR</t>
  </si>
  <si>
    <t>Allen-Bradley 3150-MCM</t>
  </si>
  <si>
    <t>MCR-C-I-I-00-DC Phoenix</t>
  </si>
  <si>
    <t>PSM-ME-RS232/RS485-P Phoenix</t>
  </si>
  <si>
    <t>Allen-Bradley 1747-ASB</t>
  </si>
  <si>
    <t>Текон AI16</t>
  </si>
  <si>
    <t>ABB IMASI23</t>
  </si>
  <si>
    <t>ABB IMFEC12</t>
  </si>
  <si>
    <t>А8У</t>
  </si>
  <si>
    <t>ABB IMASO11</t>
  </si>
  <si>
    <t xml:space="preserve"> Allen-Bradley 1746-IM16</t>
  </si>
  <si>
    <t>Allen-Bradley 1746-NI4</t>
  </si>
  <si>
    <t>DI801</t>
  </si>
  <si>
    <t>DI803</t>
  </si>
  <si>
    <t>АI801</t>
  </si>
  <si>
    <t>Текон D48/24</t>
  </si>
  <si>
    <t>Текон А16/2</t>
  </si>
  <si>
    <t>ABB DO802</t>
  </si>
  <si>
    <t>Allen-Bradley 1746-OB32</t>
  </si>
  <si>
    <t>DO16r-220FC</t>
  </si>
  <si>
    <t>Д8У</t>
  </si>
  <si>
    <t>ABB IMDSO14</t>
  </si>
  <si>
    <t>ABB IMTSA01</t>
  </si>
  <si>
    <t>ТСС-220АС</t>
  </si>
  <si>
    <t>ABB IMCPM02</t>
  </si>
  <si>
    <t>Allen-Bradley 1747-SN</t>
  </si>
  <si>
    <t>Текон Р05-02</t>
  </si>
  <si>
    <t>АНС-130 с эл дв 7,5 кВт на раме</t>
  </si>
  <si>
    <t>МНО-30К</t>
  </si>
  <si>
    <t>НМШ5-25-4/25Б-1У3 5,5/1450</t>
  </si>
  <si>
    <t>НМШФ2-40-1,6/4Б-13 1,1/1450</t>
  </si>
  <si>
    <t>ОМН-30</t>
  </si>
  <si>
    <t>DVC-201 Эликс</t>
  </si>
  <si>
    <t>В 61100031 для ГТД-6РМ</t>
  </si>
  <si>
    <t>Е854В 0-5А 4-20мА</t>
  </si>
  <si>
    <t>Е855/3-М1 0-500В 4-20мА</t>
  </si>
  <si>
    <t>CUE Grundfos 96754705</t>
  </si>
  <si>
    <t>ИПТВ-206/М3-03</t>
  </si>
  <si>
    <t>Е860ВР2</t>
  </si>
  <si>
    <t>ПМ12-100150 220В 100А</t>
  </si>
  <si>
    <t>ПМЛ-1110 220В 10А 1з</t>
  </si>
  <si>
    <t>АРТ-85-125/16 п/себя</t>
  </si>
  <si>
    <t>РДБК-1Н-200/140 Ду200 Pу12</t>
  </si>
  <si>
    <t>РДУК-2Н-100/70 Ду100 Ру12</t>
  </si>
  <si>
    <t>РП-21-004 220В</t>
  </si>
  <si>
    <t>РТТ-310 63А 53,5-72,3А</t>
  </si>
  <si>
    <t>ТЖИУ.406423.009.01 10-40кПа</t>
  </si>
  <si>
    <t>СП-06ВП-3</t>
  </si>
  <si>
    <t>Atlas Copco сер № AII289074</t>
  </si>
  <si>
    <t>МСС 40-07-5021</t>
  </si>
  <si>
    <t>Wika A52.100-1-(0+100)С-200</t>
  </si>
  <si>
    <t>ДБСКТ-650-1Ш</t>
  </si>
  <si>
    <t>Метран-274-05-Ех-160-0,5-Н10(-50+50</t>
  </si>
  <si>
    <t>Метран-276-02-200-0,5-Н10-(0+200)С</t>
  </si>
  <si>
    <t>ТмМП-52-М2</t>
  </si>
  <si>
    <t>КСО-25-1000</t>
  </si>
  <si>
    <t>КГВ-250/75</t>
  </si>
  <si>
    <t>СЭ-1250-140</t>
  </si>
  <si>
    <t>153/Д71.033.821КК</t>
  </si>
  <si>
    <t>У-300</t>
  </si>
  <si>
    <t>ДМС-250Н 185кВт 380В 50Гц</t>
  </si>
  <si>
    <t>Viledon Compact Т60</t>
  </si>
  <si>
    <t>Viledon Compact Т90</t>
  </si>
  <si>
    <t>Atlas Copco GA-15</t>
  </si>
  <si>
    <t>ЦНА-30К</t>
  </si>
  <si>
    <t>АИР-4,5 кв 3000 об/мин</t>
  </si>
  <si>
    <t>АЧБКр225М4БУЗ</t>
  </si>
  <si>
    <t>М22-СК01 Moeller</t>
  </si>
  <si>
    <t>М22-СК10 Moeller</t>
  </si>
  <si>
    <t>16.03.300 для ДККС-16-3</t>
  </si>
  <si>
    <t>Ф23.6.02.000</t>
  </si>
  <si>
    <t>Удовлетворительное</t>
  </si>
  <si>
    <t>Масло Roto-Inject Fluid 2901 0522 00</t>
  </si>
  <si>
    <t>Масло Shell Tellus Oils S46 20л</t>
  </si>
  <si>
    <t>Манжета М 12х24-2 Г22704-77</t>
  </si>
  <si>
    <t>Терминал КТ-12/Ш</t>
  </si>
  <si>
    <t>Ковер настенный</t>
  </si>
  <si>
    <t>Кабель GE Energy 106765-04</t>
  </si>
  <si>
    <t>Кабель GE Energy 129525-0010-02</t>
  </si>
  <si>
    <t>Кабель GE Energy 129529-0010-02</t>
  </si>
  <si>
    <t xml:space="preserve">Предохранитель концевой DHEC 2400            </t>
  </si>
  <si>
    <t xml:space="preserve">Предохранитель концевой DHEC 2600            </t>
  </si>
  <si>
    <t xml:space="preserve">Предохранитель концевой DHEC 2700            </t>
  </si>
  <si>
    <t xml:space="preserve">Фильтр сигнализатор к ЦВС-30                 </t>
  </si>
  <si>
    <t>Датчик Fuji FCX-AII FKCX22V5-AKAYY-AU</t>
  </si>
  <si>
    <t>Датчик Fuji FCX-AII FKCX33V5-AXAYY-AU</t>
  </si>
  <si>
    <t>Датчик Fuji FCX-AII FKCX36V5-AXAYY-AU</t>
  </si>
  <si>
    <t>Датчик Fuji FCX-AII FKPV02V5-AKAYY-0Y</t>
  </si>
  <si>
    <t>Датчик Fuji FCX-AII FKPV03V5-AKAYY-0Y</t>
  </si>
  <si>
    <t>Датчик Fuji FCX-AII FKPV04V5-AKAYY-0Y</t>
  </si>
  <si>
    <t>Датчик Fuji FCX-AII FKPV04V5-AXAYY-0Y</t>
  </si>
  <si>
    <t>Датчик GE 330103-00-03-50-02-RU</t>
  </si>
  <si>
    <t>Датчик GE Energy 330101-00-27-50-02-RU</t>
  </si>
  <si>
    <t>Датчик GE Energy 330525-00</t>
  </si>
  <si>
    <t>Датчик вибрации 2408714-1</t>
  </si>
  <si>
    <t>Датчик вибрации 2408715-1</t>
  </si>
  <si>
    <t>Датчик вибрации 315475-19</t>
  </si>
  <si>
    <t>Датчик вибрации 315475-20</t>
  </si>
  <si>
    <t>Датчик температуры 2420906-1</t>
  </si>
  <si>
    <t>Датчик температуры 2420906-2</t>
  </si>
  <si>
    <t>Датчик температуры 2420906-3</t>
  </si>
  <si>
    <t>Датчик температуры 2420906-4</t>
  </si>
  <si>
    <t>Датчик температуры 2420906-5</t>
  </si>
  <si>
    <t>Датчик температуры 51082859-1</t>
  </si>
  <si>
    <t xml:space="preserve">Вибропреобразов. АНС 066-02Н 7-2000м/с2      </t>
  </si>
  <si>
    <t xml:space="preserve">Датчик SW 25-2-0/23 IPM 627498002            </t>
  </si>
  <si>
    <t xml:space="preserve">Датчик давл. ТЖИУ-406.423.005 0,4-1,6МПа     </t>
  </si>
  <si>
    <t xml:space="preserve">Датчик давл.ТЖИУ-406.423.004.01 Садко107     </t>
  </si>
  <si>
    <t xml:space="preserve">Датчик ТЖИУ406-1Ех-03-5-3-5-2                </t>
  </si>
  <si>
    <t xml:space="preserve">Датчик ТЖИУ406-1Ех-19-1-3-1-2                </t>
  </si>
  <si>
    <t xml:space="preserve">Датчик ТЖИУ406А-1Ех-А-2-3-2-2                </t>
  </si>
  <si>
    <t xml:space="preserve">Датчик ТЖИУ406Д-1Ех-16-1-1-1-2               </t>
  </si>
  <si>
    <t xml:space="preserve">Датчик ТЖИУ406Д-1Ех-20-1-1-1-2               </t>
  </si>
  <si>
    <t xml:space="preserve">Датчик частоты вращения ДЧВ-7М2              </t>
  </si>
  <si>
    <t xml:space="preserve">Датчик-сигнализатор обледенения СО-1 15В     </t>
  </si>
  <si>
    <t>Ремкомплект АТЭК.491284.002-03 п/к</t>
  </si>
  <si>
    <t>Ремкомплект АТЭК.491284.012-01 п/к</t>
  </si>
  <si>
    <t>Ремкомплект АТЭК.491284.022-02</t>
  </si>
  <si>
    <t>Ремкомплект АТЭК.493924.017-07 п/к</t>
  </si>
  <si>
    <t xml:space="preserve">Седло D105 регулятора давления типа РДУК     </t>
  </si>
  <si>
    <t>Сенсор Oxytrace SC Swan A87.212.052</t>
  </si>
  <si>
    <t xml:space="preserve">Терминал системы ОДК, концевой               </t>
  </si>
  <si>
    <t>Клапан 1015-150-ЭМ Ду150 Ру100 ЧЗЭМ</t>
  </si>
  <si>
    <t>Клапан 1057-65-ЭМ Ду65 Ру100 ЧЗЭМ</t>
  </si>
  <si>
    <t>Клапан 586-20-ЭМ-03 Ду20 Ру250 ЧЗЭМ</t>
  </si>
  <si>
    <t>Клапан 998-20-ЭК Ду20 Ру373 ЧЗЭМ</t>
  </si>
  <si>
    <t>Клапан 999-20-ЭМ Ду20 Ру250 ЧЗЭМ</t>
  </si>
  <si>
    <t xml:space="preserve">Клапан ОГК Ду50 Ру25 для ГТУ-6РМ             </t>
  </si>
  <si>
    <t>Клапан электромагнитный 2037046-2</t>
  </si>
  <si>
    <t>Э/п Auma SAR 07.1/AM01/1/LE12.1-F10</t>
  </si>
  <si>
    <t>Блок 61433503 NBPU-42C PPCS Branching</t>
  </si>
  <si>
    <t>Проксиметр 3300 XL GE 330180-51-RU</t>
  </si>
  <si>
    <t>Проксиметр 3300 XL NSV GE 330980-51-RU</t>
  </si>
  <si>
    <t>ВИС.Т ТС-201-2-2-1 Ду100/100</t>
  </si>
  <si>
    <t>Манометр МТ-3И 0-2,5кгс/см2</t>
  </si>
  <si>
    <t>Механизм исп. МЭО-40/63-0,25М</t>
  </si>
  <si>
    <t>Преобразователь ИПМ-0399/М3-Ех</t>
  </si>
  <si>
    <t xml:space="preserve">Счётчик СГ-75МТ-250-40-С Ду80                </t>
  </si>
  <si>
    <t>Модуль GE Energy 3500/20-01-02-00</t>
  </si>
  <si>
    <t>Модуль GE Energy 3500/25-01-01-00</t>
  </si>
  <si>
    <t>Модуль GE Energy 3500/33-01-00</t>
  </si>
  <si>
    <t>Модуль GE Energy 3500/42-02-00</t>
  </si>
  <si>
    <t>Модуль GE Energy 3500/42-09-00</t>
  </si>
  <si>
    <t>Модуль GE Energy 3500/50-01-00-01</t>
  </si>
  <si>
    <t>Модуль GE Energy 3500/53-02-00</t>
  </si>
  <si>
    <t>Модуль GE Energy 3500/64-01-00</t>
  </si>
  <si>
    <t>Модуль GE Energy 3500/92-04-01-00</t>
  </si>
  <si>
    <t>Модуль ввода\вывода AI835 ABB</t>
  </si>
  <si>
    <t>Модуль д/линии TC 625 AF100 3BSE00222R1</t>
  </si>
  <si>
    <t>Модуль процессора PM510V08 3BSE008373R1</t>
  </si>
  <si>
    <t>Модуль цифр. вх. 3BHT300002R1</t>
  </si>
  <si>
    <t>Насос 125-CJAV-265-15/8-LU-00-FE 75/1485</t>
  </si>
  <si>
    <t>Насос Allweiler NSSV 65-250 45/2965</t>
  </si>
  <si>
    <t>Насос HPH-100-200 без э/д</t>
  </si>
  <si>
    <t>Насос HPK-LE-50-200 без э/д</t>
  </si>
  <si>
    <t>Насос HPK-LE-80-200 без э/д</t>
  </si>
  <si>
    <t>Насос KSB KRTK 40-250/122UG-S 12/2930</t>
  </si>
  <si>
    <t>Насос RDLO-600-600B без э/д</t>
  </si>
  <si>
    <t>Блок процессора ABB 3BSE008062R1</t>
  </si>
  <si>
    <t>Блок разветвителя NPBU-42C ABB 64011821</t>
  </si>
  <si>
    <t>Интерфейс AF100 CI520V1 3BSE012869R1</t>
  </si>
  <si>
    <t>Интерфейс Masterbus 300 3BSE000435R1</t>
  </si>
  <si>
    <t>Интерфейс связи 3BSE011000R1</t>
  </si>
  <si>
    <t>Комплект NINT-73C ABB 64513605</t>
  </si>
  <si>
    <t xml:space="preserve">Трансформатор ДБСКТ-650-1Ш                   </t>
  </si>
  <si>
    <t>Прибор микропр. Трансформер-ML МП2Р</t>
  </si>
  <si>
    <t>Прибор Трансформер-ML Д8У</t>
  </si>
  <si>
    <t>Прибор Трансформер-ML МП4</t>
  </si>
  <si>
    <t>Трансформер ML(БП24-5)</t>
  </si>
  <si>
    <t>Трансформер-ML (ББП-24)</t>
  </si>
  <si>
    <t>Шкаф автоматики ШАТ-66 600х600х210</t>
  </si>
  <si>
    <t>Шкаф ШАТ-106 №7-2-ПП/13-АТС</t>
  </si>
  <si>
    <t xml:space="preserve">Прибор микропроцессорный Трансформер-ML MB БП24-5 </t>
  </si>
  <si>
    <t>Фильтр тонкой очис. CAM GT-F9-242412-01</t>
  </si>
  <si>
    <t>Фильтр тонкой очис. МРК 49-31 GT GTU F9</t>
  </si>
  <si>
    <t>Фильтр тонкой очис. МРК 49-31 GT HV F9</t>
  </si>
  <si>
    <t>Новое</t>
  </si>
  <si>
    <t>СПП-элемент</t>
  </si>
  <si>
    <t>Документы</t>
  </si>
  <si>
    <t>паспорт</t>
  </si>
  <si>
    <t>Сер.кач-ва №1300183221/т-2  от 23.11.2015</t>
  </si>
  <si>
    <t>Отсутствуют</t>
  </si>
  <si>
    <t>Сер.кач-ва № РОСС RU.АГ66.Н04191  от 12.04.2016</t>
  </si>
  <si>
    <t>3.NV.1100-2002</t>
  </si>
  <si>
    <t>3.NV.1203-2002</t>
  </si>
  <si>
    <t>Паспорт</t>
  </si>
  <si>
    <t>Инструкция</t>
  </si>
  <si>
    <t>Нет данных</t>
  </si>
  <si>
    <t>3.NV.1216-2002</t>
  </si>
  <si>
    <t>Siemens L30220-Y600-A390</t>
  </si>
  <si>
    <t>Siemens L30220-Y600-A382</t>
  </si>
  <si>
    <t>Siemens L30220-Y600-A252</t>
  </si>
  <si>
    <t>Siemens L30220-Y600-A245</t>
  </si>
  <si>
    <t>Siemens L30220-Y600-A417</t>
  </si>
  <si>
    <t>Устройство ГЛОНАСС</t>
  </si>
  <si>
    <t>MАGNETEK 3D53-18-1</t>
  </si>
  <si>
    <t>Условно пригодное</t>
  </si>
  <si>
    <t>3.NV.1207-2002</t>
  </si>
  <si>
    <t>3.NV.1209-2002</t>
  </si>
  <si>
    <t>Затвор поворотный ADAMS ф.200 мм с редуктором</t>
  </si>
  <si>
    <t>Паспорт ЛГТИ.407321.001.ПС от 08.08.2012</t>
  </si>
  <si>
    <t>3.NV.1220-2002</t>
  </si>
  <si>
    <t>3.NV.1208-2002</t>
  </si>
  <si>
    <t>Паспорт № 025834; Компенсатор сильфонный КСО-25-500-200-1,2 по ИЯНШ.300260.029ТУ; заводской №45; дата изготовления: март 2013г.; ОАО НПП Компенсатор</t>
  </si>
  <si>
    <t>SA-94/3-C-3-ЕК-015/015-Ф/Ф-Т-2-1-1/н-1-2</t>
  </si>
  <si>
    <t>SA-94/3-C-3-ЕК-025/025-Ф/Ф-Т-2-1-1/н-1-5</t>
  </si>
  <si>
    <t>SA-94/3-C-3-ЕК-040/н-Ф/Ф-Т-2-1-2/н-1-5</t>
  </si>
  <si>
    <t>Блок 001 SA-94 Aswega</t>
  </si>
  <si>
    <t>Блок 004 SA-94 Aswega</t>
  </si>
  <si>
    <t>Блок БП/ВКТ7</t>
  </si>
  <si>
    <t>Блок ИВБ-106</t>
  </si>
  <si>
    <t>Блок ИСТВ.466344.001</t>
  </si>
  <si>
    <t>ВИС.Т ТС-200-2-2-1-1-РТ Ду100/100</t>
  </si>
  <si>
    <t>ВИС.Т ТС-200-3-3-2-1 Ду80/80</t>
  </si>
  <si>
    <t>ВИС.Т ТС-201-3-3-2-1 Ду100/80</t>
  </si>
  <si>
    <t>ВИС.Т ТС-201-3-3-2-1 Ду50/40</t>
  </si>
  <si>
    <t>ВИС.Т ТС-201-3-3-2-1 Ду80/40</t>
  </si>
  <si>
    <t>ВИС.Т ТС-201-3-3-2-1 Ду80/50</t>
  </si>
  <si>
    <t>ВИС.Т ТС-401-5-5-3-0-Е Ду40/40+40/25</t>
  </si>
  <si>
    <t>ВИС.Т ТС-401-5-5-3-0-Е Ду50/50+40/40</t>
  </si>
  <si>
    <t>ВИС.Т ТС-401-5-5-3-0-Е Ду50/50+50/50</t>
  </si>
  <si>
    <t>ВИС.Т ТС-401-5-5-3-1-Е Ду100/100+100/100</t>
  </si>
  <si>
    <t>ВИС.Т ТС-401-5-5-3-1-Е Ду100/100+100/80</t>
  </si>
  <si>
    <t>ВИС.Т ТС-401-5-5-3-1-Е Ду100/100+80/50</t>
  </si>
  <si>
    <t>ВИС.Т ТС-401-5-5-3-1-Е Ду100/100+80/80</t>
  </si>
  <si>
    <t>ВИС.Т ТС-401-5-5-3-1-Е Ду40/40+25/25</t>
  </si>
  <si>
    <t>ВИС.Т ТС-401-5-5-3-1-Е Ду40/40+40/25</t>
  </si>
  <si>
    <t>ВИС.Т ТС-401-5-5-3-1-Е Ду40/40+40/40</t>
  </si>
  <si>
    <t>ВИС.Т ТС-401-5-5-3-1-Е Ду40/40+50/40</t>
  </si>
  <si>
    <t>ВИС.Т ТС-401-5-5-3-1-Е Ду40/40+50/50</t>
  </si>
  <si>
    <t>ВИС.Т ТС-401-5-5-3-1-Е Ду50/50+40/25</t>
  </si>
  <si>
    <t>ВИС.Т ТС-401-5-5-3-1-Е Ду50/50+50/40</t>
  </si>
  <si>
    <t>ВИС.Т ТС-401-5-5-3-1-Е Ду50/50+50/50</t>
  </si>
  <si>
    <t>ВИС.Т ТС-401-5-5-3-1-Е Ду50/50+80/50</t>
  </si>
  <si>
    <t>ВИС.Т ТС-401-5-5-3-1-Е Ду80/80+50/40</t>
  </si>
  <si>
    <t>ВИС.Т ТС-401-5-5-3-1-Е Ду80/80+80/50</t>
  </si>
  <si>
    <t>ВИС.Т ТС-401-5-5-3-1-Е Ду80/80+80/80</t>
  </si>
  <si>
    <t>ВИС.Т ТС-401-5-6-2-0-Е Ду80/80+40/40</t>
  </si>
  <si>
    <t>Вычислитель ВКТ-7-04-1-0-1</t>
  </si>
  <si>
    <t>Измеритель температуры ИТ-17С</t>
  </si>
  <si>
    <t>Имитатор расхода ИПР-4 для КМ-5</t>
  </si>
  <si>
    <t>Кабель PC-186-VDE-10M 10м Gembird</t>
  </si>
  <si>
    <t>Клапан для РДУК-200/140 в сборе с седлом</t>
  </si>
  <si>
    <t>Клеммник MA412-500M2 Deca 301-021-12</t>
  </si>
  <si>
    <t>Клеммник МА412-500М3 Deca 301-031-12</t>
  </si>
  <si>
    <t>КМ-5-1-С-1ПР100/нет-В1-ИСП1-Ф-0-П100-0Р</t>
  </si>
  <si>
    <t>КМ-5-1-С-1ПР25/нет-В1-ИСП1-Ф-0-П100-0Р-0</t>
  </si>
  <si>
    <t>КМ-5-1-С-1ПР32/нет-В1-ИСП1-Ф-0-П100-0Р-0</t>
  </si>
  <si>
    <t>КМ-5-1-С-1ПР40/нет-В1-ИСП1-Ф-0-П100-0Р-0</t>
  </si>
  <si>
    <t>КМ-5-1-С-1ПР50/нет-В1-ИСП1-Ф-0-П100-0Р-0</t>
  </si>
  <si>
    <t>КМ-5-1-С-1ПР80/нет-В1-ИСП1-Ф-0-П100-0Р-0</t>
  </si>
  <si>
    <t>КМ-5-2-С-2ПР25-В1-ИСП1-Ф-0-pt100-0Р-0-1</t>
  </si>
  <si>
    <t>КМ-5-2-С-2ПР32-В1-ИСП1-Ф-0-pt100-0Р-0-1</t>
  </si>
  <si>
    <t>КМ-5-2-С-2ПР40-В1-ИСП1-Ф-0-pt100-0Р-0-1</t>
  </si>
  <si>
    <t>КМ-5-2-С-2ПР50-В1-ИСП1-Ф-0-pt100-0Р-0-1</t>
  </si>
  <si>
    <t>КМ-5-2-С-2ПР65-В1-ИСП1-Ф-0-pt100-0Р-0-1</t>
  </si>
  <si>
    <t>КМ-5-2-С-2ПР80-В1-ИСП1-Ф-0-pt100-0Р-0-1</t>
  </si>
  <si>
    <t>КМ-5-4-С-2ПР100/80-В1-ИСП1-Ф-0-pt100-0Р</t>
  </si>
  <si>
    <t>КМ-5-4-С-2ПР25-В1-ИСП1-Ф-0-pt100-0Р-0-1</t>
  </si>
  <si>
    <t>КМ-5-4-С-2ПР32/25-В1-ИСП1-Ф-0-pt100-0Р-0</t>
  </si>
  <si>
    <t>КМ-5-4-С-2ПР32-В1-ИСП1-Ф-0-pt100-0Р-0-1</t>
  </si>
  <si>
    <t>КМ-5-4-С-2ПР40/32-В1-ИСП1-Ф-0-pt100-0Р-0</t>
  </si>
  <si>
    <t>КМ-5-4-С-2ПР40-В1-ИСП1-Ф-0-pt100-0Р-0-1</t>
  </si>
  <si>
    <t>КМ-5-4-С-2ПР50/32-В1-ИСП1-Ф-0-pt100-0Р</t>
  </si>
  <si>
    <t>КМ-5-4-С-2ПР50/40-В1-ИСП1-Ф-0-pt100-0Р-0</t>
  </si>
  <si>
    <t>КМ-5-4-С-2ПР50-В1-ИСП1-Ф-0-pt100-0Р-0-1</t>
  </si>
  <si>
    <t>КМ-5-4-С-2ПР65/50-В1-ИСП1-Ф-0-pt100-0Р-0</t>
  </si>
  <si>
    <t>КМ-5-4-С-2ПР65-В1-ИСП1-Ф-0-pt100-0Р-0-1</t>
  </si>
  <si>
    <t>КМ-5-4-С-2ПР80/50-В1-ИСП1-Ф-0-pt100-0Р-0</t>
  </si>
  <si>
    <t>КМ-5-4-С-2ПР80-В1-ИСП1-Ф-0-pt100-0Р-0-1</t>
  </si>
  <si>
    <t>Комплект термопр. КТСП-Н 5.0.02.00.4.3.3</t>
  </si>
  <si>
    <t>Комплект термопр. КТСП-Н 5.0.04.00.4.3.3</t>
  </si>
  <si>
    <t>Комплект термопр. КТСП-Н 5.0.05.00.4.3.3</t>
  </si>
  <si>
    <t>Комплект термопреобр. КТС-Б тип 3 100мм</t>
  </si>
  <si>
    <t>Комплект термопреобр. КТС-Б тип 3 60мм</t>
  </si>
  <si>
    <t>Конденсатор CC0805JRX7R9BB103 Yageo</t>
  </si>
  <si>
    <t>Конденсатор T491B106K016AT Kemet</t>
  </si>
  <si>
    <t>Конденсатор T491B226K016AT Kemet</t>
  </si>
  <si>
    <t>Конденсатор Tecap 22мкФ 16В Hitachi Aic</t>
  </si>
  <si>
    <t>Конденсатор КД2 50В 0,1мкФ</t>
  </si>
  <si>
    <t>Конденсатор СС0805JRX7R9BB104 Yageo</t>
  </si>
  <si>
    <t>Контроллер Icpdas I-7188XA</t>
  </si>
  <si>
    <t>КТПТР-01-2-100П-160</t>
  </si>
  <si>
    <t>КТСПР 001-1-100П-1,391-2-160</t>
  </si>
  <si>
    <t>КТСПР 001-1-100П-1,391-4-100</t>
  </si>
  <si>
    <t>Микросхема 24LC16B-I/SN SO-8</t>
  </si>
  <si>
    <t>Микросхема AD780ANZ DIP-8</t>
  </si>
  <si>
    <t>Микросхема AD780BR SO-8</t>
  </si>
  <si>
    <t>Микросхема ADG407BN PDIP-28</t>
  </si>
  <si>
    <t>Микросхема ADG411BN DIP-16</t>
  </si>
  <si>
    <t>Микросхема ADG411BR</t>
  </si>
  <si>
    <t>Микросхема ADG419BR</t>
  </si>
  <si>
    <t>Микросхема AT29C040A DIP</t>
  </si>
  <si>
    <t>Микросхема IRF7343PBF Internat.Rectifier</t>
  </si>
  <si>
    <t>Микросхема MAX397EWI SO-28</t>
  </si>
  <si>
    <t>Микросхема MC79L15ACD SO-8</t>
  </si>
  <si>
    <t>Микросхема MSP430F149IPM QFP-64</t>
  </si>
  <si>
    <t>Микросхема OP97FS</t>
  </si>
  <si>
    <t>Микросхема КР512ПС10 DIP-16</t>
  </si>
  <si>
    <t>Модуль ввода Icpdas I-7067D</t>
  </si>
  <si>
    <t>Переключатель SWD1-6 DIP</t>
  </si>
  <si>
    <t>Плата ВАУМ.687254.024-01</t>
  </si>
  <si>
    <t>Плата имитатора ВАУМ.687253,017</t>
  </si>
  <si>
    <t>Плата ИСТВ.687254.026-01</t>
  </si>
  <si>
    <t>Плата платформа подключ. КМ-5-6И вер. V4</t>
  </si>
  <si>
    <t>Плата платформа подключения КМ-5 вер. 8В</t>
  </si>
  <si>
    <t>Плата процессорного блока для SA-9304</t>
  </si>
  <si>
    <t>Платформа подключения для ППС-1П-И2</t>
  </si>
  <si>
    <t>Повторитель RS-232 Icpdas I-7551</t>
  </si>
  <si>
    <t>Преобраз. расх ПРЭМ-32-L0-0-0-B1 сэндвич</t>
  </si>
  <si>
    <t>Прибор микропроцессорный Элтеко К3</t>
  </si>
  <si>
    <t>Принтер Epson LX-300+II А4</t>
  </si>
  <si>
    <t>Расходомер Взлёт ЭР ЭРСВ-420Л Ду100</t>
  </si>
  <si>
    <t>Расходомер Взлёт ЭР ЭРСВ-420Л Ду25</t>
  </si>
  <si>
    <t>Расходомер Взлёт ЭР ЭРСВ-420Л Ду32</t>
  </si>
  <si>
    <t>Расходомер Взлёт ЭР ЭРСВ-420Л Ду50</t>
  </si>
  <si>
    <t>Расходомер Взлёт ЭР ЭРСВ-420Л Ду80</t>
  </si>
  <si>
    <t>Расходомер Взлёт ЭР ЭРСВ-430Л Ду100</t>
  </si>
  <si>
    <t>Расходомер Взлёт ЭР ЭРСВ-430Л Ду25</t>
  </si>
  <si>
    <t>Расходомер Взлёт ЭР ЭРСВ-430Л Ду32</t>
  </si>
  <si>
    <t>Расходомер Взлёт ЭР ЭРСВ-430Л Ду80</t>
  </si>
  <si>
    <t>Регулятор управления тип КВ РДУК-2В-200</t>
  </si>
  <si>
    <t>Регулятор управления тип КН РДУК-2Н-200</t>
  </si>
  <si>
    <t>Резистор С2-23-0,125-15КОм 5%</t>
  </si>
  <si>
    <t>Резистор С2-23-0,125-2КОм 5%-А-В-В</t>
  </si>
  <si>
    <t>Резистор С2-23-0,125-39Ом 5%-А-В-В</t>
  </si>
  <si>
    <t>Резистор С2-23-0,125-47кОм 5%-Б-В-В</t>
  </si>
  <si>
    <t>Резистор С2-23-0,25-220Ом 1%-А-В-В</t>
  </si>
  <si>
    <t>Резистор С2-23-0,5-15Ом 5%</t>
  </si>
  <si>
    <t>РСМ-05.05-ПРП-25-0-0-0-0-0-0-1-2-2-220</t>
  </si>
  <si>
    <t>РСМ-05.05-ПРП-32-0-0-0-0-0-0-1-2-2-220</t>
  </si>
  <si>
    <t>РСМ-05.05-ПРП-50-0-0-0-0-0-0-1-2-2-220</t>
  </si>
  <si>
    <t>РСМ-05.07-ПРП-100-100-0-0-0-0-0-0-1-2-2</t>
  </si>
  <si>
    <t>РСМ-05.07-ПРП-100-50-0-0-0-0-0-0-1-2-2</t>
  </si>
  <si>
    <t>РСМ-05.07-ПРП-100-80-0-0-0-0-0-0-1-2-2</t>
  </si>
  <si>
    <t>РСМ-05.07-ПРП-25-25-0-0-0-1-0-0-1-2-2</t>
  </si>
  <si>
    <t>РСМ-05.07-ПРП-32-32-0-0-0-0-0-0-1-2-2</t>
  </si>
  <si>
    <t>РСМ-05.07-ПРП-50-32-0-0-0-0-0-0-1-2-2</t>
  </si>
  <si>
    <t>РСМ-05.07-ПРП-50-50-0-0-0-0-0-0-1-2-2</t>
  </si>
  <si>
    <t>РСМ-05.07-ПРП-80-50-0-0-0-0-0-0-1-2-2</t>
  </si>
  <si>
    <t>РСМ-05.07-ПРП-80-80-0-0-0-0-0-0-1-2-2</t>
  </si>
  <si>
    <t>VA2305M-1-0-100-D-1,0-2</t>
  </si>
  <si>
    <t>VA2305M-1-0-25-D-0,1-2</t>
  </si>
  <si>
    <t>VA2305M-1-0-40-D-0,2-2</t>
  </si>
  <si>
    <t>VA2305M-1-0-50-D-0,25-2</t>
  </si>
  <si>
    <t>VA2305M-1-0-80-D-1,0-2</t>
  </si>
  <si>
    <t>Устройство переноса данных УПД-2У</t>
  </si>
  <si>
    <t>Элемент гальв. Minamoto ER26500/С1 3,6В</t>
  </si>
  <si>
    <t>2010г.</t>
  </si>
  <si>
    <t>2011г</t>
  </si>
  <si>
    <t>2013г.</t>
  </si>
  <si>
    <t>Паспорт № 105505</t>
  </si>
  <si>
    <t>Паспорт № 122755, 122753</t>
  </si>
  <si>
    <t>Паспорт № 122752</t>
  </si>
  <si>
    <t>Паспорт № 112156, 112157, 112158, 31629</t>
  </si>
  <si>
    <t>Паспорт № 122760</t>
  </si>
  <si>
    <t>Паспорт № 122761, 122762, 122763, 122764, 122765, 122766, 122768, 122769, 122770</t>
  </si>
  <si>
    <t xml:space="preserve">Паспорт № 112170, 112171, 31579 </t>
  </si>
  <si>
    <t>Паспотр № 112180, 112181, 112182, 112183, 112184, 112185, 112781</t>
  </si>
  <si>
    <t>Паспорт № 112816, 112817, 112818</t>
  </si>
  <si>
    <t>Паспорт № 122820, 122821</t>
  </si>
  <si>
    <t>Паспорт № 112823, 112824</t>
  </si>
  <si>
    <t>Паспорт № 122826</t>
  </si>
  <si>
    <t>Паспорт № 122827</t>
  </si>
  <si>
    <t>Паспорт № 111268</t>
  </si>
  <si>
    <t>Паспорт № 122828, 122829, 122830</t>
  </si>
  <si>
    <t>Паспорт № 122831, 122832, 122833, 122834, 122835, 122836, 122837</t>
  </si>
  <si>
    <t xml:space="preserve">Паспорт № 112248, 112249, 30989, 30999 </t>
  </si>
  <si>
    <t>Паспорт № 106348, 106352, 106350</t>
  </si>
  <si>
    <t>Паспорт № 112246, 112194, 112196, 112235, 31199</t>
  </si>
  <si>
    <t>Паспорт № 106280, 106282, 106281, 31429, 31419</t>
  </si>
  <si>
    <t xml:space="preserve">Пасорт № 106283, 106284, 106286, 106287 </t>
  </si>
  <si>
    <t>Паспорт № 122874</t>
  </si>
  <si>
    <t>Паспорт № 106291, 106288, 106292</t>
  </si>
  <si>
    <t xml:space="preserve">Паспорт № 112540, </t>
  </si>
  <si>
    <t>Паспорт № 122876, 122877</t>
  </si>
  <si>
    <t>Паспорт № 112252</t>
  </si>
  <si>
    <t>Паспорт № 122878</t>
  </si>
  <si>
    <t xml:space="preserve">Паспорт № 106343, 106344, 106345, 106346, 106347, 31009, 31019 </t>
  </si>
  <si>
    <t>Паспорт № 112243, 112244, 112245, 112262, 111264</t>
  </si>
  <si>
    <t>Паспорт ВАУМ.407312.114-__ПС заводские № 112241, 112242, 112267, 112240, 112266, 112265, 31089</t>
  </si>
  <si>
    <t xml:space="preserve">Паспорт № 106309, 106310, 106311, 106312, </t>
  </si>
  <si>
    <t>Пасорт № 105355, 105509, 106313, 106314, 106316, 106,317, 111271, 31179</t>
  </si>
  <si>
    <t>Паспорт № 112195, 122883, 122882</t>
  </si>
  <si>
    <t>Паспорт № 112229, 112230, 112231, 112232, 112233, 112234, 106320, 106321</t>
  </si>
  <si>
    <t>Паспорт № 106323, 106324, 106325, 106326, 106327</t>
  </si>
  <si>
    <t>Паспорт № 112221, 105514, 112222, 112278, 106337, 106334</t>
  </si>
  <si>
    <t>Паспорт № 112218, 112220, 105359, 106338, 106339, 106342, 31349</t>
  </si>
  <si>
    <t>Паспорт № 112255, 112256, 112257, 106358, 106359, 106361, 106362</t>
  </si>
  <si>
    <t>Паспорт № 122899, 122898</t>
  </si>
  <si>
    <t>Паспорт №122900</t>
  </si>
  <si>
    <t>Паспорт №122901</t>
  </si>
  <si>
    <t>Паспорт № 340916</t>
  </si>
  <si>
    <t>Паспорт № 357108</t>
  </si>
  <si>
    <t>Паспорт № 357055, 357182, 356338, 357057, 357073, 357056, 357060, 357052, 357049, 357048, 356332, 356337, 357177, 357189, 357074, 357061, 357044, 357050</t>
  </si>
  <si>
    <t>Паспорт № 355542, 355952, 355944, 355940</t>
  </si>
  <si>
    <t>Паспорт № 352392, 354585, 340572</t>
  </si>
  <si>
    <t>Паспорт № 352201, 353086, 341280, 353536, 353542</t>
  </si>
  <si>
    <t>Паспорт № 324295/324257, 323112/323009, 316904/316859, 308638/308611, 308889/308867, 309314/309262, 309318/309256, 308895/308873</t>
  </si>
  <si>
    <t>Паспорт № 355635/355576, 356335/356314, 356107/356063, 356838/356826, 356336/356308, 356837/356827, 356837/356827, 356330/356315,357728/357704</t>
  </si>
  <si>
    <t>Паспорт № 357788/357750, 357825/357807, 357784/357756, 357827/357809, 357782/357749, 357820/357802, 357832/357798, 357816/357801, 357830/357813, 357831/357808, 357785/357748, 357741/357483</t>
  </si>
  <si>
    <t>Паспорт № 357864/357835, 357904/357884, 355179/355162, 357675/357666, 355191/355146, 357859/357843, 357860/357836, 357906/357890, 355610/355551, 357857/357854, 357872/357851, 357862/357849, 357874/357833, 357875/357850</t>
  </si>
  <si>
    <t>Паспорт № 355631/355581, 355619/355580, 357566/357563, 355620/355594, 309177/309150,306175/306143, 309171/309132</t>
  </si>
  <si>
    <t>Паспорт № 355826/355776, 355847/355767, 356354/356409, 357308/357290, 357311/357282, 357127/357120, 357144/357122, 355816/355777, 357128/357121, 355842/355771, 355821/355760, 357310/357286, 355825/355769</t>
  </si>
  <si>
    <t xml:space="preserve">Паспорт № 334448/334374, 307214/307191, 353750/353738, </t>
  </si>
  <si>
    <t>Паспорт № 358017/357993, 358020/358010, 357793/357763, 358019/357988, 357792/357760, 357780/357761, 357795/357772, 358018/357998, 359096/356079, 358023/358006, 357794/357777, 357787/357776, 357790/357759, 356878/356863, 355748/355683, 357789/357778, 358022/358008, 356103/056087, 355740/355681, 356880/356855, 357783/357775, 358016/358007, 356882/356861, 357791/357758</t>
  </si>
  <si>
    <t>Паспорт № 331257/331073, 341650/341863, 341857/341862, 331367/331047, 331365/331037, 341846/341867, 331223/331027</t>
  </si>
  <si>
    <t>Паспорт № 309241/309193, 354975/354962, 356007/355986, 356016/355978, 356005/355967, 356021/355972, 356039/355984, 353060/352026</t>
  </si>
  <si>
    <t>Паспорт № 330795/330754, 330820/330737, 330785/330760, 330822/330756, 330815/330734</t>
  </si>
  <si>
    <t>Паспорт № 330985/330870, 330995/330851, 331201/331169, 331198/331183, 331203/331140, 331194/331178, 330980/330859, 330986/330873, 331204/331168, 353973/353887, 356648/356643, 330982/330860, 330962/330852, 353846/353897, 331202/331313, 331196/331166, 331195/331156, 353969/353898, 330963/330833</t>
  </si>
  <si>
    <t>Паспорт № 356652/356640, 356699/356688, 355717/355668</t>
  </si>
  <si>
    <t>Паспорт № 357071/356893, 357779/354690, 353845/353837, 357053/356952, 353859/353842, 354757/354694, 354758/354697, 339853/339483, 354760/354693</t>
  </si>
  <si>
    <t>Паспорт № 305124/305066, 306197/306156, 306200/306111, 355401/355111, 356034/356000, 356026/356002, 355139/355386</t>
  </si>
  <si>
    <t>Паспорт  № 331493/331529, 357316/357234, 357296/357231, 357297/357249, 357318/357245, 357298/357240</t>
  </si>
  <si>
    <t>Паспорт № 333523/333247, 332219/331510, 334322/334293, 334251/334187, 334220/334164, 334354/334299</t>
  </si>
  <si>
    <t>Паспорт № 159160, 159163, 159164, 159169, 159178, 159207, 159216, 159250, 159251, 159255</t>
  </si>
  <si>
    <t xml:space="preserve">Паспорт № 158818, 158948, 158699, 159056, 158685, 158690, 158957,  158977, 159056, 159045, 159046 </t>
  </si>
  <si>
    <t>Паспорт № 158436, 158833, 158836, 158980, 158981, 158986, 158987, 158991, 158995</t>
  </si>
  <si>
    <t>Паспорт № 176715, 270654, 270658, 270660, 270673, 270675</t>
  </si>
  <si>
    <t>Паспорт № 176898, 176769, 176852, 176774, 176900, 176777, 176896, 176815, 176780, 176814, 176778</t>
  </si>
  <si>
    <t>Паспорт № 176637, 176639, 176737, 176738, 176740, 176741, 176742, 176745, 176822, 176825, 176826, 176834, 176837</t>
  </si>
  <si>
    <t>Паспорт № 176543, 176766, 176551, 176763, 176759, 176764</t>
  </si>
  <si>
    <t>Паспорт № 176803, 176804, 176805, 176807, 176642, 176812, 176813, 177111, 177115</t>
  </si>
  <si>
    <t>Паспорт № 176631, 176635, 176648, 176649, 176673, 176871, 176682, 176887, 176991, 270473, 270477</t>
  </si>
  <si>
    <t>Паспорт № 270632, 270739</t>
  </si>
  <si>
    <t>Паспорт № 270749, 270733, 270700, 270732, 270740, 270743, 270748, 270690, 270718, 270721, 270730, 270704, 270701</t>
  </si>
  <si>
    <t>Паспорт № 270687, 270711, 270709, 270676, 270724, 270678, 270611, 270637, 270706, 270604, 270725, 270716, 270726, 270603</t>
  </si>
  <si>
    <t xml:space="preserve"> ВКТ-7-04-1-0-1</t>
  </si>
  <si>
    <t xml:space="preserve"> ИПР-4 для КМ-5</t>
  </si>
  <si>
    <t>CC0805JRX7R9BB103 Yageo</t>
  </si>
  <si>
    <t>T491B106K016AT Kemet</t>
  </si>
  <si>
    <t>T491B226K016AT Kemet</t>
  </si>
  <si>
    <t>Tecap 22мкФ 16В Hitachi Aic</t>
  </si>
  <si>
    <t>КД2 50В 0,1мкФ</t>
  </si>
  <si>
    <t>СС0805JRX7R9BB104 Yageo</t>
  </si>
  <si>
    <t>24LC16B-I/SN SO-8</t>
  </si>
  <si>
    <t>AD780ANZ DIP-8</t>
  </si>
  <si>
    <t xml:space="preserve"> AD780BR SO-8</t>
  </si>
  <si>
    <t xml:space="preserve"> ADG407BN PDIP-28</t>
  </si>
  <si>
    <t xml:space="preserve"> ADG411BN DIP-16</t>
  </si>
  <si>
    <t xml:space="preserve"> ADG411BR</t>
  </si>
  <si>
    <t xml:space="preserve"> ADG419BR</t>
  </si>
  <si>
    <t xml:space="preserve"> AT29C040A DIP</t>
  </si>
  <si>
    <t xml:space="preserve"> IRF7343PBF Internat.Rectifier</t>
  </si>
  <si>
    <t xml:space="preserve"> MAX397EWI SO-28</t>
  </si>
  <si>
    <t xml:space="preserve"> MC79L15ACD SO-8</t>
  </si>
  <si>
    <t xml:space="preserve"> MSP430F149IPM QFP-64</t>
  </si>
  <si>
    <t xml:space="preserve"> OP97FS</t>
  </si>
  <si>
    <t xml:space="preserve"> КР512ПС10 DIP-16</t>
  </si>
  <si>
    <t>КМ-5-6И вер. V4</t>
  </si>
  <si>
    <t xml:space="preserve"> КМ-5 вер. 8В</t>
  </si>
  <si>
    <t xml:space="preserve"> Epson LX-300+II А4</t>
  </si>
  <si>
    <t>НП-4А</t>
  </si>
  <si>
    <t xml:space="preserve"> Взлёт ЭР ЭРСВ-420Л Ду100</t>
  </si>
  <si>
    <t xml:space="preserve"> Взлёт ЭР ЭРСВ-420Л Ду25</t>
  </si>
  <si>
    <t xml:space="preserve"> Взлёт ЭР ЭРСВ-420Л Ду32</t>
  </si>
  <si>
    <t xml:space="preserve"> Взлёт ЭР ЭРСВ-420Л Ду50</t>
  </si>
  <si>
    <t xml:space="preserve"> Взлёт ЭР ЭРСВ-420Л Ду80</t>
  </si>
  <si>
    <t xml:space="preserve"> Взлёт ЭР ЭРСВ-430Л Ду100</t>
  </si>
  <si>
    <t xml:space="preserve"> Взлёт ЭР ЭРСВ-430Л Ду25</t>
  </si>
  <si>
    <t xml:space="preserve"> Взлёт ЭР ЭРСВ-430Л Ду32</t>
  </si>
  <si>
    <t>Взлёт ЭР ЭРСВ-430Л Ду80</t>
  </si>
  <si>
    <t xml:space="preserve"> С2-23-0,125-15КОм 5%</t>
  </si>
  <si>
    <t>С2-23-0,125-2КОм 5%-А-В-В</t>
  </si>
  <si>
    <t xml:space="preserve"> С2-23-0,125-39Ом 5%-А-В-В</t>
  </si>
  <si>
    <t xml:space="preserve"> С2-23-0,125-47кОм 5%-Б-В-В</t>
  </si>
  <si>
    <t xml:space="preserve"> С2-23-0,25-220Ом 1%-А-В-В</t>
  </si>
  <si>
    <t xml:space="preserve"> С2-23-0,5-15Ом 5%</t>
  </si>
  <si>
    <t>УПД-2У</t>
  </si>
  <si>
    <t>Minamoto ER26500/С1 3,6В</t>
  </si>
  <si>
    <t>Насос К-100-65-200a/2-5 18,5/2900</t>
  </si>
  <si>
    <t>Ревун переменного тока 3РВП 220</t>
  </si>
  <si>
    <t>Датчик напора НМП52 0-4</t>
  </si>
  <si>
    <t>М-150CG2(0-4кПа)2211L3AM5D52B1K01PA</t>
  </si>
  <si>
    <t>М-150CG1(0-1,6кПа)2211L3AM5D52K03РА</t>
  </si>
  <si>
    <t>Датчик-реле напора и тяги ДЕМ 107</t>
  </si>
  <si>
    <t>Датчик-реле давления DG-6UG-3</t>
  </si>
  <si>
    <t>Карман для датчика ZTF 222 800 698</t>
  </si>
  <si>
    <t>Датчик ZTF 222 Tem 800698</t>
  </si>
  <si>
    <t>Датчик т-ры ZTR 222</t>
  </si>
  <si>
    <t>Обратный клапан для сред.ж тип 812 Ду025</t>
  </si>
  <si>
    <t>Заглушка 32х3 Г17379-2001</t>
  </si>
  <si>
    <t>Угольник с фланцами DN 40</t>
  </si>
  <si>
    <t>Уголок с фланцами ду40</t>
  </si>
  <si>
    <t>Двухканальный измеритель-регулятор темпе</t>
  </si>
  <si>
    <t>Автомат контр. герм. ТС410-1Т 84765810А</t>
  </si>
  <si>
    <t>Труба М601 Dreizler</t>
  </si>
  <si>
    <t>Реле давления газа DG 50 B</t>
  </si>
  <si>
    <t>Электрод контр. КЭ-01-01 D10 L690</t>
  </si>
  <si>
    <t>Электрод 14/150/200 1-полюс. для М-301AR</t>
  </si>
  <si>
    <t>Электрод розжига М301</t>
  </si>
  <si>
    <t>Электрод розжига М601</t>
  </si>
  <si>
    <t>Электрод ионизации М601</t>
  </si>
  <si>
    <t>Подшипник 226</t>
  </si>
  <si>
    <t>Подшипник 5-60305 Ш2</t>
  </si>
  <si>
    <t>Подшипник 180609 АС17</t>
  </si>
  <si>
    <t>Подшипник 3626КН ГОСТ 5721-75</t>
  </si>
  <si>
    <t>Подшипник 226 ГОСТ 8338-75</t>
  </si>
  <si>
    <t>Подшипник 76-322 Ш1</t>
  </si>
  <si>
    <t>Подшипник 76-180204 Ш1</t>
  </si>
  <si>
    <t>Подшипник 5-180610 Ш2</t>
  </si>
  <si>
    <t>Подшипник 180607АС17 ГОСТ 8882-75</t>
  </si>
  <si>
    <t>Насос DPV 4-30 0,55/2900</t>
  </si>
  <si>
    <t>Изолятор ИОР-6-250 У3 6кВ</t>
  </si>
  <si>
    <t>Э/дв ас. АИР71B2У2 1,1/2800 IM3081 2р=2</t>
  </si>
  <si>
    <t>Электродвигатель АИРМ63 В4 0,37/1500</t>
  </si>
  <si>
    <t>Эл.двигатель АИР 71В2 1,1/3000</t>
  </si>
  <si>
    <t>Электродвигатель 4АМА100L2 5,5/3000</t>
  </si>
  <si>
    <t>Электродвигатель вентилятора Kper 80 G2</t>
  </si>
  <si>
    <t>Эл.двигатель вентил. ОМР 71 В2</t>
  </si>
  <si>
    <t>Э/дв ас. VEM KPER 80 G2 1,1/2830</t>
  </si>
  <si>
    <t>04.2013г.</t>
  </si>
  <si>
    <t>08.2013г.</t>
  </si>
  <si>
    <t>1-400-25 ст. 20 Г12820</t>
  </si>
  <si>
    <t>К-100-65-200a/2-5 18,5/</t>
  </si>
  <si>
    <t>3РВП 2</t>
  </si>
  <si>
    <t>НМП52 0-4</t>
  </si>
  <si>
    <t>Датчик избыточного давления Метран-55-Вн-ДИ-515-МП-t10-050-0,25МПа-42-С</t>
  </si>
  <si>
    <t>Колено сварное секторное 90-1020х14-2,5 09Г2С 160 ОСТ 34.10.752-97</t>
  </si>
  <si>
    <t>Колено сварное секторное 90-1220х14-2,5 09Г2С 162 ОСТ 34.10.752-97</t>
  </si>
  <si>
    <t>Колено сварное секторное 90-720х11-2,5 09Г2С 156 ОСТ 34.10.752-97</t>
  </si>
  <si>
    <t>Колено сварное секторное 90-820х11-2,5 09Г2С 158 ОСТ 34.10.752-97</t>
  </si>
  <si>
    <t>Отвод крутоизогнутый 30-325х10-20 ГОСТ 17375-2001</t>
  </si>
  <si>
    <t>Отвод сварной 90-1420х18-09Г2С-2,5 2,5МПа по серии 5.903-13 выпуск 1 ТС 583.000-255</t>
  </si>
  <si>
    <t>Отвод крутоизогнутый 90-630х12-20 ГОСТ 17375-2001</t>
  </si>
  <si>
    <t>Отвод сварной 90-920х14-09Г2С-2,5 2,5МПа по серии 5.903-13 выпуск 1 ТС-583.000-250</t>
  </si>
  <si>
    <t>Отводы 273*10мм</t>
  </si>
  <si>
    <t>Отводы 920*12 мм</t>
  </si>
  <si>
    <t>Теплосчётчик ВИС.Т ТС-200-3-3-2-1 Ду80/80 НПО Тепловизор</t>
  </si>
  <si>
    <t>Теплосчётчик ВИС.Т ТС-200-2-2-1-1 Ду40/40 НПО Тепловизор</t>
  </si>
  <si>
    <t>Механизм исполнительный электрический однооборотный рычажный МЭО-100/25-0,25-99 У 220/380В 50Гц IP54</t>
  </si>
  <si>
    <t>Теплосчётчик SA-94/2М-3-ПРН-040/040-ФЛ/ФЛ-Т-2-1-2/нет-1</t>
  </si>
  <si>
    <t>Теплосчётчик SA-94/2М-3-ПРН-050/050-ФЛ/ФЛ-Т-2-1-2/нет-1</t>
  </si>
  <si>
    <t>Теплосчётчик SA-94/2М-3-ПРН-080/080-ФЛ/ФЛ-Т-2-1-1/нет-1</t>
  </si>
  <si>
    <t>Миниконтактор В7-40-00 4п 12А 220В АВВ GJL1311201R8000</t>
  </si>
  <si>
    <t>Компенсатор сильфонный 1КСО-25-900</t>
  </si>
  <si>
    <t>Компенсатор сильфонный осевой КСО-25-1000-220</t>
  </si>
  <si>
    <t>Компенсатор сильфонный осевой КСО-25-900-210</t>
  </si>
  <si>
    <t>Клапан запорно-регулирующий фланцевый АГТ-71-200/16 Kv250 НПО Аркон</t>
  </si>
  <si>
    <t>Клапан запорно-регулирующий фланцевый  АГТ-71-65/16кв63</t>
  </si>
  <si>
    <t>Затвор поворотный дисковый Ду150 Pу16, ВА 99001-150-16-II-З-Е-ЭП-М-4-Б-7 ТУ 3741-001-29012225-2004</t>
  </si>
  <si>
    <t>Кран Ду50 Ру40 КШГ 70.110.050</t>
  </si>
  <si>
    <t>3.NV.1204-2002</t>
  </si>
  <si>
    <t>Паспорт, дата изготовления 25.09.2015г..</t>
  </si>
  <si>
    <t>3.NV.1206-2002</t>
  </si>
  <si>
    <t>(0609) ул. Днепропетровская, д.12Б</t>
  </si>
  <si>
    <t>(0606) Пролетарский пр-т, д.8,к.2, стр.3</t>
  </si>
  <si>
    <t>Задвижка 30ч6бр Ду125 Ру10</t>
  </si>
  <si>
    <t>Зонд ионизационный Изюмс-01-1-800</t>
  </si>
  <si>
    <t>30ч6бр Ду125 Ру10</t>
  </si>
  <si>
    <t>Изюмс-01-1-800</t>
  </si>
  <si>
    <t>Преобразоват. NXC 06506G2L0SSGA1B5B4B5C5</t>
  </si>
  <si>
    <t>Трансформатор KTK 800кВА 10/0,69кВ</t>
  </si>
  <si>
    <t>DS200-780-2502-1-1-2-100-800-1-00R</t>
  </si>
  <si>
    <t>Блок PLC-RSC-24DC/21AU 2966265</t>
  </si>
  <si>
    <t>ИПТВ-206-М3-04-1-160-PLT-164-5-360П-ГП</t>
  </si>
  <si>
    <t>Кабель TK 890F 10м ABB 3BDM000202R1</t>
  </si>
  <si>
    <t>Комплект радиоупр. А 24-8D Telecrane</t>
  </si>
  <si>
    <t>Контакт сигнальный SE GVAD1010</t>
  </si>
  <si>
    <t>Короб перф. T1-EF 60х80 DKC 01128</t>
  </si>
  <si>
    <t>Лампа ДРЛ 125W E-27 Полтава</t>
  </si>
  <si>
    <t>Лампа КГ 220-1000-5 1000Вт 220В</t>
  </si>
  <si>
    <t>Модем TB820V2 ABB 3BSE013208R1</t>
  </si>
  <si>
    <t>Модуль AI825 4-20мА ABB 3BSE036456R1</t>
  </si>
  <si>
    <t>Модуль DО820 ABB 3BSE008514R1</t>
  </si>
  <si>
    <t>Модуль ModuleBus TB807 ABB 3BSE008538R1</t>
  </si>
  <si>
    <t>Модуль TU810V1 ABB 3BSE013230R1</t>
  </si>
  <si>
    <t>Модуль TU811V1 ABB 3BSE013231R1</t>
  </si>
  <si>
    <t>Модуль ТU847 ABB 3BSE022462R1</t>
  </si>
  <si>
    <t>Наконечник токосъемный d 1,2мм</t>
  </si>
  <si>
    <t>Патрон К-4</t>
  </si>
  <si>
    <t>Перекл. пакетный ПМОФ90-111</t>
  </si>
  <si>
    <t>Пластина PLC-ATP BK 2966841</t>
  </si>
  <si>
    <t>Плата OPT-AN-V Vacon</t>
  </si>
  <si>
    <t>Плата SNMP-интерфейса C-IS-WEBL Emerson</t>
  </si>
  <si>
    <t>Порт TB842 ABB 3BSE022464R1</t>
  </si>
  <si>
    <t>Разделитель MINI MCR-SL-UI-2I-NC 2864176</t>
  </si>
  <si>
    <t>Разъём SUBCON 25/M-SH 2761622</t>
  </si>
  <si>
    <t>Расходомер-счётчик УРСВ-510ц/T Ду1200</t>
  </si>
  <si>
    <t>Реле H3YN-4 24DC Omron</t>
  </si>
  <si>
    <t>Реле MY4N-D2 24VDC (S) Omron</t>
  </si>
  <si>
    <t>Розетка JECK RJ-45</t>
  </si>
  <si>
    <t>Розетка RJ-11 телефонная накладная</t>
  </si>
  <si>
    <t>Схема логическая SS832 ABB 3BSC610068R1</t>
  </si>
  <si>
    <t>Узел УКП №2012.НПС410968</t>
  </si>
  <si>
    <t>Шкаф ОН №2011.НПС410722</t>
  </si>
  <si>
    <t>Шкаф ШРН-1М-2/50 н/разом. контакты</t>
  </si>
  <si>
    <t>Шкаф ШУТЗ №2012.НПС410968</t>
  </si>
  <si>
    <t>Паспорт Б/Н</t>
  </si>
  <si>
    <t>Сертификат №РОСС RU.ГБ06.В01051(бланк №0271899) с 11.10.2011 по 11.10.2014</t>
  </si>
  <si>
    <t>Сертификат №РОСС TW.Н01270 от 03.04.2012 (бланк № 0513413)</t>
  </si>
  <si>
    <t>Отказное письмо Б/Н</t>
  </si>
  <si>
    <t>Сертификат № ТС RU C-BY.АВ02.В.00148 Серия RU №0024014 с 01.08.2012 по 31.07.2015</t>
  </si>
  <si>
    <t>Сертификат № РОСС DE.АВ76.В01773 от 04.02.2013 (бланк № 0906443)</t>
  </si>
  <si>
    <t>Отказное письмо №101-КС/917 от 01.08.2013</t>
  </si>
  <si>
    <t>Сертификат об утверждении типа средств измерений GB.C.29.004.A №25224 действителен до 01.10.2011</t>
  </si>
  <si>
    <t>Кран Bohmer BBF/KSF-R Ду300 Ру40 SA07.6</t>
  </si>
  <si>
    <t>Кран Bohmer BBF/KSF-V Ду250 Ру40 AB1222</t>
  </si>
  <si>
    <t>Кран B-TF-P25-600-C-W4-B-W ред.</t>
  </si>
  <si>
    <t>Кран KMC B1-1-R-015-PN25-000-L-E-2</t>
  </si>
  <si>
    <t>Кран шар Баллостар под приварку полнопро</t>
  </si>
  <si>
    <t>Удлинение для шарового крана ф.800мм ред</t>
  </si>
  <si>
    <t>Устройство 2УКОУ 1000-2,5-200/О+-220/ПП</t>
  </si>
  <si>
    <t>Устройство 2УКОУ 900-2,5-200/О+-210/ПП</t>
  </si>
  <si>
    <t>Паспорт № 1105/4, 1105/6, 1105/7, 1105/8, 1105/9, 1105/10, 1105/11</t>
  </si>
  <si>
    <t>Паспорт № 1105/1</t>
  </si>
  <si>
    <t>Отвод 90-630х10-20 Г17375</t>
  </si>
  <si>
    <t>Отвод 90-630х10-20 Г30753</t>
  </si>
  <si>
    <t>Отвод 90-630х12-20 Г30753</t>
  </si>
  <si>
    <t>Отводы 1420*18мм</t>
  </si>
  <si>
    <t>Отводы 530*10мм</t>
  </si>
  <si>
    <t>Фильтр грязевик ТС-567 Ду200 Ру25 п/пр.</t>
  </si>
  <si>
    <t>Фильтр грязевик ТС-568 Ду1000 Ру16 п/пр.</t>
  </si>
  <si>
    <t>Паспорт № 15454 от 12.08.2013</t>
  </si>
  <si>
    <t>Паспорт № 1328 от 24.10.2012</t>
  </si>
  <si>
    <t>Паспорт № 24465 от 02.04.2012</t>
  </si>
  <si>
    <t>Паспорт № 1814 от 07.11.2012</t>
  </si>
  <si>
    <t>Паспорт № 00480 от 20.02.2012</t>
  </si>
  <si>
    <t>Дверь Dacobas 12U Knur 01.322.050.9</t>
  </si>
  <si>
    <t>Катод Lincoln Electric W03X0893-60A</t>
  </si>
  <si>
    <t>Лента-ПП 15,0х0,8ммх2000м Дувн200</t>
  </si>
  <si>
    <t>Манжета 1,2-30х52-1 ГОСТ 8752-79</t>
  </si>
  <si>
    <t>Метеокомплект МК-3М "Бриз"</t>
  </si>
  <si>
    <t>Набивка ПГН 3100 14х14 НПП ПромГрафит</t>
  </si>
  <si>
    <t>Набивка ПГН 3100 20х20 НПП ПромГрафит</t>
  </si>
  <si>
    <t>Наконечник Lincoln Electric W03X0893-64A</t>
  </si>
  <si>
    <t>Подшипник 6-314 ГОСТ 8228-75</t>
  </si>
  <si>
    <t>Подшипник верхний</t>
  </si>
  <si>
    <t>Сальник BLO 20 G</t>
  </si>
  <si>
    <t>Сальник BLO 25G</t>
  </si>
  <si>
    <t>Скоба PP16 1000шт/уп</t>
  </si>
  <si>
    <t>Стекла запасные ТС2Г-1</t>
  </si>
  <si>
    <t>Фильтр VS B.FLT G4 490x490</t>
  </si>
  <si>
    <t>Фильтр VS B.FLT G4 SET 2 490x490</t>
  </si>
  <si>
    <t>Шпилька М-52Х250</t>
  </si>
  <si>
    <t>Отвод 90-89х3,5-20 Г17375 оцинк.</t>
  </si>
  <si>
    <t>Декларация о соответствии РОСС US.АГ 75.Д18593 от 26.10.2012</t>
  </si>
  <si>
    <t>Сертификат № РОСС RU.АГ93.Н06019 от 27.12.2012 (бланк № 0935940)</t>
  </si>
  <si>
    <t>602-025 Редуктор1'' понижения давл.</t>
  </si>
  <si>
    <t>602-032 Редуктор1 1/4'' понижения давл.</t>
  </si>
  <si>
    <t>АУПД Гранлевел 2DPV 4/8 1,5 РР/П БР 1600</t>
  </si>
  <si>
    <t>Втулка статорная Графлекс Ду74</t>
  </si>
  <si>
    <t>Дроссель в сборе 6622.05.05 д/РДУК2-200</t>
  </si>
  <si>
    <t>Дроссель М16хМ16 для РДУК,РДБК дв. 1,5</t>
  </si>
  <si>
    <t>Дроссель М16хМ16 для РДУК,РДБК од. 2</t>
  </si>
  <si>
    <t>Дроссель М16хМ20 для РДУК,РДБК од. 1,5</t>
  </si>
  <si>
    <t>Дроссель М16хМ20 для РДУК,РДБК од. 2</t>
  </si>
  <si>
    <t>Затвор BFC800W2/GS Ду800 Ру25 А Vexve</t>
  </si>
  <si>
    <t>Затвор Ду200 Ру16 ЗП-ТЛ-FLN-5-200-MDV-HT</t>
  </si>
  <si>
    <t>Кабель Helukabel J-Y (ST)Y 1х2х0,8 33035</t>
  </si>
  <si>
    <t>Клапан BM5/150 OS/80X-BPA-D 0,75/0,05bar</t>
  </si>
  <si>
    <t>Клапан RA-N Ду20 Ру10 Danfoss 013G0016</t>
  </si>
  <si>
    <t>Клапан Ду150, Ballorex-S 3935600-605005</t>
  </si>
  <si>
    <t>Клапан ПСК-50Пн/20</t>
  </si>
  <si>
    <t>Компенсатор 40-13-4992 для ГТД-6РМ</t>
  </si>
  <si>
    <t>Компенсатор 820707220 для ГТД-6РМ</t>
  </si>
  <si>
    <t>Компенсатор В 60715710 для ГТД-6РМ</t>
  </si>
  <si>
    <t>Компенсатор Н 40705190 для ГТД-6РМ</t>
  </si>
  <si>
    <t>Компенсатор Н 50705440 для ГТД-6РМ</t>
  </si>
  <si>
    <t>Кран КНSVi-250-YII-KFC/AF Ру40</t>
  </si>
  <si>
    <t>Кран прбко-сальник 11Бббк.ДУ.15</t>
  </si>
  <si>
    <t>Муфта 4СТп-1-25/50</t>
  </si>
  <si>
    <t>Муфта концевая 3КВТП-10-25/50</t>
  </si>
  <si>
    <t>Муфта концевая 3КВТп-10-25/50 ПЗЭМИ</t>
  </si>
  <si>
    <t>Муфта концевая 3КВТп-10-70/120 ПЗЭМИ</t>
  </si>
  <si>
    <t>Муфта концевая 4КВПТ-1-70/120</t>
  </si>
  <si>
    <t>Муфта концевая 4КВтп-МСК-в-25/50 ПЗЭМИ</t>
  </si>
  <si>
    <t>Муфта соединит. 3СТП-10-150/240-Б</t>
  </si>
  <si>
    <t>Муфта соединит. 3СТП-10-25/50 с гильзами</t>
  </si>
  <si>
    <t>Муфта соединит. 3СТп-10-25/50-Б</t>
  </si>
  <si>
    <t>Насос AKN-100/2 ф190 18,5/3000</t>
  </si>
  <si>
    <t>Насос AL-1106/2 ф213 22/3000</t>
  </si>
  <si>
    <t>Насос AL-1106/2 ф232 30/3000</t>
  </si>
  <si>
    <t>Насос KN-65/2 ф180 15/3000</t>
  </si>
  <si>
    <t>Предохранитель для турбины В61100031</t>
  </si>
  <si>
    <t>Прокладка к ПТО H17 10751488</t>
  </si>
  <si>
    <t>Прокладка к ПТО N50 17275011</t>
  </si>
  <si>
    <t>Прокладка к ПТО Q030 30300216</t>
  </si>
  <si>
    <t>Прокладка к ПТО Q055 30610287</t>
  </si>
  <si>
    <t>Прокладка к ПТО Q080 30610306</t>
  </si>
  <si>
    <t>Прокладка к ПТО R55 17551019</t>
  </si>
  <si>
    <t>Прокладка к ПТО U 17965042</t>
  </si>
  <si>
    <t>Прокладка ПАГФ-Г-П1-00-18х6х2</t>
  </si>
  <si>
    <t>Пруж. стабил. PS/79 2бар 0101210</t>
  </si>
  <si>
    <t>Пружина пилота КН РДБК1-200</t>
  </si>
  <si>
    <t>Регулятор ASV-PV Ду20 Danfoss 003L7602</t>
  </si>
  <si>
    <t>Регулятор FL-BP-SRS/150X300 PS/79-2 0,75</t>
  </si>
  <si>
    <t>Регулятор РДУК-2В-50/35 Ду50 Ру12</t>
  </si>
  <si>
    <t>Регулятор управл. РДУК КВ</t>
  </si>
  <si>
    <t>Регулятор управл. РДУК КН</t>
  </si>
  <si>
    <t>Регулятор управления тип КВ РДБК1-200</t>
  </si>
  <si>
    <t>Ручка к крану WK-2a (Ду65,Ду100) EFAR</t>
  </si>
  <si>
    <t>Свеча зажигания СП-06ВП</t>
  </si>
  <si>
    <t>Седло D70 с клапаном регулятора РДУК2</t>
  </si>
  <si>
    <t>Сетка фильтра F3240 Ду250 Tecofi</t>
  </si>
  <si>
    <t>Спецболт М16х1,5 РДБК ПФ Газсервис</t>
  </si>
  <si>
    <t>Трубопровод В 60810670 для ГТД-6РМ</t>
  </si>
  <si>
    <t>Уплотнение GC16 EPDM РоСВЕП-СЕРВИС</t>
  </si>
  <si>
    <t>Уплотнение GX12 EPDM РоСВЕП-СЕРВИС</t>
  </si>
  <si>
    <t>Уплотнение GX18 EPDM РоСВЕП-СЕРВИС</t>
  </si>
  <si>
    <t>Уплотнение GX42 EPDM РоСВЕП-СЕРВИС</t>
  </si>
  <si>
    <t>Уплотнение GX7 EPDM РоСВЕП-СЕРВИС</t>
  </si>
  <si>
    <t>Уплотнение M10-M EPDMC 3233015093</t>
  </si>
  <si>
    <t>Уплотнение M15-М EPDMC 3233018043</t>
  </si>
  <si>
    <t>Уплотнение M3 EPDCT 3226309543</t>
  </si>
  <si>
    <t>Уплотнение M6 EPDMC 3233014043</t>
  </si>
  <si>
    <t>Уплотнение M6-М NBRP 3233066346</t>
  </si>
  <si>
    <t>Уплотнение М6-М EPDMC 3233014193</t>
  </si>
  <si>
    <t>Фильтр Y222P Ду20 Ру25 Danfoss 149B5160</t>
  </si>
  <si>
    <t>Э/п Н-Г-03 У2 Б099.102-03М</t>
  </si>
  <si>
    <t>Электрод UNI CAST VS ф4х450 НАКС FSH WG</t>
  </si>
  <si>
    <t>Электрод ЦТ-15 ф5 Э-08Х19Н10Г2Б Г9466-75</t>
  </si>
  <si>
    <t>Электрод Э-07Х20Н9-ОЗЛ-8-ф3-ВД-Е</t>
  </si>
  <si>
    <t>Электрозаслонка ЭЛЗ-7</t>
  </si>
  <si>
    <t>Электропр. возд. зас. Polar Bear DAF2.06</t>
  </si>
  <si>
    <t>паспорт б/н</t>
  </si>
  <si>
    <t>GSM-K антенна</t>
  </si>
  <si>
    <t>R-3051-CD-1-M-2-2-A-1-A-IM-C2</t>
  </si>
  <si>
    <t>R-3051-CD-2-M-2-2-A-1-A-IM-C2</t>
  </si>
  <si>
    <t>R-3051-TA-2-M-2B-2-1-A-B4-IM-C2</t>
  </si>
  <si>
    <t>SA-94/2-3-ПРН-100/080-Ф/Ф-Т-3-1-2/2-1</t>
  </si>
  <si>
    <t>SA-94/2М-1-ПРН-040/040-Ф/Ф-Т-3-1-1/1-1</t>
  </si>
  <si>
    <t>SA-94/3-C-3-ЕК-150/150-Ф/Ф-Т-2-1-1/н-1-4</t>
  </si>
  <si>
    <t>АКБ Acer LC.BTP00.129 LI-ION 3cell 3S1P</t>
  </si>
  <si>
    <t>Амперметр AMT 1/A1 без шкалы, кл.1,5</t>
  </si>
  <si>
    <t>Амперметр Э 365-2 200-1000А т/т200/5А</t>
  </si>
  <si>
    <t>Амперметр ЭА 0701 100А кл.1,5</t>
  </si>
  <si>
    <t>Блок аккумулятора для АНКАТ-7664М .</t>
  </si>
  <si>
    <t>Блок горелочный защитный Б97 к АСУ-ПТВМ</t>
  </si>
  <si>
    <t>Блок датчика CH4 сигнализ. СТГ-1</t>
  </si>
  <si>
    <t>Блок питания БП-5B</t>
  </si>
  <si>
    <t>Блок питания Метран-604</t>
  </si>
  <si>
    <t>Вентилятор ВР-300-45-4 1,5/930 Л</t>
  </si>
  <si>
    <t>Вентилятор ВР-300-45-4 7,5/1430 Л</t>
  </si>
  <si>
    <t>Вентилятор ВЦ 14-46-4 11/1500 Л</t>
  </si>
  <si>
    <t>Вентилятор ВЦ 14-46-4 11/1500 Пр</t>
  </si>
  <si>
    <t>Вольтметр цифровой В7-53/1</t>
  </si>
  <si>
    <t>Вставка белая Makel Mimoza 10321</t>
  </si>
  <si>
    <t>Выкл. ВА57-39-340010-20УХЛЗ 400А/1000А</t>
  </si>
  <si>
    <t>Газосигнализатор ИГС-98 Клевер-СВ 0-30%</t>
  </si>
  <si>
    <t>Головка инфракрасная считывающая TK117</t>
  </si>
  <si>
    <t>ДА8008-Вуф исп2 -1+1,5кгс/см2-1,5</t>
  </si>
  <si>
    <t>Датчик CH4 сигнализ. СТГ-1</t>
  </si>
  <si>
    <t>Датчик DMD331-730-E-6001-1-8-100-J00100R</t>
  </si>
  <si>
    <t>Датчик IR Quattro COM1 Steinel</t>
  </si>
  <si>
    <t>Датчик Polytron SE Ex HT M DD Drager</t>
  </si>
  <si>
    <t>Датчик Polytron SE Ex PR M1 DD Drager</t>
  </si>
  <si>
    <t>Датчик избыт давления ИД16</t>
  </si>
  <si>
    <t>Датчик кислорода O2 для Анкат-7664М</t>
  </si>
  <si>
    <t>Датчик кислорода O2 для СГГ-4М-4</t>
  </si>
  <si>
    <t>Датчик СН4 для сигнализатора ФСТ-03</t>
  </si>
  <si>
    <t>Датчик СО для сигнализатора ФСТ-03</t>
  </si>
  <si>
    <t>Диффузор плазмот.S25/S45 Trafimet PE0106</t>
  </si>
  <si>
    <t>ДМ2010ф исп.V 0+2,5кгс/см2-1,5-М20</t>
  </si>
  <si>
    <t>Дроссель УБИ-20</t>
  </si>
  <si>
    <t>Заглушка Legrand 33314</t>
  </si>
  <si>
    <t>Заглушка Ду50 Firat 7016004050</t>
  </si>
  <si>
    <t>Заглушка НПВХ б/н Ду110</t>
  </si>
  <si>
    <t>Измеритель влажности ВИМС-2.22</t>
  </si>
  <si>
    <t>Кабель Array Electronic SR-CP</t>
  </si>
  <si>
    <t>Канат 2,2мм С-Н1770 Г3066-80</t>
  </si>
  <si>
    <t>Катод (электрод) S25/S45 Trafimet PR0110</t>
  </si>
  <si>
    <t>Катушка LX1-FG220 M5 220В 50Гц SE</t>
  </si>
  <si>
    <t>Колесо неповоротное большегрузное FCp200</t>
  </si>
  <si>
    <t>Колесо поворотное большегрузное SCp200</t>
  </si>
  <si>
    <t>Коммутатор-адаптер КАД RS485/RS422-RS232</t>
  </si>
  <si>
    <t>Компл. монтажных частей К1</t>
  </si>
  <si>
    <t>Комплект деталей КГА-8С для модернизации</t>
  </si>
  <si>
    <t>Комплект панелей цок. DP-P-PDN-80/80-200</t>
  </si>
  <si>
    <t>Комплект с-в упр. Бриз к ДЕ, ДКРВ</t>
  </si>
  <si>
    <t>Комплект термопр. КТСП-Н 5.1.02.02.3.3.2</t>
  </si>
  <si>
    <t>Комплект термопр. КТСП-Н 5.1.04.02.3.3.2</t>
  </si>
  <si>
    <t>Комплект усилен. 8шт/уп Conteg RMF-BRACE</t>
  </si>
  <si>
    <t>Комплектация базовая MTS 310 HA 5 мест</t>
  </si>
  <si>
    <t>Конвертор Advantech ADAM-4520I</t>
  </si>
  <si>
    <t>Контроллер Теплотекс РСЕ-400</t>
  </si>
  <si>
    <t>Короб TA-GN 80х60 DKC 01785</t>
  </si>
  <si>
    <t>Короб перф. T1-F 80х100 DKC 00170</t>
  </si>
  <si>
    <t>Короб секция угловая СУО 100х100 оцинк.</t>
  </si>
  <si>
    <t>Короб СУВВ50 100х50 угловой вверх ТЗМА</t>
  </si>
  <si>
    <t>Короб СУВН50 100х50 угловой вниз ТЗМА</t>
  </si>
  <si>
    <t>Корпус к контроллеру РСЕ-400</t>
  </si>
  <si>
    <t>Корпус к контроллеру РСЕ-430</t>
  </si>
  <si>
    <t>Корпус кнопки АВВ кр 1SFA 616-101 R2101</t>
  </si>
  <si>
    <t>Корректор SEVC-D(Corus) 0,9-10бар</t>
  </si>
  <si>
    <t>Корректор объёма газа ЕК-270</t>
  </si>
  <si>
    <t>Кр.-бал. эл.подв.1т пр.L5,2 H6 13Т10316К</t>
  </si>
  <si>
    <t>Кронштейн к потолку PNK-100 100х50 L600</t>
  </si>
  <si>
    <t>Кронштейн настенный КНПЛУ-600</t>
  </si>
  <si>
    <t>Крышка к углу плоск.КУПТп-100 100х50х250</t>
  </si>
  <si>
    <t>Крышка НЛК-100-Т УТ1,5</t>
  </si>
  <si>
    <t>Крышка НЛК-100-У45В УТ1,5 45гр</t>
  </si>
  <si>
    <t>Крышка НЛК-100-У45Н УТ1,5 45гр</t>
  </si>
  <si>
    <t>Крышка НЛК-100-У90 УТ1,5 90гр</t>
  </si>
  <si>
    <t>Крышка НЛК-100-У90В УТ1,5 90гр</t>
  </si>
  <si>
    <t>Крышка НЛК-100-У90Н УТ1,5 90гр</t>
  </si>
  <si>
    <t>Крышка НЛК-200-Т УТ1,5</t>
  </si>
  <si>
    <t>Крышка НЛК-200-У90 УТ1,5 90гр</t>
  </si>
  <si>
    <t>Крышка НЛК-200-У90Н УТ1,5 90гр</t>
  </si>
  <si>
    <t>Крышка НЛК-50-Т- УТ1,5</t>
  </si>
  <si>
    <t>Крышка НЛК-50-У90 УТ1,5 90гр</t>
  </si>
  <si>
    <t>Крышка НЛК-50-У90В УТ1,5 90гр</t>
  </si>
  <si>
    <t>Крышка НЛК-50-У90Н УТ1,5 90гр</t>
  </si>
  <si>
    <t>Крышка прямая НЛК-200-П2,5 УТ1,5 2,5м</t>
  </si>
  <si>
    <t>Крышка прямая НЛК-50-П2,0 УТ1,5 2,0м</t>
  </si>
  <si>
    <t>Крышка секции НЛП 100х60-У90 УТ1,5</t>
  </si>
  <si>
    <t>Крышка торцевая UT16 D-UT 16 3047206</t>
  </si>
  <si>
    <t>ЛВМ МЭ-Аудит 35кВ НПП Марс-Энерго</t>
  </si>
  <si>
    <t>Лента-ПП 15,0х0,8ммх1400м Дувн200</t>
  </si>
  <si>
    <t>Лоток НЛП 100х60 У90В УТ1,5</t>
  </si>
  <si>
    <t>Лоток НЛП 200х60-П2,5 УТ1,5 2,5м</t>
  </si>
  <si>
    <t>Лоток НЛП 50х50 Т УТ 1,5</t>
  </si>
  <si>
    <t>Лоток НЛП 50х50 У90 УТ 1,5</t>
  </si>
  <si>
    <t>Лоток НЛП 50х50 У90В УТ1,5</t>
  </si>
  <si>
    <t>Лоток проволочный ПЛМУ-600.60 600х60</t>
  </si>
  <si>
    <t>Люк сантех. настен. 200х300 металл маг</t>
  </si>
  <si>
    <t>Люк сантех. настен. 400х400 металл маг</t>
  </si>
  <si>
    <t>Люк сантех. настен. 450х1000 металл маг</t>
  </si>
  <si>
    <t>Люк сантех. настен. 600х1000 металл маг</t>
  </si>
  <si>
    <t>М-100-ДД-1430-01-МП1-t1-050-16кПа-25-42</t>
  </si>
  <si>
    <t>М-100-ДД-1430-02-МП5.ICP-t1-050-16кПа-25</t>
  </si>
  <si>
    <t>М-100-ДД-1430-02-МП5.ICP-t1-050-4кПа-25</t>
  </si>
  <si>
    <t>М-43Ф-ДД-3494-01-02-УХЛ3.1-050-16кПа-42</t>
  </si>
  <si>
    <t>М-43Ф-ДД-3494-01-02-УХЛ3.1-050-4кПа-42-С</t>
  </si>
  <si>
    <t>М-45-ДВ-5320-02-УХЛ3.1-050-0,315кПа-42-C</t>
  </si>
  <si>
    <t>М-45-ДИ-5130-t5-0,5-2,5кПа 4-20МПа</t>
  </si>
  <si>
    <t>Манжета переходная резиновая 50х32</t>
  </si>
  <si>
    <t>Мембрана / Varem 200л</t>
  </si>
  <si>
    <t>Металлополим. Ал. 1,0кг с жёлт. акт. Leo</t>
  </si>
  <si>
    <t>Микрометр МК200-1 (175-200) 0,01 кл.1</t>
  </si>
  <si>
    <t>Модуль AC/DC светод.</t>
  </si>
  <si>
    <t>Модуль SRAM-памяти X-608 512Кб с пит.</t>
  </si>
  <si>
    <t>Модуль T3702</t>
  </si>
  <si>
    <t>Модуль вентиляторный Conteg DP-VEN-04</t>
  </si>
  <si>
    <t>Модуль индикации ИК-5 с 5-ти кн. клав.</t>
  </si>
  <si>
    <t>Модуль клеммн.соед. TCC9G</t>
  </si>
  <si>
    <t>Модуль клеммн.соед. TCC9PD</t>
  </si>
  <si>
    <t>Модуль преобразователя МИП-01</t>
  </si>
  <si>
    <t>Модуль процессорный 17188ХА с памятью</t>
  </si>
  <si>
    <t>Модуль расширения Hiquel SLS-500-8DI-C</t>
  </si>
  <si>
    <t>Модуль расширения Hiquel SLS-500-8DI-D</t>
  </si>
  <si>
    <t>Модуль расширения Hiquel SLS-500-AI-С</t>
  </si>
  <si>
    <t>Модуль расширения Hiquel SLS-500-DR-C</t>
  </si>
  <si>
    <t>Модуль расширения Hiquel SLS-500-Pt1000C</t>
  </si>
  <si>
    <t>Модуль расширения SLS-500-AI-D</t>
  </si>
  <si>
    <t>Модуль роз. RJ45 TX Keystone T568&amp;B бел</t>
  </si>
  <si>
    <t>Модуль сигнальный 99.01.9.024.99 Finder</t>
  </si>
  <si>
    <t>Модуль Т3702</t>
  </si>
  <si>
    <t>Насадка плазмотрона S25K Trafimet PC0117</t>
  </si>
  <si>
    <t>Оповещатель Молния-12С 12В</t>
  </si>
  <si>
    <t>Опора НПВХ 50 Firat 7016005050</t>
  </si>
  <si>
    <t>Отвод Т-образ. ТТп-100 100х50х400</t>
  </si>
  <si>
    <t>Панель осветительная Conteg DP-OJ-01</t>
  </si>
  <si>
    <t>Перегородка разделит. Panduit T70DW2 2м</t>
  </si>
  <si>
    <t>Переходник 3/4х1/2 Gav 1217/7</t>
  </si>
  <si>
    <t>Переходник Wika 910.14 муф.-цап. 9090274</t>
  </si>
  <si>
    <t>Переходник ф8 Gav 113С/2</t>
  </si>
  <si>
    <t>Переходник Э-21-1</t>
  </si>
  <si>
    <t>Пластина для Speedglas 3M 42 70 00</t>
  </si>
  <si>
    <t>Плата контроллера MCF.D48/24V</t>
  </si>
  <si>
    <t>Плата контроллера MCFA 16/0/4</t>
  </si>
  <si>
    <t>Побудитель Schego optimal для КГА-8С</t>
  </si>
  <si>
    <t>Преобразователь ГР 1.0 ИНКР 301.004.000</t>
  </si>
  <si>
    <t>Преобразователь Е858/7-М1 45-55Гц 4-20мА</t>
  </si>
  <si>
    <t>Преобразователь ИП-205</t>
  </si>
  <si>
    <t>Преобразователь ИП-205/ХА (0-600)С</t>
  </si>
  <si>
    <t>Преобразователь МИП-01</t>
  </si>
  <si>
    <t>Преобразователь МИП-03</t>
  </si>
  <si>
    <t>Преобразователь ТХА 002-07.11</t>
  </si>
  <si>
    <t>Преобразователь частотный</t>
  </si>
  <si>
    <t>Профиль монтаж.(швеллер) 60х30 К235У2</t>
  </si>
  <si>
    <t>Пряжка бондажная тип 1С</t>
  </si>
  <si>
    <t>Психрометр аспирационный М-34М</t>
  </si>
  <si>
    <t>Пульт упр. счётчиком Макло Тэсс</t>
  </si>
  <si>
    <t>Рама с фильтром Conteg DP-VER-06F</t>
  </si>
  <si>
    <t>Рамка на 4 модуля Legrand Mosaic 78814</t>
  </si>
  <si>
    <t>Редуктор пропановый БПО-5-2</t>
  </si>
  <si>
    <t>Редуктор пропановый БПО-5-КР1</t>
  </si>
  <si>
    <t>Резак пропановый РС-3П ФАКЕЛ</t>
  </si>
  <si>
    <t>Рейка нивелирная VEGA TS5M 5м</t>
  </si>
  <si>
    <t>Реле KP75 Danfoss 060L113766</t>
  </si>
  <si>
    <t>РЕЛЕ РВП-21-003 110В</t>
  </si>
  <si>
    <t>РЕЛЕ РВП-21-003 24В</t>
  </si>
  <si>
    <t>Реостат баластный РБ-302 ИУ2</t>
  </si>
  <si>
    <t>Розетка RJ-45, 5 категории внешняя</t>
  </si>
  <si>
    <t>Ротаметр UP2-02 для КГА-8С</t>
  </si>
  <si>
    <t>Сальник съёмный AKM 32 IP65 Hensel</t>
  </si>
  <si>
    <t>Сблокировка механич.</t>
  </si>
  <si>
    <t>Секции Т-образная НЛП 100x60-Т УТ 1,5</t>
  </si>
  <si>
    <t>Секции Т-образная НЛП 200x60-Т УТ 1,5</t>
  </si>
  <si>
    <t>Секция НЛП 100х60 У90 УТ1,5</t>
  </si>
  <si>
    <t>Секция НЛП 100х60-У45В УТ1,5</t>
  </si>
  <si>
    <t>Секция НЛП 100х60-У90Н УТ1,5</t>
  </si>
  <si>
    <t>Секция НЛП 200x60-У90 УТ1,5</t>
  </si>
  <si>
    <t>Секция НЛП 50x50-У90 УТ1,5</t>
  </si>
  <si>
    <t>Сенсор CO-1,0 для СКВА</t>
  </si>
  <si>
    <t>Сенсор ECO-Sure (2e) сигнализ. RGO</t>
  </si>
  <si>
    <t>Сенсор Oxygen O2-A3 Alphasense</t>
  </si>
  <si>
    <t>Сенсор ГС-1EX</t>
  </si>
  <si>
    <t>Сенсор О2 mini OX3</t>
  </si>
  <si>
    <t>Сенсор термокаталитический ДТК-1-3,0</t>
  </si>
  <si>
    <t>Сенсор ТКС-1 сигнализ. Сигма-1</t>
  </si>
  <si>
    <t>Система вентильная СВН-М 01</t>
  </si>
  <si>
    <t>Скоба для DLP 35x80 Legrand 10681</t>
  </si>
  <si>
    <t>Скоба СН-600 настенного крепления Остек</t>
  </si>
  <si>
    <t>Соединитель лотка двойной СПЛД20 Остек</t>
  </si>
  <si>
    <t>Соединитель НЛП 100x60-СП УТ1,5</t>
  </si>
  <si>
    <t>Соединитель НЛП 200х60-СП УТ1,5</t>
  </si>
  <si>
    <t>Соединитель СЛ-60 УТ1,5</t>
  </si>
  <si>
    <t>Сопло ф0,65мм BlueWeld 802092</t>
  </si>
  <si>
    <t>Станция управления СГУ2-ТХ-11 11кВт</t>
  </si>
  <si>
    <t>Стекло 5М4 1,3х2,0 м</t>
  </si>
  <si>
    <t>Стойка кабельная К1150ц УТ1,5 L=400мм</t>
  </si>
  <si>
    <t>Стойка кабельная К1152цУТ1,5 L800</t>
  </si>
  <si>
    <t>Стойка кабельная К1153цУТ1,5 L1200</t>
  </si>
  <si>
    <t>Суппорт Mosaiс Legrand 80252</t>
  </si>
  <si>
    <t>Суппорт на 1 мод. Singo Rehau 261489-100</t>
  </si>
  <si>
    <t>Счётчик Протон СЭ-05-100-1 57,7-100В 5А</t>
  </si>
  <si>
    <t>Счётчик ПСЧ-3А.05.2 220/380 5(50)</t>
  </si>
  <si>
    <t>Счётчик СВ-40+штуцеры</t>
  </si>
  <si>
    <t>Счётчик СГ-16М-1600-40-С-4 Ду200</t>
  </si>
  <si>
    <t>Счётчик СЭТ3А-01-24-02/1П</t>
  </si>
  <si>
    <t>Счётчик СЭТ3А-02-04/1П 220/380В 5-50А</t>
  </si>
  <si>
    <t>Терминал МТ-232-03</t>
  </si>
  <si>
    <t>Термометр бимет L=200 T(-30+50) +ГЗ</t>
  </si>
  <si>
    <t>Термометр БТ-51.211-(-40+60)-100-1,6</t>
  </si>
  <si>
    <t>Термометр ТБ-1(-30+60)С-1,5-160-10-М20</t>
  </si>
  <si>
    <t>Термометр ТН-1-1</t>
  </si>
  <si>
    <t>Термометр ТПТ-1-4-Pt1000-В.2.Н-100</t>
  </si>
  <si>
    <t>Термометр ТПТ-1-4-Pt1000-В.2.Н-200</t>
  </si>
  <si>
    <t>Термостат сдвоенный TSCC</t>
  </si>
  <si>
    <t>ТИРИСТОР ТС 142-80-6</t>
  </si>
  <si>
    <t>Трап круглый, с гориз. выпуском 50мм</t>
  </si>
  <si>
    <t>Трап полипр. 150х150 ТП-104.110-150VSDs</t>
  </si>
  <si>
    <t>Тройник RT 60х40х2000</t>
  </si>
  <si>
    <t>Труба НПВХ Ду110х3,2 L1000 б/н 50112</t>
  </si>
  <si>
    <t>Труба НПВХ Ду110х3,2 L2000 б/н 50060</t>
  </si>
  <si>
    <t>Труба НПВХ Ду50х3,2 L1000</t>
  </si>
  <si>
    <t>Труба НПВХ Ду50х3,2 L2000 б/н 50035</t>
  </si>
  <si>
    <t>Труба ПВХ 113/126 гофр./геотек. 23747020</t>
  </si>
  <si>
    <t>ТСП Метран-226-14-80-В-4-1-Н10(-50+200)С</t>
  </si>
  <si>
    <t>Угол внутр MI 40х16</t>
  </si>
  <si>
    <t>Угол горизонт. CPO90 100мм DKC 36002</t>
  </si>
  <si>
    <t>Угол плоский для ML 40х16 Экопласт</t>
  </si>
  <si>
    <t>Угол плоский для RL 60х40х2000 Экопласт</t>
  </si>
  <si>
    <t>Удлинит. кол. 750 (ср. часть) 22998088</t>
  </si>
  <si>
    <t>УЗО F204 AC-125/0,3 4п 125A 300мА ABB</t>
  </si>
  <si>
    <t>Умощнитель сигналов Текон ТСВ08R</t>
  </si>
  <si>
    <t>Умощнитель ТСВ08R</t>
  </si>
  <si>
    <t>Устройство защиты SPAC 810-Д 22 2332</t>
  </si>
  <si>
    <t>Устройство УСПД Telcon А9T</t>
  </si>
  <si>
    <t>Фанера ФК вл.1525х1525х6 сорт 4/4 хвоя</t>
  </si>
  <si>
    <t>Фильтр CO для ячейки CO МФС-8 КГА-8С</t>
  </si>
  <si>
    <t>Фильтр топл. CONSOL НФ-02-Т 2101-1117010</t>
  </si>
  <si>
    <t>Фторопласт</t>
  </si>
  <si>
    <t>Швеллер К240</t>
  </si>
  <si>
    <t>Шкала сменная SCL 1/400 400А ABB</t>
  </si>
  <si>
    <t>Шкаф кабин 1800/1000/400</t>
  </si>
  <si>
    <t>Шкаф напол. Conteg RMF-42-80/80 RAL7040</t>
  </si>
  <si>
    <t>Э/п ARA659 24B Esbe 1252 02 00</t>
  </si>
  <si>
    <t>Э/п Sauter AVM 234R</t>
  </si>
  <si>
    <t>Электрозапальник ЭЗ-01</t>
  </si>
  <si>
    <t>Электромагнит ЭМ 33-61111 380В</t>
  </si>
  <si>
    <t>Электромагнит ЭМ33-51111-00 У3 380В</t>
  </si>
  <si>
    <t>Элемент RA-2920 Danfoss 013G2920</t>
  </si>
  <si>
    <t>Ящик РУСМ5125-3274 УХЛ2 18А</t>
  </si>
  <si>
    <t>Баббит оловянный Б-83 Г1320-74 чушка</t>
  </si>
  <si>
    <t>Колено К-100 ГОСТ 6942.7-80</t>
  </si>
  <si>
    <t>Колено К-50 ГОСТ 6942.7-80</t>
  </si>
  <si>
    <t>Лента ПВХ липкая 450х0,4мм Каустик</t>
  </si>
  <si>
    <t>Муфта 100 Г8954-75</t>
  </si>
  <si>
    <t>Муфта Axiflex TypeII Sil AHL14016300C</t>
  </si>
  <si>
    <t>Муфта Axiflex TypeII Sil AHL14016300R</t>
  </si>
  <si>
    <t>Муфта Axiflex TypeII Sil AHL14016400C</t>
  </si>
  <si>
    <t>Муфта Axiflex TypeII Sil AHL14016400R</t>
  </si>
  <si>
    <t>Опора Ду273 ТС 660.00.00-10</t>
  </si>
  <si>
    <t>Опора Ду426 ТС 660.00.00-13</t>
  </si>
  <si>
    <t>Опора Ду820 ТС-669.00.00-25</t>
  </si>
  <si>
    <t>Отвод 133х5 в защитном покрытии</t>
  </si>
  <si>
    <t>Отвод 135гр Д-50 чуг.</t>
  </si>
  <si>
    <t>Отвод 15-630х12-09Г2С-2,5 ТС-583.000-010</t>
  </si>
  <si>
    <t>Отвод 45-159х4,5-20 Г17375 оцинк.</t>
  </si>
  <si>
    <t>Отвод 60-630х12-09Г2С-2,5 ТС-583-196</t>
  </si>
  <si>
    <t>Отвод 90-1-33,7х2,3-20 Г17375</t>
  </si>
  <si>
    <t>Отвод 90-1-42,4х2,6-20 Г17375 оцинк.</t>
  </si>
  <si>
    <t>Отвод 90-1020х8 по типу ОСТ 34.10.752-97</t>
  </si>
  <si>
    <t>Отвод 90-133х4-20 Г17375 оцинк.</t>
  </si>
  <si>
    <t>Отвод 90-1420х18-09Г2С-2,5 ТС-583-255</t>
  </si>
  <si>
    <t>Отвод 90-159х4,5-20 Г17375 оцинк.</t>
  </si>
  <si>
    <t>Отвод 90-168х6-20 Г17375 оцинк.</t>
  </si>
  <si>
    <t>Отвод 90-630х12-09Г2С-2,5 ТС-583-243</t>
  </si>
  <si>
    <t>Отвод 90-920х8 по типу ОСТ 34.10.752-97</t>
  </si>
  <si>
    <t>Отвод 90гр Д-100 чуг.</t>
  </si>
  <si>
    <t>Отвод 90гр Д-50 чуг.</t>
  </si>
  <si>
    <t>Отвод крутоизогнут. оцинк. 45</t>
  </si>
  <si>
    <t>Отвод крутоизогнутый шовный 25 оцинк.</t>
  </si>
  <si>
    <t>Отливка D100 L400 из СЧ</t>
  </si>
  <si>
    <t>Отливка D50 из СЧ</t>
  </si>
  <si>
    <t>Отливка D60 L400 из СЧ</t>
  </si>
  <si>
    <t>Отливка D80 из СЧ</t>
  </si>
  <si>
    <t>Патрубок переходной чуг.100х150</t>
  </si>
  <si>
    <t>Патрубок ПФГ 100 ЦПП НПП Валок-чугун</t>
  </si>
  <si>
    <t>Патрубок ПФГ-100 Г5525-88</t>
  </si>
  <si>
    <t>Переход К-1-33,7х3,2-21,3х3,2-20 оцинк.</t>
  </si>
  <si>
    <t>Переход К-426х10-273х8-20 Г17378</t>
  </si>
  <si>
    <t>Переход оцин. 50х25</t>
  </si>
  <si>
    <t>Переход оцин.80х40</t>
  </si>
  <si>
    <t>ПЕРЕХОД ОЦИНК.76Х3.5-45Х2.5</t>
  </si>
  <si>
    <t>Переход штампованный концентрический 65х</t>
  </si>
  <si>
    <t>Проволока 6,0-Х20Н80 Г12766.1-90</t>
  </si>
  <si>
    <t>Проволока 8,0-Х20Н80</t>
  </si>
  <si>
    <t>Пруток бронз. ДКРПП 70 НД БрАЖ9-4</t>
  </si>
  <si>
    <t>Пруток ГКРХХ 35 НД М1 Г1535-91</t>
  </si>
  <si>
    <t>Соединитель 25 STC-Faro 5680</t>
  </si>
  <si>
    <t>Тройник 108х6-89х6-20 оцин. Г17376</t>
  </si>
  <si>
    <t>Тройник 273х10-219х8-20 Г17376</t>
  </si>
  <si>
    <t>Тройник 325х10-219х8-20 Г17376</t>
  </si>
  <si>
    <t>Тройник 325х10-57х3-4,0 ТС-588-036</t>
  </si>
  <si>
    <t>Тройник 530х11-219х7-2,5 ТС-588-079</t>
  </si>
  <si>
    <t>Тройник ч. п. Ду32х25 Г8949-75</t>
  </si>
  <si>
    <t>Тройник чуг. косой, угол 45 гр.100х100</t>
  </si>
  <si>
    <t>Тройник чугунный 50х50х45 Г6942.12-80</t>
  </si>
  <si>
    <t>Труба 133х4,5 В 20 Г10704-91 10705-80</t>
  </si>
  <si>
    <t>Труба 325х8 В 20 Г10704-91 10705-80</t>
  </si>
  <si>
    <t>Труба 32х1,5 ТП-А Ст1пс ТУ 14-105-737-04</t>
  </si>
  <si>
    <t>Труба 57х4 08Х18Н10Т Г9941-81</t>
  </si>
  <si>
    <t>Труба ДКРНП 12х1,5х1000 М3 Г617-90</t>
  </si>
  <si>
    <t>Труба оц ф 20х3.2.</t>
  </si>
  <si>
    <t>Труба оц ф 25х3.2.</t>
  </si>
  <si>
    <t>Труба ТЧК-100-2000 Г6942-98</t>
  </si>
  <si>
    <t>Труба ТЧК-100-2100 Г6942-98</t>
  </si>
  <si>
    <t>Труба ТЧК-50-2000 Г6942-98</t>
  </si>
  <si>
    <t>Труба цин. ВЧШГ-Т-100х6000 ЦПП</t>
  </si>
  <si>
    <t>ФИТИНГИ РАЗНЫЕ (С_ЦС_10/01)</t>
  </si>
  <si>
    <t>Фланец 1-15-25 ст. 20 оцинк. Г12820-80</t>
  </si>
  <si>
    <t>Фланец 1-500-25 ст. 20 Г12820-80</t>
  </si>
  <si>
    <t>Фланец 1-600-25 ст. 20 Г12820-80</t>
  </si>
  <si>
    <t>ФЛАНЦЫ РУ 25 ДУ 400мм</t>
  </si>
  <si>
    <t>Шпилька М36-6gх260.97.8.8 ст.35</t>
  </si>
  <si>
    <t>Секция 89х4-1,0-РГК прямая</t>
  </si>
  <si>
    <t>Установка Hydro Tech DS 5E25N1</t>
  </si>
  <si>
    <t>Бумага Крафт ф.106 пл.78</t>
  </si>
  <si>
    <t>Труба ДКРНП 10х1,0х2000 М3 Г617</t>
  </si>
  <si>
    <t>Болт М12-6gх50.58 (S18) ГОСТ 7798-70</t>
  </si>
  <si>
    <t>Винт М8х16х1.25 DIN7991</t>
  </si>
  <si>
    <t>Винт М8х20х1.25 DIN7985</t>
  </si>
  <si>
    <t>Гайка анод. М20-6H.5 (S30) Г5915-70</t>
  </si>
  <si>
    <t>Люк под плитку Оптима-Атлант 900х640мм</t>
  </si>
  <si>
    <t>Лента CRS SMD5050 60 диодов/м тёплый бел</t>
  </si>
  <si>
    <t>Редуктор пропановый балонный БПО 5-3</t>
  </si>
  <si>
    <t>Метчик М20х2,5 2621-1736.1 Г3266-81</t>
  </si>
  <si>
    <t>Патрон монтажный Д-3 100шт/уп</t>
  </si>
  <si>
    <t>Лежак Big Red Torin TR6452</t>
  </si>
  <si>
    <t>Набивка ПГН 3100 12х12 НПП ПромГрафит</t>
  </si>
  <si>
    <t>Набивка ПГН 3100 18х18 НПП ПромГрафит</t>
  </si>
  <si>
    <t>Датчик давл.Метран-100-Ех-ДА-1051-01-МП1</t>
  </si>
  <si>
    <t>Датчик метана СН4 для Анкат-7664М</t>
  </si>
  <si>
    <t>Датчик-реле давл. ДЕМ 102-1-01-2</t>
  </si>
  <si>
    <t>Датчик-реле давл. ДЕМ 102-1-02-1 с к/</t>
  </si>
  <si>
    <t>Датчик-реле давл. ДЕМ 102-1-02-2 с К1</t>
  </si>
  <si>
    <t>Датчик-реле давл. ДЕМ 102-2-02-1 с К1</t>
  </si>
  <si>
    <t>М-150CD2(0-1000кгс/м2)2211L3AM5IMD9C1K04</t>
  </si>
  <si>
    <t>М-150CD3(0-100кПа)2211L3AM5IMS5K04 к/б</t>
  </si>
  <si>
    <t>М-150CG1(0-6,3кПа)2211L3AM5IMD55B1K03</t>
  </si>
  <si>
    <t>М-150TA2(0-0,6МПа)2G21AM5IMS5K04 к/б</t>
  </si>
  <si>
    <t>М-55-ДИ-515-МП-t1-050-1,0МПа-42-М20-С</t>
  </si>
  <si>
    <t>М-ДИ-518-МП-t1-050-0,25МПа-42-М20-С</t>
  </si>
  <si>
    <t>Система вентильная СВ-02 д/датч. Метран</t>
  </si>
  <si>
    <t>Отвод 45-630х12-09Г2С-2,5 ТС-583-150</t>
  </si>
  <si>
    <t>Отвод 90-1-21,3х2,5-20 Г17375</t>
  </si>
  <si>
    <t>Отвод 90-273х7-20 Г17375</t>
  </si>
  <si>
    <t>Отвод 90-57х4-20 Г17375 оцинк.</t>
  </si>
  <si>
    <t>Отвод 90-89х5-20 Г17375 оцинк.</t>
  </si>
  <si>
    <t>Отвод крутоизогнутый шовный 32 оцинк.</t>
  </si>
  <si>
    <t>Переход К-159х4,5-133х4-20 оцинк. Г17378</t>
  </si>
  <si>
    <t>Переход К-168х8-114х6-20 оцинк. Г17378</t>
  </si>
  <si>
    <t>Переход К-273х7-219х6-20 оцинк. Г17378</t>
  </si>
  <si>
    <t>Переход К-89х6-76х5-20 оцинк. Г17378</t>
  </si>
  <si>
    <t>Установка Cillit-kalkex-M 40л BWT</t>
  </si>
  <si>
    <t>Кран Ду150 Ру16 КШГ 71.112.150</t>
  </si>
  <si>
    <t>Клапан ПСК-50С/50 Газстрой</t>
  </si>
  <si>
    <t>Клапан MSV-F2 Ду20 Ру25 003Z1093</t>
  </si>
  <si>
    <t>Клапан MSV-F2 Ду25 Ру16 003Z1087</t>
  </si>
  <si>
    <t>Извещатель С2000-СМК Эстет</t>
  </si>
  <si>
    <t>SA-94/3-C-3-ЕК-200/200-Ф/Ф-Т-2-1-1/н-1-5</t>
  </si>
  <si>
    <t>Блок автоматики подпиточной установки</t>
  </si>
  <si>
    <t>Блок клапанный Метран А31-02-М20-Т</t>
  </si>
  <si>
    <t>Блок клапанный Метран Е22-5-3-02-М20-К4</t>
  </si>
  <si>
    <t>ВИС.Т ТС-200-2-2-1-0 Ду150/150</t>
  </si>
  <si>
    <t>ВИС.Т ТС-200-3-3-2-1 Ду100/100</t>
  </si>
  <si>
    <t>Контроллер подпитки FC1500</t>
  </si>
  <si>
    <t>Регистр м/к технолог. РМТ 69 ЕХ</t>
  </si>
  <si>
    <t>Счётчик СО-505 220В 10(40)А кл.2,0</t>
  </si>
  <si>
    <t>Счётчик СЭТ4-1 220/380В 5(60)А</t>
  </si>
  <si>
    <t>Подшипник 3536 ГОСТ 5721-75</t>
  </si>
  <si>
    <t>Подшипник 407 ГОСТ 8338-75</t>
  </si>
  <si>
    <t>Подшипник 46314Л ГОСТ 831-75</t>
  </si>
  <si>
    <t>Подшипник 6-318 ГОСТ 8228-75</t>
  </si>
  <si>
    <t>Насос DDA 7,5-16 AR-PP/E/C-F-31 U2U2FG</t>
  </si>
  <si>
    <t>Насос L-100S/2 ф200 22/3000</t>
  </si>
  <si>
    <t>Лампа накаливания 24Вт с байонетным цоко</t>
  </si>
  <si>
    <t>Панель лицевая Mini-Com CFPFS2AW</t>
  </si>
  <si>
    <t>Шина ШММ 50х5 Г434-78</t>
  </si>
  <si>
    <t>Шина ШММ 8х80 Г434-78</t>
  </si>
  <si>
    <t>Кран 57х4-1-ППУ-ПЭ KMC H1500 МЗИ</t>
  </si>
  <si>
    <t>Кран 57х5-1-ППУ-ПЭ 69.102.050 H1900 МЗИ</t>
  </si>
  <si>
    <t>Уплотнение М.1301.10С07.040.0103.0801</t>
  </si>
  <si>
    <t>Уплотнение М.1302.25.073.0103.1101.5</t>
  </si>
  <si>
    <t>Уплотнение М.1303.048.0103.0810</t>
  </si>
  <si>
    <t>Кран B-TR-P25-032-C-W4-B-L</t>
  </si>
  <si>
    <t>Кран KMC B1-1-R-250-PN25-000-G-E-2</t>
  </si>
  <si>
    <t>Задвижка 30с64нж (в-фл) ф. 200 Ру25 ТУ2</t>
  </si>
  <si>
    <t>Клапан 19с73нж Ду200 Ру40</t>
  </si>
  <si>
    <t>Клапан МБСУ-125ВГ Ду125 Ру16</t>
  </si>
  <si>
    <t>Клапан МБСУ-200ВГ Ду200 Ру16</t>
  </si>
  <si>
    <t>Насос К-200-150-250-С-УХЛ4 30/1450 КНЗ</t>
  </si>
  <si>
    <t>Задвижка 30ч6бр Ду300 Ру10</t>
  </si>
  <si>
    <t>Клапан 17нж17нж СППК4Р-50-16, наст.4,5</t>
  </si>
  <si>
    <t>Клапан 17с6нж СППК4Р-50-16, наст.4,0</t>
  </si>
  <si>
    <t>Клапан 19с47нж Ду400 Pу40 п/приварку</t>
  </si>
  <si>
    <t>Клапан 6с-13-4 Ду200 Ру100</t>
  </si>
  <si>
    <t>Клапан тип 402 Ду200 Pу10 149B2229</t>
  </si>
  <si>
    <t>Круг 200 Г2590-88 / Ст3пс Г380-2005</t>
  </si>
  <si>
    <t>Круг 240 Г2590-88 / Ст3пс Г380-2005</t>
  </si>
  <si>
    <t>Круг 270-В-II-НД Г2590-2006/Ст3сп Г380</t>
  </si>
  <si>
    <t>Лента Н-0,7х20 ГОСТ 3560-73</t>
  </si>
  <si>
    <t>Труба 25х2 ТП-А Ст1пс ТУ 14-105-737-04</t>
  </si>
  <si>
    <t>Труба 28х3 В 20 Г8734-75 Г8733-74</t>
  </si>
  <si>
    <t>Труба 35х1,5 В 20 Г10704-91 10705-80</t>
  </si>
  <si>
    <t>Труба эл.св Ст20 ГОСТ 10704-91 Д45х2</t>
  </si>
  <si>
    <t>Кран Vexve 103 250 Ду250 Ру16</t>
  </si>
  <si>
    <t>Кран Vexve 103 250 Ду250 Ру25 э/пAuma</t>
  </si>
  <si>
    <t>Кран Vexve 103 250/E Ду250 Ру16 SA07.6</t>
  </si>
  <si>
    <t>Кран Vexve 104 350 Ду350 Ру25 м/ред</t>
  </si>
  <si>
    <t>Кран Vexve 104 601 Ду600 Ру16 м/ред</t>
  </si>
  <si>
    <t>Кран Vexve 104 601 Ду600 Ру25 м/ред</t>
  </si>
  <si>
    <t>Кран Ду300 Ру25 КШТ 61.103.300</t>
  </si>
  <si>
    <t>Кран КШ.Ц.Ф.250/180.025.Н/П.02</t>
  </si>
  <si>
    <t>Кран КШ.Ц.Ф.250/200.016.Н/П.02</t>
  </si>
  <si>
    <t>Кран с/с BVDH-w/w-G-600 Ду600 Ру40 э/п</t>
  </si>
  <si>
    <t>2009г</t>
  </si>
  <si>
    <t>Сертификат № РОСС RU.АГ93.Н06019 (бланк № 0935940), от 27.12.2012</t>
  </si>
  <si>
    <t>Этикетка приемки ИБЯЛ.413226.075 СБ</t>
  </si>
  <si>
    <t>Документы отсутствуют</t>
  </si>
  <si>
    <t>3.NV.1202-2002</t>
  </si>
  <si>
    <t>удовлетворительное</t>
  </si>
  <si>
    <t>КАСАФЛЕКС 66/125 1,6МПа 160С СОДК</t>
  </si>
  <si>
    <t>Новое, с длительным сроком хранения.</t>
  </si>
  <si>
    <t>КАСАФЛЕКС 86/145 1,6МПа 160С СОДК</t>
  </si>
  <si>
    <t>КАСАФЛЕКС 55/110 1,6МПа 160С СОДК</t>
  </si>
  <si>
    <t>Касафлекс 86/145 1,6МПа 135 ОДК</t>
  </si>
  <si>
    <t>Касафлекс 55/110 1,6МПа 135 ОДК</t>
  </si>
  <si>
    <t>Ду20 Ру16</t>
  </si>
  <si>
    <t>Паспорт б/н</t>
  </si>
  <si>
    <t>Сер.кач.№170373/14 от 31.10.2013</t>
  </si>
  <si>
    <t>Паспорт ТКСИ.421262.012 ПС</t>
  </si>
  <si>
    <t>Сер.5111/1 от 02.11.2010</t>
  </si>
  <si>
    <t>Сер.кач.№118-10918</t>
  </si>
  <si>
    <t>Сер.к.5205 от30.03.2015</t>
  </si>
  <si>
    <t>Сер.2045от07.06.2014</t>
  </si>
  <si>
    <t>Паспорт №002706</t>
  </si>
  <si>
    <t>Паспорт №003183</t>
  </si>
  <si>
    <t>Паспорт № 003102</t>
  </si>
  <si>
    <t>Паспорт Са2.769.008ПС</t>
  </si>
  <si>
    <t>Паспорт  МКПД.426430.001 ТУ</t>
  </si>
  <si>
    <t>Паспорт 226.01.00.000 РЭ</t>
  </si>
  <si>
    <t>Паспорт ЕМТК 01.0000.00 ПС</t>
  </si>
  <si>
    <t xml:space="preserve">Паспорт б/н </t>
  </si>
  <si>
    <t xml:space="preserve">Паспорт V3143B </t>
  </si>
  <si>
    <t>Паспорт 4И2.820.008 РЭ</t>
  </si>
  <si>
    <t>Паспорт СПГК.5001.000</t>
  </si>
  <si>
    <t>Паспорт БП08-000-00ПС</t>
  </si>
  <si>
    <t>Паспорт  РГБ-00.00.000ПС</t>
  </si>
  <si>
    <t>Паспорт ГРПИ.405132.001ПС</t>
  </si>
  <si>
    <t>Паспорт РГАЖ 2.821.002 ПС</t>
  </si>
  <si>
    <t>Паспорт СКЮИ.433236.003 ПС</t>
  </si>
  <si>
    <t>Рук. по эксплуат. РОСС RU.ОС03.Н00869</t>
  </si>
  <si>
    <t>Паспорт ПС 4218-00540055471-20008</t>
  </si>
  <si>
    <t>Паспорт  б/н</t>
  </si>
  <si>
    <t>Паспорт ТНИВ.405511.002 ПС</t>
  </si>
  <si>
    <t>Паспорт 44-22-804ПС</t>
  </si>
  <si>
    <t>Реле промежуточное РПЛ-122 220В Этал</t>
  </si>
  <si>
    <t>Контактор электромагнитный МК6-30Т УХЛ3 250-400А Uн=380В 50Гц Uкат=220В 50Гц ТУ 16-88 ИГФР.644513.004 ТУ</t>
  </si>
  <si>
    <t>Датчик избыточного давления Метран-100-Ех-ДИ-1141-02-МП1-t1-050-10кПа-42-М20-С</t>
  </si>
  <si>
    <t>Датчик избыточного давления Метран-100-Ex-ДИ-1161-11-МП1-t10-015-1,0МПа-42-М20-С</t>
  </si>
  <si>
    <t>Датчик разности давлений Метран-150CD1(0-630кгс/м2)-2-2-1-1-L3-A-M5-IM-D9-C1-K04</t>
  </si>
  <si>
    <t>Кран Ballomax Ду150 Ру25 КШТ.69.102.150 H1470 Broen</t>
  </si>
  <si>
    <t>Датчик избыточного давления Sensors DMP 343 100-XXXX-1-100-100-00R (-0,315 +0,315)кПа 4-20мА</t>
  </si>
  <si>
    <t>Тягонапоромер мембранный показывающий ТНМП-52-М2-40кПа-1,5-У3 ТУ 25-7305.014-90 Саранский приборостроительный завод</t>
  </si>
  <si>
    <t>Механизм исполнительный электрический однооборотный рычажный МЭО-100/10-0,25</t>
  </si>
  <si>
    <t>Датчик избыточного давления Sensors DMP 343 100-XXXX-1-100-100-00R (-40+40мбар)</t>
  </si>
  <si>
    <t>Датчик избыточного давления Sensors DMP 343 100-XXXX-1-8-100-100-00R (-3,15+3,15мбар) 4-20мА</t>
  </si>
  <si>
    <t>Блок управления ГБЖ-08-04.03.000-01 для горелки ГБГ-0,6(0,8)</t>
  </si>
  <si>
    <t>Датчик избыточного давления Sensors DMP 343 100-0100-1-8-100-100-00R</t>
  </si>
  <si>
    <t>Регулятор микропроцессорный для измерения и регулирования технологических параметров Минитерм 400.00 ТУ 4218-091-00225549-97 МЗТА</t>
  </si>
  <si>
    <t>Напоромер мембранный показывающий НМП-52-М2-6кПа-2,5-У3 ТУ 25-7305.014-90 Саранский приборостроительный завод</t>
  </si>
  <si>
    <t>Напоромер мембранный показывающий НМП-52-М2-6кПа-(2,5-1,5-2,5)-У3 ТУ 25-7305.014-90 Саранский приборостроительный завод</t>
  </si>
  <si>
    <t>Реле промежуточное РПЛ-131 220В Этал</t>
  </si>
  <si>
    <t>Реле промежуточное РЭП37-221-УХЛ4 220В</t>
  </si>
  <si>
    <t>Контактор Telemecanique TeSys D LC1-D150M7 150А категория AC-3 220В Schneider Electric</t>
  </si>
  <si>
    <t>Контактор электромагнитный КТИ-5265 265А 400В ИЭК KKT50-265-400-10</t>
  </si>
  <si>
    <t>Реле промежуточное ПЭ 37-42 220В ГОСТ 11152-82</t>
  </si>
  <si>
    <t>Кран шаровой фланцевый Vexve 154 251 Ду250 Ру25 с редуктором</t>
  </si>
  <si>
    <t>Задвижка 30с964нж Ду150 Ру25 фланцевая класс В под электропривод</t>
  </si>
  <si>
    <t>(0092) Кусковская ул., д. 18Г</t>
  </si>
  <si>
    <t>(0707) 6-й Загородный пр. вл.9</t>
  </si>
  <si>
    <t>Сер.кач-ва № 017318 от 30.11.2015</t>
  </si>
  <si>
    <t xml:space="preserve"> 10-40кПа</t>
  </si>
  <si>
    <t xml:space="preserve"> 90-720*11</t>
  </si>
  <si>
    <t>168*8-86*6</t>
  </si>
  <si>
    <t>080/н-Ф/Ф-Т-2-1-2/н-1-5</t>
  </si>
  <si>
    <t>ДГКИ-02-02.2</t>
  </si>
  <si>
    <t>60-133*9</t>
  </si>
  <si>
    <t>219*6-133*4</t>
  </si>
  <si>
    <t>90-530*12</t>
  </si>
  <si>
    <t>38*2-25*2</t>
  </si>
  <si>
    <t>45-325*10</t>
  </si>
  <si>
    <t>90-38*2,5</t>
  </si>
  <si>
    <t>45-76*3,5</t>
  </si>
  <si>
    <t>38*2-32*2</t>
  </si>
  <si>
    <t>76*3,5-57*3</t>
  </si>
  <si>
    <t>33,7*3,2-21,3*3,2</t>
  </si>
  <si>
    <t>90-42,4*2,6</t>
  </si>
  <si>
    <t>90-48,3*2,6</t>
  </si>
  <si>
    <t>90-1-20</t>
  </si>
  <si>
    <t>Ду32</t>
  </si>
  <si>
    <t>90-1-32</t>
  </si>
  <si>
    <t>А.05.02.ст3кп.09</t>
  </si>
  <si>
    <t xml:space="preserve"> А.10.02.ст3кп.09</t>
  </si>
  <si>
    <t>А.10.02.ст3кп</t>
  </si>
  <si>
    <t>V277-015 Ду15 Pу16</t>
  </si>
  <si>
    <t xml:space="preserve"> L600</t>
  </si>
  <si>
    <t>2000х100х15</t>
  </si>
  <si>
    <t xml:space="preserve"> 3000х50х15мм </t>
  </si>
  <si>
    <t>2000х50х15мм</t>
  </si>
  <si>
    <t>998-20-0 Ду20 Ру373 ЧЗЭМ</t>
  </si>
  <si>
    <t>ПФ-34-00-141х87х2</t>
  </si>
  <si>
    <t>ЦЧ-4-ф3 НАКС</t>
  </si>
  <si>
    <t>10-100/5</t>
  </si>
  <si>
    <t>120-124/158-164</t>
  </si>
  <si>
    <t xml:space="preserve"> У996</t>
  </si>
  <si>
    <t>Руководство по эксплуаатации АW.410.19.ХХН 03.2013</t>
  </si>
  <si>
    <t>AD5101А</t>
  </si>
  <si>
    <t>VA2305МA-1-1-25-D-1-1-100</t>
  </si>
  <si>
    <t>37-х0-00УХЛ3-200-2</t>
  </si>
  <si>
    <t>5-2-1,0-1,0</t>
  </si>
  <si>
    <t>120-124/170-176</t>
  </si>
  <si>
    <t>110-1002-1-3-100-500-1</t>
  </si>
  <si>
    <t>МВ-5000</t>
  </si>
  <si>
    <t>4 мод. 200x123x112</t>
  </si>
  <si>
    <t>10-3,75-1 У3 В/В предохр.</t>
  </si>
  <si>
    <t>102-2-02-2</t>
  </si>
  <si>
    <t>104-108/182-188</t>
  </si>
  <si>
    <t xml:space="preserve"> для флага тройной</t>
  </si>
  <si>
    <t>13П-У2-0,5-0,1МПа-01-М20-П</t>
  </si>
  <si>
    <t>104-108/158-164</t>
  </si>
  <si>
    <t>RM 69 ASF 20л</t>
  </si>
  <si>
    <t xml:space="preserve"> 331 110-1602-1-3-100-100-1</t>
  </si>
  <si>
    <t>для газосв</t>
  </si>
  <si>
    <t>96-100/170-176</t>
  </si>
  <si>
    <t>3шт SE 31563</t>
  </si>
  <si>
    <t>Нора-М 117</t>
  </si>
  <si>
    <t>Spray 400мл</t>
  </si>
  <si>
    <t>Т-0,66-М УЗ 200/5</t>
  </si>
  <si>
    <t xml:space="preserve"> Euroset 5020</t>
  </si>
  <si>
    <t>Т-70 T70CAW2 2м</t>
  </si>
  <si>
    <t>БПО-5-4</t>
  </si>
  <si>
    <t xml:space="preserve"> 25мм с дюбелем</t>
  </si>
  <si>
    <t xml:space="preserve">М8 32-36 </t>
  </si>
  <si>
    <t>РДД-2-X 2R BD</t>
  </si>
  <si>
    <t>натриевое жидкое Г13078-81</t>
  </si>
  <si>
    <t>СИЗ-2 100шт/уп</t>
  </si>
  <si>
    <t>V07 GE</t>
  </si>
  <si>
    <t xml:space="preserve"> 315А</t>
  </si>
  <si>
    <t>Г-3</t>
  </si>
  <si>
    <t>6/9мм</t>
  </si>
  <si>
    <t>10х50 500шт/уп</t>
  </si>
  <si>
    <t xml:space="preserve">1,60МПа-4-20мА-D34  </t>
  </si>
  <si>
    <t>6х8 (25м)</t>
  </si>
  <si>
    <t>34*4</t>
  </si>
  <si>
    <t>57*6</t>
  </si>
  <si>
    <t>45*3,5</t>
  </si>
  <si>
    <t>89*4 оцинк.</t>
  </si>
  <si>
    <t>57*3,5 оцинк.</t>
  </si>
  <si>
    <t>159*4,5 оцинк.</t>
  </si>
  <si>
    <t>219*8 оцинк.</t>
  </si>
  <si>
    <t>133*4-57*3 оцинк.</t>
  </si>
  <si>
    <t>273*7 оцинк.</t>
  </si>
  <si>
    <t>45*3 оцинк.</t>
  </si>
  <si>
    <t>НЗ-1,6-G1/2-М20</t>
  </si>
  <si>
    <t>168,3*7,1 оцинк.</t>
  </si>
  <si>
    <t>114,3*6,3-76,1*5 оцинк.</t>
  </si>
  <si>
    <t>114,3*6,3-88,9*5,6 оцинк</t>
  </si>
  <si>
    <t>168,3*7,1-114,3*6,3</t>
  </si>
  <si>
    <t>18.02.09</t>
  </si>
  <si>
    <t>М24 DIN 9021</t>
  </si>
  <si>
    <t>C.10.02.Ст3кп</t>
  </si>
  <si>
    <t>133*8-114*6 оцинк.</t>
  </si>
  <si>
    <t>А.6.01.10кп.016</t>
  </si>
  <si>
    <t>С.12.02.Ст3кп</t>
  </si>
  <si>
    <t>М8х20мм</t>
  </si>
  <si>
    <t>М6х10 с п/кр. гол.</t>
  </si>
  <si>
    <t xml:space="preserve"> А.8.01.10кп.016</t>
  </si>
  <si>
    <t>C.6.02.Ст3кп</t>
  </si>
  <si>
    <t xml:space="preserve"> А.16.01.10кп.016</t>
  </si>
  <si>
    <t>12 65Г Г6402-70 DIN127</t>
  </si>
  <si>
    <t xml:space="preserve"> 3,5х55 для ГКЛ, кр. рез.</t>
  </si>
  <si>
    <t>Ду025</t>
  </si>
  <si>
    <t>Ду015 оцинк</t>
  </si>
  <si>
    <t>Ду25</t>
  </si>
  <si>
    <t>159*6 оцинк</t>
  </si>
  <si>
    <t>М36-6gх200.58 (S55)</t>
  </si>
  <si>
    <t>50*50*4</t>
  </si>
  <si>
    <t>Ду025 оцинк</t>
  </si>
  <si>
    <t>DIN6798A</t>
  </si>
  <si>
    <t>Паспорт №АВГ.411152.021 ПС от 11.10.2017</t>
  </si>
  <si>
    <t>Бак Intervarem LS-20 Varem S2020361</t>
  </si>
  <si>
    <t>Кран МА39010 Ду300 Ру16</t>
  </si>
  <si>
    <t>Кран МА39010-02 Ду200 Ру16 КОФ</t>
  </si>
  <si>
    <t xml:space="preserve">Удовлетворительное </t>
  </si>
  <si>
    <t>3.NV.1205-2002</t>
  </si>
  <si>
    <t>данных нет</t>
  </si>
  <si>
    <t>Отвод 90-920х14-09Г2С-2,5 ТС-583-250</t>
  </si>
  <si>
    <t>Хорошее</t>
  </si>
  <si>
    <t>Труба 18х2 В 20 Г8734-75 Г8733-74</t>
  </si>
  <si>
    <t>Кран 10с9пм Ду40 Ру16 КОФ</t>
  </si>
  <si>
    <t>Б/У Блок управления с автоматом 63А</t>
  </si>
  <si>
    <t>Б/У Вставка плавкая ПВД-20 УзН</t>
  </si>
  <si>
    <t>Б/У Выкл. авт. А63-М-У3 1п 4А</t>
  </si>
  <si>
    <t>Б/У Выкл. авт. АЕ2026-10Н-00У3 10А</t>
  </si>
  <si>
    <t>Б/У Выкл. авт. АЕ2026-10Н-00У3 16А</t>
  </si>
  <si>
    <t>Б/У Выкл. авт. АЕ2036-40рУ3 6А</t>
  </si>
  <si>
    <t>Б/У Выкл. авт. АЕ2046М-10р-00У3 16А</t>
  </si>
  <si>
    <t>Б/У Выкл. авт. АЕ204М-0-00У3 5А</t>
  </si>
  <si>
    <t>Б/У Кабель MПС Lazer</t>
  </si>
  <si>
    <t>Б/У Кабель Siemens AT-VYY 2G62,5/125</t>
  </si>
  <si>
    <t>Б/У Кабель ДРЖ5139004-10 NA178</t>
  </si>
  <si>
    <t>Б/У Кабель коаксиальный</t>
  </si>
  <si>
    <t>Б/У Клещи токоизмер. Ц-90</t>
  </si>
  <si>
    <t>Б/У Конвертер I-7188E5-485 ICP DAS</t>
  </si>
  <si>
    <t>Б/У Преобразователь NPort 6110 Moxa</t>
  </si>
  <si>
    <t>Б/У Реле РПУ-2 У3 220В</t>
  </si>
  <si>
    <t>Б/У Штанга ШЗП-10Н РУ</t>
  </si>
  <si>
    <t>Б/У Э/нагреватель ТЭН</t>
  </si>
  <si>
    <t>Блок питания AccordTec ББП-20</t>
  </si>
  <si>
    <t>Диод SD1500C20L DO-200AC</t>
  </si>
  <si>
    <t>Кабель АВВГнг-LS 5х10(ож)-1</t>
  </si>
  <si>
    <t>Кабель оптический ЭКБ-ДПС-П-08Г</t>
  </si>
  <si>
    <t>Клещи Ц 4502</t>
  </si>
  <si>
    <t>Модуль ABB 23BA30 GSNE001500R0001</t>
  </si>
  <si>
    <t>Переключатель ПК16-54И0101 УХЛ2</t>
  </si>
  <si>
    <t>Переключатель ПК16-54И0103 УХЛ2</t>
  </si>
  <si>
    <t>Переключатель ПК16-54И3014</t>
  </si>
  <si>
    <t>Переключатель ПК16-54И3090 УХЛ2</t>
  </si>
  <si>
    <t>Подшипник 6324 FAG</t>
  </si>
  <si>
    <t>Подшипник 6324CM NSK</t>
  </si>
  <si>
    <t>Подшипник 7322В</t>
  </si>
  <si>
    <t>Предохранитель резьбовой ПРС-25У3-П 20А</t>
  </si>
  <si>
    <t>Резистор С5-35В 50Вт 1кОм Б%</t>
  </si>
  <si>
    <t>ТКП-160Сг-М2-УХЛ2-(0+120)С-2,5-4-160-А</t>
  </si>
  <si>
    <t>Труба гофрир. ПВХ 40мм DKC 90940</t>
  </si>
  <si>
    <t>Труба гофрир. ПВХ 50мм зонд ИЭК</t>
  </si>
  <si>
    <t>Труба гофрир. ПНД 32мм DKC 70732</t>
  </si>
  <si>
    <t>Трубка ПВХ ТВ-40 6мм Г19034-82</t>
  </si>
  <si>
    <t>(0607)РТС "Теплый стан" Мосэнерго, Новоясеневский прспект д.8, к.3</t>
  </si>
  <si>
    <t>(0606) Ц/Склал Верхние Поля д.25 на ответственном хранении</t>
  </si>
  <si>
    <t>ЩСУ-3 220х800х600</t>
  </si>
  <si>
    <t>ШПЧ 3-9</t>
  </si>
  <si>
    <t>ШПЧ 3-11</t>
  </si>
  <si>
    <t>В наличии</t>
  </si>
  <si>
    <t>(2007) Мироновская ул., д. 9А</t>
  </si>
  <si>
    <t>2010</t>
  </si>
  <si>
    <t>(0906) Дубравная ул.  д.55</t>
  </si>
  <si>
    <t>(0903) Проезд № 607 д. 22</t>
  </si>
  <si>
    <t>Описание</t>
  </si>
  <si>
    <t>Руководство по эксплуатации</t>
  </si>
  <si>
    <t>(0202) Смольная ул., д. 32 Б</t>
  </si>
  <si>
    <t>(0911) Строительный пр.,д.14 к.1</t>
  </si>
  <si>
    <t>(0206) Смольная ул., д. 32 Б</t>
  </si>
  <si>
    <t>(0507) Сурский пр-д, д. 5, стр. 1</t>
  </si>
  <si>
    <t>(0508) Перерва ул., д. 23, стр. 3</t>
  </si>
  <si>
    <t>(0501) Перерва ул.,23, стр. 2</t>
  </si>
  <si>
    <t>(0506) Оранжерейная ул., д.8а, стр.1</t>
  </si>
  <si>
    <t>(0513) Перерва ул., д.20</t>
  </si>
  <si>
    <t>3.NV.1201-2002</t>
  </si>
  <si>
    <t>(0102) Новослободкая ул., д.50/52, стр.18</t>
  </si>
  <si>
    <t>(0102) Новослободская ул., д.50/52, стр.18</t>
  </si>
  <si>
    <t>(0108) Новослободская ул., д.50/52, стр.18</t>
  </si>
  <si>
    <t>(0119) Переулок Васнецова, д. 11А</t>
  </si>
  <si>
    <t>(0101)1-й Сетунский пр-д, д. 10Г</t>
  </si>
  <si>
    <t>(0104) ул. М. Дмитровка, д. 25</t>
  </si>
  <si>
    <t>(0101) 1-й Сетунский пр-д, д. 10Г</t>
  </si>
  <si>
    <t>(0105) Б. Предтеченский пер., д. 27/29 стр. 2а</t>
  </si>
  <si>
    <t>(0098) Верхние поля, 25</t>
  </si>
  <si>
    <t>(0073) Беломорская, 38А, стр.10</t>
  </si>
  <si>
    <t>(0303) Молодцова ул., д.9</t>
  </si>
  <si>
    <t>(1650) Профсоюзная ул., д. 93, к. 3а</t>
  </si>
  <si>
    <t>(1642) 2-й Сетуньский пр-д, 5а</t>
  </si>
  <si>
    <t>(0459) Измайловская пл.,вл.6,стр.2</t>
  </si>
  <si>
    <t>(0405) Пушкарев пер.,6</t>
  </si>
  <si>
    <t>(0449) Косинская ул,3В</t>
  </si>
  <si>
    <t>(0707) 6-й Загородный пр-д, вл.9</t>
  </si>
  <si>
    <t>(0094) Кусковская 18Г</t>
  </si>
  <si>
    <t>Л.</t>
  </si>
  <si>
    <t>(2009) 3-я Кабельная, д. 2Б</t>
  </si>
  <si>
    <t>(0327) Добролюбова ул., д. 18А</t>
  </si>
  <si>
    <t>(0307) Проспект Мира д.177А, стр1</t>
  </si>
  <si>
    <t>(0807) Боровское шоссе, д.10</t>
  </si>
  <si>
    <t>(0801) Очаковское ш., д. 22</t>
  </si>
  <si>
    <t>(0817) Боровское шоссе, д.10</t>
  </si>
  <si>
    <t>(0817) Боровское ш., д.10</t>
  </si>
  <si>
    <t>(1690) Боровский пр-д, д.13а</t>
  </si>
  <si>
    <t>Набивка АГИ 10х10 Г5152-84</t>
  </si>
  <si>
    <t>(0074) Беломорская, 38А, стр.10</t>
  </si>
  <si>
    <t>Бак Flexcon М 1600 Ру6 Flamco 22109</t>
  </si>
  <si>
    <t>Переход К-159х4,5-89х3,5-20 оцин. Г17378</t>
  </si>
  <si>
    <t>Труба 133х5 В 20 Г8732 Г8731 оцинк.</t>
  </si>
  <si>
    <t>Труба 219х6 В 20 Г8732 Г8731 оцинк.</t>
  </si>
  <si>
    <t>Труба 76х4 В 20 Г8732 Г8731 оцинк.</t>
  </si>
  <si>
    <t>Технический паспорт №6990/01/2016, Сертификат №C_IT.АГ93.В.09629 срок действия по 28.12.2017, Декларация соответствия ТС№RU Д-NL.ФЛ16.В.53258</t>
  </si>
  <si>
    <t>Электрод МНЧ-2-ф3 НАКС</t>
  </si>
  <si>
    <t>(0307) Проспект Мира, д. 177а, стр. 1</t>
  </si>
  <si>
    <t>Подушка опорная теплотрасс ОПТ-4</t>
  </si>
  <si>
    <t>Подушка опорная теплотрасс ОПТ-6</t>
  </si>
  <si>
    <t>Блок упр. Landis LFL1.322</t>
  </si>
  <si>
    <t>(0507) Ставропольская ул. 27Б</t>
  </si>
  <si>
    <t>(0807) Боровское ш., д.10</t>
  </si>
  <si>
    <t>(2006) Авиамоторная ул., д. 9</t>
  </si>
  <si>
    <t>Паспорт кач. б/н от 16.04.18</t>
  </si>
  <si>
    <t>Паспорт 523.СЭТ3.000</t>
  </si>
  <si>
    <t>Паспорт ГС.001.088</t>
  </si>
  <si>
    <t>Паспорт 6НВ.534.276 ПС</t>
  </si>
  <si>
    <t>Паспорт НИЮУ.640100.003ПС</t>
  </si>
  <si>
    <t>Руководство по эксплуаатации</t>
  </si>
  <si>
    <t>Паспорт БП07-000-00ПС 09.08.2011г</t>
  </si>
  <si>
    <t>Паспорт АГБР.406239.001-06 ЭТ 11.2011</t>
  </si>
  <si>
    <t>Паспорт 03.05.2012г</t>
  </si>
  <si>
    <t>Паспорт 26.06.2012</t>
  </si>
  <si>
    <t>Паспорт 25.04.2013</t>
  </si>
  <si>
    <t>Паспорт МДВГ.406233.033 ПС 26.02.2007г</t>
  </si>
  <si>
    <t>Паспорт ТКСИ.421262.012 ПС 07,2011.</t>
  </si>
  <si>
    <t>Паспорт ялиб.406111.002 пс</t>
  </si>
  <si>
    <t>Руководство по эксплуатации ТКСИ.421111.027 РЭ  18.07.2010</t>
  </si>
  <si>
    <t>Паспорт ОМС.100000.022-01ПС  08.2015</t>
  </si>
  <si>
    <t>Руководство пользователя 27.07.2010г</t>
  </si>
  <si>
    <t>Паспорт АW,408.18 ХХР 19.11.2009</t>
  </si>
  <si>
    <t>Руководство по эксплуатации ТЖИУ.406423.001РЭ 17.09.2008</t>
  </si>
  <si>
    <t>Сертификат качества 1355*2014/0685</t>
  </si>
  <si>
    <t>Сертификат качества 0017*2015/0268</t>
  </si>
  <si>
    <t>Карта качества В 60860140</t>
  </si>
  <si>
    <t>Паспорт 40-07-5020 ПС</t>
  </si>
  <si>
    <t>Паспорт, руководство по эксплуатации</t>
  </si>
  <si>
    <t>Паспорт, методика поверки</t>
  </si>
  <si>
    <t>Паспорт 31682, 31702, 31681, 31687, 31686, 31696, 31706, 31691, 28863, 31695, 31689, 31697, 31683, 31701, 31680, 31685,31693</t>
  </si>
  <si>
    <t>Паспорт 28872, 28871, 28873, 28870</t>
  </si>
  <si>
    <t>Паспорт 28686, 29651</t>
  </si>
  <si>
    <t>Паспорт 28854</t>
  </si>
  <si>
    <t>Паспорт 28896, 28825</t>
  </si>
  <si>
    <t>Паспорт без №</t>
  </si>
  <si>
    <t>Паспорт б/н 07.06.2014/серт.РОСС RU,АГ93.Н03486</t>
  </si>
  <si>
    <t>Сопроводительная карта ,66119494</t>
  </si>
  <si>
    <t>Карта качества, В60715710</t>
  </si>
  <si>
    <t>Паспорт б/н 07.06.2014 серт. отсутствует</t>
  </si>
  <si>
    <t>Паспорт1ГГ.671224.006ПС 17.07.2006г</t>
  </si>
  <si>
    <t>Паспорт ЮТЛИ.402239.002 ПС 26.07.2012</t>
  </si>
  <si>
    <t>Карта качества В61100031 от 14.01.2011г</t>
  </si>
  <si>
    <t>Карта качества, Н50705440</t>
  </si>
  <si>
    <t>Карта качества,820707220</t>
  </si>
  <si>
    <t>Старый образец</t>
  </si>
  <si>
    <t xml:space="preserve"> Цена
 имущества 
 (за единицу),
 руб.
</t>
  </si>
  <si>
    <t>Первоначальная стоимость имущества,
руб.</t>
  </si>
  <si>
    <t>Регулятор GDJ 50R 04-0 R2 (Pb</t>
  </si>
  <si>
    <t>Опора скольз. Ду57 ТС 730.00.00.00 СБ</t>
  </si>
  <si>
    <t>Балансовая  (остаточная) стоимость имущества,
руб.</t>
  </si>
  <si>
    <t xml:space="preserve">Технические паспорта 34 ШТ  </t>
  </si>
  <si>
    <t>Маска сварщика НН7-С-4 Премьер-2</t>
  </si>
  <si>
    <t>(0073) Беломорская ул. д.38А стр.10</t>
  </si>
  <si>
    <t>Номер лота</t>
  </si>
  <si>
    <t>Наименование лота</t>
  </si>
  <si>
    <t>Арматура трубопроводная. Клапаны.</t>
  </si>
  <si>
    <t>Высоковольтная аппаратура</t>
  </si>
  <si>
    <t>Газовое оборудование</t>
  </si>
  <si>
    <t>Детали трубопровода</t>
  </si>
  <si>
    <t>Детали трубопровода.Фитинги.</t>
  </si>
  <si>
    <t>Детали трубопровода.Фланцы.</t>
  </si>
  <si>
    <t>Запчасти к арматуре трубопроводной</t>
  </si>
  <si>
    <t>Запчасти к КИПиА</t>
  </si>
  <si>
    <t>Запчасти к расширительным бакам</t>
  </si>
  <si>
    <t>Запчасти к теплообменным аппаратам</t>
  </si>
  <si>
    <t>Запчасти к транспорту</t>
  </si>
  <si>
    <t>Запчасти к турбинам паровым</t>
  </si>
  <si>
    <t>Инструмент</t>
  </si>
  <si>
    <t xml:space="preserve">Кабельно-проводниковая продукция </t>
  </si>
  <si>
    <t>КИПиА</t>
  </si>
  <si>
    <t>КИПиА, метрология, мановакуумметр</t>
  </si>
  <si>
    <t>Компенсатор для ГТД</t>
  </si>
  <si>
    <t>Котельно-вспомогательное оборудование</t>
  </si>
  <si>
    <t>Масла и смазки</t>
  </si>
  <si>
    <t>Материалы электромонтажные</t>
  </si>
  <si>
    <t>Металлоизделия</t>
  </si>
  <si>
    <t>Насосы</t>
  </si>
  <si>
    <t xml:space="preserve">Низковольтная аппаратура </t>
  </si>
  <si>
    <t>Оборудование вентиляционное</t>
  </si>
  <si>
    <t>Оборудование видеонаблюдения</t>
  </si>
  <si>
    <t>Оборудование лабораторное, измерительные инструменты</t>
  </si>
  <si>
    <t>Оборудование подъемно-транспортное и запчасти к оборудованию</t>
  </si>
  <si>
    <t>Оборудование сантехническое</t>
  </si>
  <si>
    <t>Оборудование светотехническое</t>
  </si>
  <si>
    <t>Опоры трубопроводов</t>
  </si>
  <si>
    <t>Подшипники     </t>
  </si>
  <si>
    <t>Пожарное оборудование</t>
  </si>
  <si>
    <t>ППУ</t>
  </si>
  <si>
    <t>Регуляторы</t>
  </si>
  <si>
    <t>Резинотехнические и электроизоляционные материалы</t>
  </si>
  <si>
    <t>Средства индивидуальной защиты</t>
  </si>
  <si>
    <t>Строительные материалы</t>
  </si>
  <si>
    <t xml:space="preserve">Считыватель карт </t>
  </si>
  <si>
    <t>Трубы пластмассовые</t>
  </si>
  <si>
    <t>Упаковочные материалы</t>
  </si>
  <si>
    <t>Уплотнение</t>
  </si>
  <si>
    <t>Устройство связи</t>
  </si>
  <si>
    <t>Фильтрующие материалы</t>
  </si>
  <si>
    <t>Хозтовары, инвентарь</t>
  </si>
  <si>
    <t xml:space="preserve">Шаровые краны до 200 мм </t>
  </si>
  <si>
    <t xml:space="preserve">Шаровые краны свыше 200 мм </t>
  </si>
  <si>
    <t>Электродвигатели</t>
  </si>
  <si>
    <t>Электрооборудование</t>
  </si>
  <si>
    <t>Электроустановочные изделия</t>
  </si>
  <si>
    <t>Арматура трубопроводная. Задвижки</t>
  </si>
  <si>
    <t>Арматура трубопроводная. Затворы.</t>
  </si>
  <si>
    <t>Арматура трубопроводная. Электропривод.</t>
  </si>
  <si>
    <t>Асбестотехнические и резинотехнические изделия</t>
  </si>
  <si>
    <t>Комплектующие и расходные материалы к компьютерному оборудованию</t>
  </si>
  <si>
    <t>Сварочное оборудование, запчасти, электроды</t>
  </si>
  <si>
    <t>Индекс</t>
  </si>
  <si>
    <t>А0002</t>
  </si>
  <si>
    <t>А0004</t>
  </si>
  <si>
    <t>А0006</t>
  </si>
  <si>
    <t>А0007</t>
  </si>
  <si>
    <t>А0008</t>
  </si>
  <si>
    <t>А0009</t>
  </si>
  <si>
    <t>А0013</t>
  </si>
  <si>
    <t>А0016</t>
  </si>
  <si>
    <t>А0020</t>
  </si>
  <si>
    <t>А0021</t>
  </si>
  <si>
    <t>А0023</t>
  </si>
  <si>
    <t>А0029</t>
  </si>
  <si>
    <t>А0031</t>
  </si>
  <si>
    <t>А0033</t>
  </si>
  <si>
    <t>А0034</t>
  </si>
  <si>
    <t>А0036</t>
  </si>
  <si>
    <t>А0040</t>
  </si>
  <si>
    <t>А0042</t>
  </si>
  <si>
    <t>А0043</t>
  </si>
  <si>
    <t>А0046</t>
  </si>
  <si>
    <t>А0047</t>
  </si>
  <si>
    <t>А0048</t>
  </si>
  <si>
    <t>А0049</t>
  </si>
  <si>
    <t>А0050</t>
  </si>
  <si>
    <t>А0051</t>
  </si>
  <si>
    <t>А0052</t>
  </si>
  <si>
    <t>А0053</t>
  </si>
  <si>
    <t>А0055</t>
  </si>
  <si>
    <t>А0056</t>
  </si>
  <si>
    <t>А0057</t>
  </si>
  <si>
    <t>А0060</t>
  </si>
  <si>
    <t>А0061</t>
  </si>
  <si>
    <t>А0062</t>
  </si>
  <si>
    <t>А0063</t>
  </si>
  <si>
    <t>А0064</t>
  </si>
  <si>
    <t>А0065</t>
  </si>
  <si>
    <t>А0066</t>
  </si>
  <si>
    <t>А0067</t>
  </si>
  <si>
    <t>А0068</t>
  </si>
  <si>
    <t>А0069</t>
  </si>
  <si>
    <t>А0070</t>
  </si>
  <si>
    <t>А0071</t>
  </si>
  <si>
    <t>А0072</t>
  </si>
  <si>
    <t>А0073</t>
  </si>
  <si>
    <t>А0076</t>
  </si>
  <si>
    <t>А0078</t>
  </si>
  <si>
    <t>А0079</t>
  </si>
  <si>
    <t>А0080</t>
  </si>
  <si>
    <t>А0081</t>
  </si>
  <si>
    <t>А0082</t>
  </si>
  <si>
    <t>А0083</t>
  </si>
  <si>
    <t>А0085</t>
  </si>
  <si>
    <t>А0086</t>
  </si>
  <si>
    <t>А0087</t>
  </si>
  <si>
    <t>А0088</t>
  </si>
  <si>
    <t>А0089</t>
  </si>
  <si>
    <t>А0091</t>
  </si>
  <si>
    <t>А0093</t>
  </si>
  <si>
    <t>А0094</t>
  </si>
  <si>
    <t>А0095</t>
  </si>
  <si>
    <t>А0096</t>
  </si>
  <si>
    <t>А0097</t>
  </si>
  <si>
    <t>А0098</t>
  </si>
  <si>
    <t>А0101</t>
  </si>
  <si>
    <t>А0102</t>
  </si>
  <si>
    <t>А0103</t>
  </si>
  <si>
    <t>А0104</t>
  </si>
  <si>
    <t>А0105</t>
  </si>
  <si>
    <t>А0106</t>
  </si>
  <si>
    <t>А0107</t>
  </si>
  <si>
    <t>А0109</t>
  </si>
  <si>
    <t>А0112</t>
  </si>
  <si>
    <t>А0114</t>
  </si>
  <si>
    <t>А0115</t>
  </si>
  <si>
    <t>А0116</t>
  </si>
  <si>
    <t>А0117</t>
  </si>
  <si>
    <t>А0118</t>
  </si>
  <si>
    <t>А0119</t>
  </si>
  <si>
    <t>А0120</t>
  </si>
  <si>
    <t>А0121</t>
  </si>
  <si>
    <t>А0122</t>
  </si>
  <si>
    <t>А0123</t>
  </si>
  <si>
    <t>А0124</t>
  </si>
  <si>
    <t>А0125</t>
  </si>
  <si>
    <t>А0126</t>
  </si>
  <si>
    <t>А0127</t>
  </si>
  <si>
    <t>А0128</t>
  </si>
  <si>
    <t>А0129</t>
  </si>
  <si>
    <t>А0130</t>
  </si>
  <si>
    <t>А0132</t>
  </si>
  <si>
    <t>А0133</t>
  </si>
  <si>
    <t>А0134</t>
  </si>
  <si>
    <t>А0135</t>
  </si>
  <si>
    <t>А0136</t>
  </si>
  <si>
    <t>А0137</t>
  </si>
  <si>
    <t>А0138</t>
  </si>
  <si>
    <t>А0139</t>
  </si>
  <si>
    <t>А0142</t>
  </si>
  <si>
    <t>А0143</t>
  </si>
  <si>
    <t>А0144</t>
  </si>
  <si>
    <t>А0145</t>
  </si>
  <si>
    <t>А0153</t>
  </si>
  <si>
    <t>А0154</t>
  </si>
  <si>
    <t>А0155</t>
  </si>
  <si>
    <t>А0166</t>
  </si>
  <si>
    <t>А0167</t>
  </si>
  <si>
    <t>А0168</t>
  </si>
  <si>
    <t>А0169</t>
  </si>
  <si>
    <t>А0171</t>
  </si>
  <si>
    <t>А0172</t>
  </si>
  <si>
    <t>А0173</t>
  </si>
  <si>
    <t>А0175</t>
  </si>
  <si>
    <t>А0176</t>
  </si>
  <si>
    <t>А0177</t>
  </si>
  <si>
    <t>А0179</t>
  </si>
  <si>
    <t>А0180</t>
  </si>
  <si>
    <t>А0181</t>
  </si>
  <si>
    <t>А0182</t>
  </si>
  <si>
    <t>А0183</t>
  </si>
  <si>
    <t>А0184</t>
  </si>
  <si>
    <t>А0185</t>
  </si>
  <si>
    <t>А0186</t>
  </si>
  <si>
    <t>А0187</t>
  </si>
  <si>
    <t>А0188</t>
  </si>
  <si>
    <t>А0189</t>
  </si>
  <si>
    <t>А0190</t>
  </si>
  <si>
    <t>А0191</t>
  </si>
  <si>
    <t>А0192</t>
  </si>
  <si>
    <t>А0193</t>
  </si>
  <si>
    <t>А0194</t>
  </si>
  <si>
    <t>А0196</t>
  </si>
  <si>
    <t>А0197</t>
  </si>
  <si>
    <t>А0198</t>
  </si>
  <si>
    <t>А0199</t>
  </si>
  <si>
    <t>А0200</t>
  </si>
  <si>
    <t>А0201</t>
  </si>
  <si>
    <t>А0203</t>
  </si>
  <si>
    <t>А0205</t>
  </si>
  <si>
    <t>А0206</t>
  </si>
  <si>
    <t>А0207</t>
  </si>
  <si>
    <t>А0210</t>
  </si>
  <si>
    <t>А0216</t>
  </si>
  <si>
    <t>А0217</t>
  </si>
  <si>
    <t>А0218</t>
  </si>
  <si>
    <t>А0219</t>
  </si>
  <si>
    <t>А0220</t>
  </si>
  <si>
    <t>А0221</t>
  </si>
  <si>
    <t>А0223</t>
  </si>
  <si>
    <t>А0224</t>
  </si>
  <si>
    <t>А0225</t>
  </si>
  <si>
    <t>А0226</t>
  </si>
  <si>
    <t>А0227</t>
  </si>
  <si>
    <t>А0228</t>
  </si>
  <si>
    <t>А0229</t>
  </si>
  <si>
    <t>А0230</t>
  </si>
  <si>
    <t>А0232</t>
  </si>
  <si>
    <t>А0233</t>
  </si>
  <si>
    <t>А0234</t>
  </si>
  <si>
    <t>А0237</t>
  </si>
  <si>
    <t>А0238</t>
  </si>
  <si>
    <t>А0239</t>
  </si>
  <si>
    <t>А0240</t>
  </si>
  <si>
    <t>А0242</t>
  </si>
  <si>
    <t>А0243</t>
  </si>
  <si>
    <t>А0244</t>
  </si>
  <si>
    <t>А0245</t>
  </si>
  <si>
    <t>А0246</t>
  </si>
  <si>
    <t>А0247</t>
  </si>
  <si>
    <t>А0248</t>
  </si>
  <si>
    <t>А0250</t>
  </si>
  <si>
    <t>А0251</t>
  </si>
  <si>
    <t>А0252</t>
  </si>
  <si>
    <t>А0253</t>
  </si>
  <si>
    <t>А0254</t>
  </si>
  <si>
    <t>А0255</t>
  </si>
  <si>
    <t>А0257</t>
  </si>
  <si>
    <t>А0258</t>
  </si>
  <si>
    <t>А0259</t>
  </si>
  <si>
    <t>А0260</t>
  </si>
  <si>
    <t>А0263</t>
  </si>
  <si>
    <t>А0265</t>
  </si>
  <si>
    <t>А0266</t>
  </si>
  <si>
    <t>А0267</t>
  </si>
  <si>
    <t>А0268</t>
  </si>
  <si>
    <t>А0269</t>
  </si>
  <si>
    <t>А0270</t>
  </si>
  <si>
    <t>А0271</t>
  </si>
  <si>
    <t>А0274</t>
  </si>
  <si>
    <t>А0278</t>
  </si>
  <si>
    <t>А0280</t>
  </si>
  <si>
    <t>А0281</t>
  </si>
  <si>
    <t>А0282</t>
  </si>
  <si>
    <t>А0283</t>
  </si>
  <si>
    <t>А0285</t>
  </si>
  <si>
    <t>А0286</t>
  </si>
  <si>
    <t>А0287</t>
  </si>
  <si>
    <t>А0289</t>
  </si>
  <si>
    <t>А0291</t>
  </si>
  <si>
    <t>А0292</t>
  </si>
  <si>
    <t>А0295</t>
  </si>
  <si>
    <t>А0296</t>
  </si>
  <si>
    <t>А0297</t>
  </si>
  <si>
    <t>А0298</t>
  </si>
  <si>
    <t>А0299</t>
  </si>
  <si>
    <t>А0301</t>
  </si>
  <si>
    <t>А0305</t>
  </si>
  <si>
    <t>А0306</t>
  </si>
  <si>
    <t>А0309</t>
  </si>
  <si>
    <t>А0311</t>
  </si>
  <si>
    <t>А0312</t>
  </si>
  <si>
    <t>А0313</t>
  </si>
  <si>
    <t>А0314</t>
  </si>
  <si>
    <t>А0316</t>
  </si>
  <si>
    <t>А0321</t>
  </si>
  <si>
    <t>А0323</t>
  </si>
  <si>
    <t>А0327</t>
  </si>
  <si>
    <t>А0328</t>
  </si>
  <si>
    <t>А0329</t>
  </si>
  <si>
    <t>А0330</t>
  </si>
  <si>
    <t>А0331</t>
  </si>
  <si>
    <t>А0332</t>
  </si>
  <si>
    <t>А0334</t>
  </si>
  <si>
    <t>А0337</t>
  </si>
  <si>
    <t>А0338</t>
  </si>
  <si>
    <t>А0339</t>
  </si>
  <si>
    <t>А0340</t>
  </si>
  <si>
    <t>А0341</t>
  </si>
  <si>
    <t>А0342</t>
  </si>
  <si>
    <t>А0348</t>
  </si>
  <si>
    <t>А0351</t>
  </si>
  <si>
    <t>А0352</t>
  </si>
  <si>
    <t>А0353</t>
  </si>
  <si>
    <t>А0357</t>
  </si>
  <si>
    <t>А0358</t>
  </si>
  <si>
    <t>А0359</t>
  </si>
  <si>
    <t>А0360</t>
  </si>
  <si>
    <t>А0361</t>
  </si>
  <si>
    <t>А0362</t>
  </si>
  <si>
    <t>А0364</t>
  </si>
  <si>
    <t>А0365</t>
  </si>
  <si>
    <t>А0366</t>
  </si>
  <si>
    <t>А0367</t>
  </si>
  <si>
    <t>А0369</t>
  </si>
  <si>
    <t>А0373</t>
  </si>
  <si>
    <t>А0374</t>
  </si>
  <si>
    <t>А0375</t>
  </si>
  <si>
    <t>А0377</t>
  </si>
  <si>
    <t>А0378</t>
  </si>
  <si>
    <t>А0384</t>
  </si>
  <si>
    <t>А0388</t>
  </si>
  <si>
    <t>А0390</t>
  </si>
  <si>
    <t>А0392</t>
  </si>
  <si>
    <t>А0393</t>
  </si>
  <si>
    <t>А0396</t>
  </si>
  <si>
    <t>А0397</t>
  </si>
  <si>
    <t>А0398</t>
  </si>
  <si>
    <t>А0399</t>
  </si>
  <si>
    <t>А0400</t>
  </si>
  <si>
    <t>А0401</t>
  </si>
  <si>
    <t>А0402</t>
  </si>
  <si>
    <t>А0410</t>
  </si>
  <si>
    <t>А0411</t>
  </si>
  <si>
    <t>А0412</t>
  </si>
  <si>
    <t>А0413</t>
  </si>
  <si>
    <t>А0414</t>
  </si>
  <si>
    <t>А0415</t>
  </si>
  <si>
    <t>А0416</t>
  </si>
  <si>
    <t>А0417</t>
  </si>
  <si>
    <t>А0418</t>
  </si>
  <si>
    <t>А0419</t>
  </si>
  <si>
    <t>А0420</t>
  </si>
  <si>
    <t>А0421</t>
  </si>
  <si>
    <t>А0422</t>
  </si>
  <si>
    <t>А0423</t>
  </si>
  <si>
    <t>А0424</t>
  </si>
  <si>
    <t>А0425</t>
  </si>
  <si>
    <t>А0426</t>
  </si>
  <si>
    <t>А0427</t>
  </si>
  <si>
    <t>А0428</t>
  </si>
  <si>
    <t>А0429</t>
  </si>
  <si>
    <t>А0430</t>
  </si>
  <si>
    <t>А0431</t>
  </si>
  <si>
    <t>А0432</t>
  </si>
  <si>
    <t>А0433</t>
  </si>
  <si>
    <t>А0434</t>
  </si>
  <si>
    <t>А0435</t>
  </si>
  <si>
    <t>А0436</t>
  </si>
  <si>
    <t>А0437</t>
  </si>
  <si>
    <t>А0439</t>
  </si>
  <si>
    <t>А0440</t>
  </si>
  <si>
    <t>А0441</t>
  </si>
  <si>
    <t>А0442</t>
  </si>
  <si>
    <t>А0443</t>
  </si>
  <si>
    <t>А0444</t>
  </si>
  <si>
    <t>А0445</t>
  </si>
  <si>
    <t>А0446</t>
  </si>
  <si>
    <t>А0447</t>
  </si>
  <si>
    <t>А0448</t>
  </si>
  <si>
    <t>А0449</t>
  </si>
  <si>
    <t>А0450</t>
  </si>
  <si>
    <t>А0451</t>
  </si>
  <si>
    <t>А0452</t>
  </si>
  <si>
    <t>А0453</t>
  </si>
  <si>
    <t>А0454</t>
  </si>
  <si>
    <t>А0455</t>
  </si>
  <si>
    <t>А0456</t>
  </si>
  <si>
    <t>А0457</t>
  </si>
  <si>
    <t>А0458</t>
  </si>
  <si>
    <t>А0459</t>
  </si>
  <si>
    <t>А0460</t>
  </si>
  <si>
    <t>А0461</t>
  </si>
  <si>
    <t>А0462</t>
  </si>
  <si>
    <t>А0463</t>
  </si>
  <si>
    <t>А0464</t>
  </si>
  <si>
    <t>А0465</t>
  </si>
  <si>
    <t>А0466</t>
  </si>
  <si>
    <t>А0467</t>
  </si>
  <si>
    <t>А0468</t>
  </si>
  <si>
    <t>А0469</t>
  </si>
  <si>
    <t>А0470</t>
  </si>
  <si>
    <t>А0471</t>
  </si>
  <si>
    <t>А0472</t>
  </si>
  <si>
    <t>А0473</t>
  </si>
  <si>
    <t>А0474</t>
  </si>
  <si>
    <t>А0475</t>
  </si>
  <si>
    <t>А0476</t>
  </si>
  <si>
    <t>А0478</t>
  </si>
  <si>
    <t>А0479</t>
  </si>
  <si>
    <t>А0480</t>
  </si>
  <si>
    <t>А0481</t>
  </si>
  <si>
    <t>А0482</t>
  </si>
  <si>
    <t>А0483</t>
  </si>
  <si>
    <t>А0484</t>
  </si>
  <si>
    <t>А0485</t>
  </si>
  <si>
    <t>А0486</t>
  </si>
  <si>
    <t>А0487</t>
  </si>
  <si>
    <t>А0488</t>
  </si>
  <si>
    <t>А0489</t>
  </si>
  <si>
    <t>А0490</t>
  </si>
  <si>
    <t>А0491</t>
  </si>
  <si>
    <t>А0492</t>
  </si>
  <si>
    <t>А0493</t>
  </si>
  <si>
    <t>А0494</t>
  </si>
  <si>
    <t>А0495</t>
  </si>
  <si>
    <t>А0496</t>
  </si>
  <si>
    <t>А0497</t>
  </si>
  <si>
    <t>А0498</t>
  </si>
  <si>
    <t>А0499</t>
  </si>
  <si>
    <t>А0500</t>
  </si>
  <si>
    <t>А0501</t>
  </si>
  <si>
    <t>А0502</t>
  </si>
  <si>
    <t>А0503</t>
  </si>
  <si>
    <t>А0504</t>
  </si>
  <si>
    <t>А0505</t>
  </si>
  <si>
    <t>А0506</t>
  </si>
  <si>
    <t>А0507</t>
  </si>
  <si>
    <t>А0508</t>
  </si>
  <si>
    <t>А0509</t>
  </si>
  <si>
    <t>А0510</t>
  </si>
  <si>
    <t>А0511</t>
  </si>
  <si>
    <t>А0512</t>
  </si>
  <si>
    <t>А0513</t>
  </si>
  <si>
    <t>А0514</t>
  </si>
  <si>
    <t>А0515</t>
  </si>
  <si>
    <t>А0516</t>
  </si>
  <si>
    <t>А0517</t>
  </si>
  <si>
    <t>А0518</t>
  </si>
  <si>
    <t>А0519</t>
  </si>
  <si>
    <t>А0520</t>
  </si>
  <si>
    <t>А0521</t>
  </si>
  <si>
    <t>А0522</t>
  </si>
  <si>
    <t>А0523</t>
  </si>
  <si>
    <t>А0524</t>
  </si>
  <si>
    <t>А0525</t>
  </si>
  <si>
    <t>А0526</t>
  </si>
  <si>
    <t>А0527</t>
  </si>
  <si>
    <t>А0528</t>
  </si>
  <si>
    <t>А0529</t>
  </si>
  <si>
    <t>А0530</t>
  </si>
  <si>
    <t>А0531</t>
  </si>
  <si>
    <t>А0532</t>
  </si>
  <si>
    <t>А0533</t>
  </si>
  <si>
    <t>А0534</t>
  </si>
  <si>
    <t>А0535</t>
  </si>
  <si>
    <t>А0536</t>
  </si>
  <si>
    <t>А0537</t>
  </si>
  <si>
    <t>А0538</t>
  </si>
  <si>
    <t>А0539</t>
  </si>
  <si>
    <t>А0540</t>
  </si>
  <si>
    <t>А0541</t>
  </si>
  <si>
    <t>А0542</t>
  </si>
  <si>
    <t>А0544</t>
  </si>
  <si>
    <t>А0546</t>
  </si>
  <si>
    <t>А0547</t>
  </si>
  <si>
    <t>А0548</t>
  </si>
  <si>
    <t>А0549</t>
  </si>
  <si>
    <t>А0551</t>
  </si>
  <si>
    <t>А0552</t>
  </si>
  <si>
    <t>А0553</t>
  </si>
  <si>
    <t>А0554</t>
  </si>
  <si>
    <t>А0559</t>
  </si>
  <si>
    <t>А0560</t>
  </si>
  <si>
    <t>А0563</t>
  </si>
  <si>
    <t>А0564</t>
  </si>
  <si>
    <t>А0565</t>
  </si>
  <si>
    <t>А0566</t>
  </si>
  <si>
    <t>А0567</t>
  </si>
  <si>
    <t>А0568</t>
  </si>
  <si>
    <t>А0569</t>
  </si>
  <si>
    <t>А0570</t>
  </si>
  <si>
    <t>А0571</t>
  </si>
  <si>
    <t>А0572</t>
  </si>
  <si>
    <t>А0573</t>
  </si>
  <si>
    <t>А0574</t>
  </si>
  <si>
    <t>А0575</t>
  </si>
  <si>
    <t>А0576</t>
  </si>
  <si>
    <t>А0577</t>
  </si>
  <si>
    <t>А0578</t>
  </si>
  <si>
    <t>А0579</t>
  </si>
  <si>
    <t>А0580</t>
  </si>
  <si>
    <t>А0581</t>
  </si>
  <si>
    <t>А0582</t>
  </si>
  <si>
    <t>А0583</t>
  </si>
  <si>
    <t>А0584</t>
  </si>
  <si>
    <t>А0585</t>
  </si>
  <si>
    <t>А0586</t>
  </si>
  <si>
    <t>А0587</t>
  </si>
  <si>
    <t>А0588</t>
  </si>
  <si>
    <t>А0589</t>
  </si>
  <si>
    <t>А0590</t>
  </si>
  <si>
    <t>А0591</t>
  </si>
  <si>
    <t>А0592</t>
  </si>
  <si>
    <t>А0593</t>
  </si>
  <si>
    <t>А0594</t>
  </si>
  <si>
    <t>А0599</t>
  </si>
  <si>
    <t>А0600</t>
  </si>
  <si>
    <t>А0618</t>
  </si>
  <si>
    <t>А0621</t>
  </si>
  <si>
    <t>А0622</t>
  </si>
  <si>
    <t>А0623</t>
  </si>
  <si>
    <t>А0624</t>
  </si>
  <si>
    <t>А0627</t>
  </si>
  <si>
    <t>А0628</t>
  </si>
  <si>
    <t>А0649</t>
  </si>
  <si>
    <t>А0659</t>
  </si>
  <si>
    <t>А0660</t>
  </si>
  <si>
    <t>А0661</t>
  </si>
  <si>
    <t>А0662</t>
  </si>
  <si>
    <t>А0663</t>
  </si>
  <si>
    <t>А0664</t>
  </si>
  <si>
    <t>А0665</t>
  </si>
  <si>
    <t>А0668</t>
  </si>
  <si>
    <t>А0669</t>
  </si>
  <si>
    <t>А0670</t>
  </si>
  <si>
    <t>А0671</t>
  </si>
  <si>
    <t>А0672</t>
  </si>
  <si>
    <t>А0673</t>
  </si>
  <si>
    <t>А0674</t>
  </si>
  <si>
    <t>А0675</t>
  </si>
  <si>
    <t>А0676</t>
  </si>
  <si>
    <t>А0677</t>
  </si>
  <si>
    <t>А0678</t>
  </si>
  <si>
    <t>А0679</t>
  </si>
  <si>
    <t>А0680</t>
  </si>
  <si>
    <t>А0682</t>
  </si>
  <si>
    <t>А0683</t>
  </si>
  <si>
    <t>А0684</t>
  </si>
  <si>
    <t>А0685</t>
  </si>
  <si>
    <t>А0686</t>
  </si>
  <si>
    <t>А0687</t>
  </si>
  <si>
    <t>А0688</t>
  </si>
  <si>
    <t>А0689</t>
  </si>
  <si>
    <t>А0690</t>
  </si>
  <si>
    <t>А0692</t>
  </si>
  <si>
    <t>А0693</t>
  </si>
  <si>
    <t>А0694</t>
  </si>
  <si>
    <t>А0695</t>
  </si>
  <si>
    <t>А0696</t>
  </si>
  <si>
    <t>А0697</t>
  </si>
  <si>
    <t>А0698</t>
  </si>
  <si>
    <t>А0699</t>
  </si>
  <si>
    <t>А0701</t>
  </si>
  <si>
    <t>А0702</t>
  </si>
  <si>
    <t>А0703</t>
  </si>
  <si>
    <t>А0704</t>
  </si>
  <si>
    <t>А0705</t>
  </si>
  <si>
    <t>А0706</t>
  </si>
  <si>
    <t>А0707</t>
  </si>
  <si>
    <t>А0714</t>
  </si>
  <si>
    <t>А0715</t>
  </si>
  <si>
    <t>А0716</t>
  </si>
  <si>
    <t>А0717</t>
  </si>
  <si>
    <t>А0718</t>
  </si>
  <si>
    <t>А0719</t>
  </si>
  <si>
    <t>А0720</t>
  </si>
  <si>
    <t>А0721</t>
  </si>
  <si>
    <t>А0722</t>
  </si>
  <si>
    <t>А0723</t>
  </si>
  <si>
    <t>А0724</t>
  </si>
  <si>
    <t>А0725</t>
  </si>
  <si>
    <t>А0726</t>
  </si>
  <si>
    <t>А0727</t>
  </si>
  <si>
    <t>А0728</t>
  </si>
  <si>
    <t>А0729</t>
  </si>
  <si>
    <t>А0730</t>
  </si>
  <si>
    <t>А0732</t>
  </si>
  <si>
    <t>А0735</t>
  </si>
  <si>
    <t>А0736</t>
  </si>
  <si>
    <t>А0737</t>
  </si>
  <si>
    <t>А0738</t>
  </si>
  <si>
    <t>А0739</t>
  </si>
  <si>
    <t>А0741</t>
  </si>
  <si>
    <t>А0742</t>
  </si>
  <si>
    <t>А0743</t>
  </si>
  <si>
    <t>А0744</t>
  </si>
  <si>
    <t>А0745</t>
  </si>
  <si>
    <t>А0746</t>
  </si>
  <si>
    <t>А0747</t>
  </si>
  <si>
    <t>А0748</t>
  </si>
  <si>
    <t>А0750</t>
  </si>
  <si>
    <t>А0751</t>
  </si>
  <si>
    <t>А0752</t>
  </si>
  <si>
    <t>А0753</t>
  </si>
  <si>
    <t>А0754</t>
  </si>
  <si>
    <t>А0756</t>
  </si>
  <si>
    <t>А0757</t>
  </si>
  <si>
    <t>А0758</t>
  </si>
  <si>
    <t>А0759</t>
  </si>
  <si>
    <t>А0760</t>
  </si>
  <si>
    <t>А0761</t>
  </si>
  <si>
    <t>А0762</t>
  </si>
  <si>
    <t>А0763</t>
  </si>
  <si>
    <t>А0764</t>
  </si>
  <si>
    <t>А0766</t>
  </si>
  <si>
    <t>А0767</t>
  </si>
  <si>
    <t>А0768</t>
  </si>
  <si>
    <t>А0769</t>
  </si>
  <si>
    <t>А0770</t>
  </si>
  <si>
    <t>А0771</t>
  </si>
  <si>
    <t>А0772</t>
  </si>
  <si>
    <t>А0773</t>
  </si>
  <si>
    <t>А0774</t>
  </si>
  <si>
    <t>А0775</t>
  </si>
  <si>
    <t>А0776</t>
  </si>
  <si>
    <t>А0777</t>
  </si>
  <si>
    <t>А0778</t>
  </si>
  <si>
    <t>А0779</t>
  </si>
  <si>
    <t>А0780</t>
  </si>
  <si>
    <t>А0781</t>
  </si>
  <si>
    <t>А0782</t>
  </si>
  <si>
    <t>А0783</t>
  </si>
  <si>
    <t>А0784</t>
  </si>
  <si>
    <t>А0785</t>
  </si>
  <si>
    <t>А0786</t>
  </si>
  <si>
    <t>А0787</t>
  </si>
  <si>
    <t>А0788</t>
  </si>
  <si>
    <t>А0790</t>
  </si>
  <si>
    <t>А0791</t>
  </si>
  <si>
    <t>А0792</t>
  </si>
  <si>
    <t>А0793</t>
  </si>
  <si>
    <t>А0795</t>
  </si>
  <si>
    <t>А0796</t>
  </si>
  <si>
    <t>А0797</t>
  </si>
  <si>
    <t>А0798</t>
  </si>
  <si>
    <t>А0799</t>
  </si>
  <si>
    <t>А0800</t>
  </si>
  <si>
    <t>А0801</t>
  </si>
  <si>
    <t>А0802</t>
  </si>
  <si>
    <t>А0803</t>
  </si>
  <si>
    <t>А0804</t>
  </si>
  <si>
    <t>А0805</t>
  </si>
  <si>
    <t>А0806</t>
  </si>
  <si>
    <t>А0807</t>
  </si>
  <si>
    <t>А0808</t>
  </si>
  <si>
    <t>А0809</t>
  </si>
  <si>
    <t>А0810</t>
  </si>
  <si>
    <t>А0811</t>
  </si>
  <si>
    <t>А0812</t>
  </si>
  <si>
    <t>А0813</t>
  </si>
  <si>
    <t>А0814</t>
  </si>
  <si>
    <t>А0815</t>
  </si>
  <si>
    <t>А0816</t>
  </si>
  <si>
    <t>А0817</t>
  </si>
  <si>
    <t>А0818</t>
  </si>
  <si>
    <t>А0819</t>
  </si>
  <si>
    <t>А0820</t>
  </si>
  <si>
    <t>А0821</t>
  </si>
  <si>
    <t>А0822</t>
  </si>
  <si>
    <t>А0823</t>
  </si>
  <si>
    <t>А0824</t>
  </si>
  <si>
    <t>А0825</t>
  </si>
  <si>
    <t>А0826</t>
  </si>
  <si>
    <t>А0827</t>
  </si>
  <si>
    <t>А0828</t>
  </si>
  <si>
    <t>А0829</t>
  </si>
  <si>
    <t>А0830</t>
  </si>
  <si>
    <t>А0831</t>
  </si>
  <si>
    <t>А0832</t>
  </si>
  <si>
    <t>А0833</t>
  </si>
  <si>
    <t>А0834</t>
  </si>
  <si>
    <t>А0835</t>
  </si>
  <si>
    <t>А0836</t>
  </si>
  <si>
    <t>А0837</t>
  </si>
  <si>
    <t>А0838</t>
  </si>
  <si>
    <t>А0839</t>
  </si>
  <si>
    <t>А0840</t>
  </si>
  <si>
    <t>А0841</t>
  </si>
  <si>
    <t>А0842</t>
  </si>
  <si>
    <t>А0843</t>
  </si>
  <si>
    <t>А0844</t>
  </si>
  <si>
    <t>А0845</t>
  </si>
  <si>
    <t>А0846</t>
  </si>
  <si>
    <t>А0847</t>
  </si>
  <si>
    <t>А0848</t>
  </si>
  <si>
    <t>А0849</t>
  </si>
  <si>
    <t>А0850</t>
  </si>
  <si>
    <t>А0851</t>
  </si>
  <si>
    <t>А0853</t>
  </si>
  <si>
    <t>А0854</t>
  </si>
  <si>
    <t>А0855</t>
  </si>
  <si>
    <t>А0856</t>
  </si>
  <si>
    <t>А0857</t>
  </si>
  <si>
    <t>А0858</t>
  </si>
  <si>
    <t>А0859</t>
  </si>
  <si>
    <t>А0860</t>
  </si>
  <si>
    <t>А0861</t>
  </si>
  <si>
    <t>А0862</t>
  </si>
  <si>
    <t>А0863</t>
  </si>
  <si>
    <t>А0864</t>
  </si>
  <si>
    <t>А0865</t>
  </si>
  <si>
    <t>А0866</t>
  </si>
  <si>
    <t>А0867</t>
  </si>
  <si>
    <t>А0868</t>
  </si>
  <si>
    <t>А0869</t>
  </si>
  <si>
    <t>А0870</t>
  </si>
  <si>
    <t>А0872</t>
  </si>
  <si>
    <t>А0873</t>
  </si>
  <si>
    <t>А0874</t>
  </si>
  <si>
    <t>А0875</t>
  </si>
  <si>
    <t>А0876</t>
  </si>
  <si>
    <t>А0877</t>
  </si>
  <si>
    <t>А0878</t>
  </si>
  <si>
    <t>А0879</t>
  </si>
  <si>
    <t>А0880</t>
  </si>
  <si>
    <t>А0881</t>
  </si>
  <si>
    <t>А0882</t>
  </si>
  <si>
    <t>А0883</t>
  </si>
  <si>
    <t>А0884</t>
  </si>
  <si>
    <t>А0885</t>
  </si>
  <si>
    <t>А0886</t>
  </si>
  <si>
    <t>А0887</t>
  </si>
  <si>
    <t>А0889</t>
  </si>
  <si>
    <t>А0890</t>
  </si>
  <si>
    <t>А0891</t>
  </si>
  <si>
    <t>А0892</t>
  </si>
  <si>
    <t>А0893</t>
  </si>
  <si>
    <t>А0899</t>
  </si>
  <si>
    <t>А0900</t>
  </si>
  <si>
    <t>А0901</t>
  </si>
  <si>
    <t>А0902</t>
  </si>
  <si>
    <t>А0903</t>
  </si>
  <si>
    <t>А0904</t>
  </si>
  <si>
    <t>А0907</t>
  </si>
  <si>
    <t>А0909</t>
  </si>
  <si>
    <t>А0910</t>
  </si>
  <si>
    <t>А0911</t>
  </si>
  <si>
    <t>А0912</t>
  </si>
  <si>
    <t>А0915</t>
  </si>
  <si>
    <t>А0918</t>
  </si>
  <si>
    <t>А0922</t>
  </si>
  <si>
    <t>А0923</t>
  </si>
  <si>
    <t>А0924</t>
  </si>
  <si>
    <t>А0925</t>
  </si>
  <si>
    <t>А0926</t>
  </si>
  <si>
    <t>А0927</t>
  </si>
  <si>
    <t>А0928</t>
  </si>
  <si>
    <t>А0929</t>
  </si>
  <si>
    <t>А0930</t>
  </si>
  <si>
    <t>А0931</t>
  </si>
  <si>
    <t>А0932</t>
  </si>
  <si>
    <t>А0933</t>
  </si>
  <si>
    <t>А0934</t>
  </si>
  <si>
    <t>А0935</t>
  </si>
  <si>
    <t>А0936</t>
  </si>
  <si>
    <t>А0938</t>
  </si>
  <si>
    <t>А0939</t>
  </si>
  <si>
    <t>А0940</t>
  </si>
  <si>
    <t>А0941</t>
  </si>
  <si>
    <t>А0942</t>
  </si>
  <si>
    <t>А0943</t>
  </si>
  <si>
    <t>А0944</t>
  </si>
  <si>
    <t>А0945</t>
  </si>
  <si>
    <t>А0946</t>
  </si>
  <si>
    <t>А0947</t>
  </si>
  <si>
    <t>А0948</t>
  </si>
  <si>
    <t>А0949</t>
  </si>
  <si>
    <t>А0950</t>
  </si>
  <si>
    <t>А0951</t>
  </si>
  <si>
    <t>А0952</t>
  </si>
  <si>
    <t>А0953</t>
  </si>
  <si>
    <t>А0954</t>
  </si>
  <si>
    <t>А0955</t>
  </si>
  <si>
    <t>А0956</t>
  </si>
  <si>
    <t>А0957</t>
  </si>
  <si>
    <t>А0959</t>
  </si>
  <si>
    <t>А0960</t>
  </si>
  <si>
    <t>А0961</t>
  </si>
  <si>
    <t>А0962</t>
  </si>
  <si>
    <t>А0963</t>
  </si>
  <si>
    <t>А0964</t>
  </si>
  <si>
    <t>А0965</t>
  </si>
  <si>
    <t>А0966</t>
  </si>
  <si>
    <t>А0967</t>
  </si>
  <si>
    <t>А0968</t>
  </si>
  <si>
    <t>А0969</t>
  </si>
  <si>
    <t>А0970</t>
  </si>
  <si>
    <t>А0971</t>
  </si>
  <si>
    <t>А0972</t>
  </si>
  <si>
    <t>А0973</t>
  </si>
  <si>
    <t>А0974</t>
  </si>
  <si>
    <t>А0975</t>
  </si>
  <si>
    <t>А0976</t>
  </si>
  <si>
    <t>А0977</t>
  </si>
  <si>
    <t>А0978</t>
  </si>
  <si>
    <t>А0979</t>
  </si>
  <si>
    <t>А0980</t>
  </si>
  <si>
    <t>А0981</t>
  </si>
  <si>
    <t>А0982</t>
  </si>
  <si>
    <t>А0983</t>
  </si>
  <si>
    <t>А0984</t>
  </si>
  <si>
    <t>А0985</t>
  </si>
  <si>
    <t>А0986</t>
  </si>
  <si>
    <t>А0987</t>
  </si>
  <si>
    <t>А0988</t>
  </si>
  <si>
    <t>А0989</t>
  </si>
  <si>
    <t>А0990</t>
  </si>
  <si>
    <t>А0991</t>
  </si>
  <si>
    <t>А0994</t>
  </si>
  <si>
    <t>А0995</t>
  </si>
  <si>
    <t>А0996</t>
  </si>
  <si>
    <t>А0997</t>
  </si>
  <si>
    <t>А0998</t>
  </si>
  <si>
    <t>А0999</t>
  </si>
  <si>
    <t>А1000</t>
  </si>
  <si>
    <t>А1001</t>
  </si>
  <si>
    <t>А1002</t>
  </si>
  <si>
    <t>А1003</t>
  </si>
  <si>
    <t>А1004</t>
  </si>
  <si>
    <t>А1005</t>
  </si>
  <si>
    <t>А1007</t>
  </si>
  <si>
    <t>А1008</t>
  </si>
  <si>
    <t>А1009</t>
  </si>
  <si>
    <t>А1010</t>
  </si>
  <si>
    <t>А1015</t>
  </si>
  <si>
    <t>А1016</t>
  </si>
  <si>
    <t>А1018</t>
  </si>
  <si>
    <t>А1019</t>
  </si>
  <si>
    <t>А1020</t>
  </si>
  <si>
    <t>А1022</t>
  </si>
  <si>
    <t>А1023</t>
  </si>
  <si>
    <t>А1024</t>
  </si>
  <si>
    <t>А1025</t>
  </si>
  <si>
    <t>А1026</t>
  </si>
  <si>
    <t>А1027</t>
  </si>
  <si>
    <t>А1028</t>
  </si>
  <si>
    <t>А1029</t>
  </si>
  <si>
    <t>А1030</t>
  </si>
  <si>
    <t>А1031</t>
  </si>
  <si>
    <t>А1032</t>
  </si>
  <si>
    <t>А1033</t>
  </si>
  <si>
    <t>А1034</t>
  </si>
  <si>
    <t>А1035</t>
  </si>
  <si>
    <t>А1036</t>
  </si>
  <si>
    <t>А1037</t>
  </si>
  <si>
    <t>А1038</t>
  </si>
  <si>
    <t>А1039</t>
  </si>
  <si>
    <t>А1040</t>
  </si>
  <si>
    <t>А1042</t>
  </si>
  <si>
    <t>А1043</t>
  </si>
  <si>
    <t>А1044</t>
  </si>
  <si>
    <t>А1045</t>
  </si>
  <si>
    <t>А1046</t>
  </si>
  <si>
    <t>А1047</t>
  </si>
  <si>
    <t>А1048</t>
  </si>
  <si>
    <t>А1049</t>
  </si>
  <si>
    <t>А1050</t>
  </si>
  <si>
    <t>А1053</t>
  </si>
  <si>
    <t>А1054</t>
  </si>
  <si>
    <t>А1055</t>
  </si>
  <si>
    <t>А1056</t>
  </si>
  <si>
    <t>А1057</t>
  </si>
  <si>
    <t>А1058</t>
  </si>
  <si>
    <t>А1059</t>
  </si>
  <si>
    <t>А1060</t>
  </si>
  <si>
    <t>А1061</t>
  </si>
  <si>
    <t>А1062</t>
  </si>
  <si>
    <t>А1063</t>
  </si>
  <si>
    <t>А1064</t>
  </si>
  <si>
    <t>А1065</t>
  </si>
  <si>
    <t>А1066</t>
  </si>
  <si>
    <t>А1068</t>
  </si>
  <si>
    <t>А1069</t>
  </si>
  <si>
    <t>А1070</t>
  </si>
  <si>
    <t>А1071</t>
  </si>
  <si>
    <t>А1072</t>
  </si>
  <si>
    <t>А1073</t>
  </si>
  <si>
    <t>А1074</t>
  </si>
  <si>
    <t>А1075</t>
  </si>
  <si>
    <t>А1076</t>
  </si>
  <si>
    <t>А1077</t>
  </si>
  <si>
    <t>А1078</t>
  </si>
  <si>
    <t>А1079</t>
  </si>
  <si>
    <t>А1080</t>
  </si>
  <si>
    <t>А1081</t>
  </si>
  <si>
    <t>А1082</t>
  </si>
  <si>
    <t>А1083</t>
  </si>
  <si>
    <t>А1084</t>
  </si>
  <si>
    <t>А1086</t>
  </si>
  <si>
    <t>А1087</t>
  </si>
  <si>
    <t>А1088</t>
  </si>
  <si>
    <t>А1089</t>
  </si>
  <si>
    <t>А1090</t>
  </si>
  <si>
    <t>А1091</t>
  </si>
  <si>
    <t>А1092</t>
  </si>
  <si>
    <t>А1093</t>
  </si>
  <si>
    <t>А1094</t>
  </si>
  <si>
    <t>А1095</t>
  </si>
  <si>
    <t>А1096</t>
  </si>
  <si>
    <t>А1097</t>
  </si>
  <si>
    <t>А1098</t>
  </si>
  <si>
    <t>А1099</t>
  </si>
  <si>
    <t>А1100</t>
  </si>
  <si>
    <t>А1101</t>
  </si>
  <si>
    <t>А1102</t>
  </si>
  <si>
    <t>А1103</t>
  </si>
  <si>
    <t>А1104</t>
  </si>
  <si>
    <t>А1105</t>
  </si>
  <si>
    <t>А1106</t>
  </si>
  <si>
    <t>А1107</t>
  </si>
  <si>
    <t>А1108</t>
  </si>
  <si>
    <t>А1109</t>
  </si>
  <si>
    <t>А1110</t>
  </si>
  <si>
    <t>А1111</t>
  </si>
  <si>
    <t>А1112</t>
  </si>
  <si>
    <t>А1113</t>
  </si>
  <si>
    <t>А1114</t>
  </si>
  <si>
    <t>А1115</t>
  </si>
  <si>
    <t>А1116</t>
  </si>
  <si>
    <t>А1117</t>
  </si>
  <si>
    <t>А1118</t>
  </si>
  <si>
    <t>А1119</t>
  </si>
  <si>
    <t>А1120</t>
  </si>
  <si>
    <t>А1121</t>
  </si>
  <si>
    <t>А1122</t>
  </si>
  <si>
    <t>А1123</t>
  </si>
  <si>
    <t>А1124</t>
  </si>
  <si>
    <t>А1125</t>
  </si>
  <si>
    <t>А1126</t>
  </si>
  <si>
    <t>А1128</t>
  </si>
  <si>
    <t>А1129</t>
  </si>
  <si>
    <t>А1130</t>
  </si>
  <si>
    <t>А1131</t>
  </si>
  <si>
    <t>А1132</t>
  </si>
  <si>
    <t>А1133</t>
  </si>
  <si>
    <t>А1134</t>
  </si>
  <si>
    <t>А1135</t>
  </si>
  <si>
    <t>А1136</t>
  </si>
  <si>
    <t>А1137</t>
  </si>
  <si>
    <t>А1138</t>
  </si>
  <si>
    <t>А1139</t>
  </si>
  <si>
    <t>А1140</t>
  </si>
  <si>
    <t>А1141</t>
  </si>
  <si>
    <t>А1142</t>
  </si>
  <si>
    <t>А1143</t>
  </si>
  <si>
    <t>А1144</t>
  </si>
  <si>
    <t>А1145</t>
  </si>
  <si>
    <t>А1146</t>
  </si>
  <si>
    <t>А1147</t>
  </si>
  <si>
    <t>А1148</t>
  </si>
  <si>
    <t>А1149</t>
  </si>
  <si>
    <t>А1150</t>
  </si>
  <si>
    <t>А1151</t>
  </si>
  <si>
    <t>А1152</t>
  </si>
  <si>
    <t>А1153</t>
  </si>
  <si>
    <t>А1154</t>
  </si>
  <si>
    <t>А1155</t>
  </si>
  <si>
    <t>А1156</t>
  </si>
  <si>
    <t>А1157</t>
  </si>
  <si>
    <t>А1158</t>
  </si>
  <si>
    <t>А1159</t>
  </si>
  <si>
    <t>А1160</t>
  </si>
  <si>
    <t>А1161</t>
  </si>
  <si>
    <t>А1162</t>
  </si>
  <si>
    <t>А1163</t>
  </si>
  <si>
    <t>А1165</t>
  </si>
  <si>
    <t>А1166</t>
  </si>
  <si>
    <t>А1167</t>
  </si>
  <si>
    <t>А1168</t>
  </si>
  <si>
    <t>А1169</t>
  </si>
  <si>
    <t>А1170</t>
  </si>
  <si>
    <t>А1171</t>
  </si>
  <si>
    <t>А1172</t>
  </si>
  <si>
    <t>А1173</t>
  </si>
  <si>
    <t>А1174</t>
  </si>
  <si>
    <t>А1175</t>
  </si>
  <si>
    <t>А1176</t>
  </si>
  <si>
    <t>А1177</t>
  </si>
  <si>
    <t>А1178</t>
  </si>
  <si>
    <t>А1179</t>
  </si>
  <si>
    <t>А1180</t>
  </si>
  <si>
    <t>А1181</t>
  </si>
  <si>
    <t>А1182</t>
  </si>
  <si>
    <t>А1183</t>
  </si>
  <si>
    <t>А1184</t>
  </si>
  <si>
    <t>А1185</t>
  </si>
  <si>
    <t>А1186</t>
  </si>
  <si>
    <t>А1187</t>
  </si>
  <si>
    <t>А1188</t>
  </si>
  <si>
    <t>А1189</t>
  </si>
  <si>
    <t>А1190</t>
  </si>
  <si>
    <t>А1192</t>
  </si>
  <si>
    <t>А1193</t>
  </si>
  <si>
    <t>А1194</t>
  </si>
  <si>
    <t>А1195</t>
  </si>
  <si>
    <t>А1196</t>
  </si>
  <si>
    <t>А1197</t>
  </si>
  <si>
    <t>А1198</t>
  </si>
  <si>
    <t>А1199</t>
  </si>
  <si>
    <t>А1200</t>
  </si>
  <si>
    <t>А1201</t>
  </si>
  <si>
    <t>А1202</t>
  </si>
  <si>
    <t>А1203</t>
  </si>
  <si>
    <t>А1204</t>
  </si>
  <si>
    <t>А1205</t>
  </si>
  <si>
    <t>А1206</t>
  </si>
  <si>
    <t>А1207</t>
  </si>
  <si>
    <t>А1208</t>
  </si>
  <si>
    <t>А1209</t>
  </si>
  <si>
    <t>А1211</t>
  </si>
  <si>
    <t>А1213</t>
  </si>
  <si>
    <t>А1216</t>
  </si>
  <si>
    <t>А1217</t>
  </si>
  <si>
    <t>А1218</t>
  </si>
  <si>
    <t>А1219</t>
  </si>
  <si>
    <t>А1221</t>
  </si>
  <si>
    <t>А1222</t>
  </si>
  <si>
    <t>А1224</t>
  </si>
  <si>
    <t>А1225</t>
  </si>
  <si>
    <t>А1226</t>
  </si>
  <si>
    <t>А1231</t>
  </si>
  <si>
    <t>А1232</t>
  </si>
  <si>
    <t>А1233</t>
  </si>
  <si>
    <t>А1235</t>
  </si>
  <si>
    <t>А1236</t>
  </si>
  <si>
    <t>А1241</t>
  </si>
  <si>
    <t>А1242</t>
  </si>
  <si>
    <t>А1243</t>
  </si>
  <si>
    <t>А1246</t>
  </si>
  <si>
    <t>А1247</t>
  </si>
  <si>
    <t>А1248</t>
  </si>
  <si>
    <t>А1249</t>
  </si>
  <si>
    <t>А1250</t>
  </si>
  <si>
    <t>А1251</t>
  </si>
  <si>
    <t>А1252</t>
  </si>
  <si>
    <t>А1253</t>
  </si>
  <si>
    <t>А1254</t>
  </si>
  <si>
    <t>А1255</t>
  </si>
  <si>
    <t>А1256</t>
  </si>
  <si>
    <t>А1257</t>
  </si>
  <si>
    <t>А1258</t>
  </si>
  <si>
    <t>А1259</t>
  </si>
  <si>
    <t>А1260</t>
  </si>
  <si>
    <t>А1261</t>
  </si>
  <si>
    <t>А1262</t>
  </si>
  <si>
    <t>А1263</t>
  </si>
  <si>
    <t>А1264</t>
  </si>
  <si>
    <t>А1265</t>
  </si>
  <si>
    <t>А1266</t>
  </si>
  <si>
    <t>А1267</t>
  </si>
  <si>
    <t>А1268</t>
  </si>
  <si>
    <t>А1269</t>
  </si>
  <si>
    <t>А1270</t>
  </si>
  <si>
    <t>А1271</t>
  </si>
  <si>
    <t>А1272</t>
  </si>
  <si>
    <t>А1273</t>
  </si>
  <si>
    <t>А1274</t>
  </si>
  <si>
    <t>А1275</t>
  </si>
  <si>
    <t>А1276</t>
  </si>
  <si>
    <t>А1277</t>
  </si>
  <si>
    <t>А1278</t>
  </si>
  <si>
    <t>А1280</t>
  </si>
  <si>
    <t>А1283</t>
  </si>
  <si>
    <t>А1284</t>
  </si>
  <si>
    <t>А1285</t>
  </si>
  <si>
    <t>А1286</t>
  </si>
  <si>
    <t>А1287</t>
  </si>
  <si>
    <t>А1288</t>
  </si>
  <si>
    <t>А1289</t>
  </si>
  <si>
    <t>А1290</t>
  </si>
  <si>
    <t>А1291</t>
  </si>
  <si>
    <t>А1293</t>
  </si>
  <si>
    <t>А1295</t>
  </si>
  <si>
    <t>А1296</t>
  </si>
  <si>
    <t>А1297</t>
  </si>
  <si>
    <t>А1298</t>
  </si>
  <si>
    <t>А1299</t>
  </si>
  <si>
    <t>А1300</t>
  </si>
  <si>
    <t>А1301</t>
  </si>
  <si>
    <t>А1302</t>
  </si>
  <si>
    <t>А1303</t>
  </si>
  <si>
    <t>А1304</t>
  </si>
  <si>
    <t>А1305</t>
  </si>
  <si>
    <t>А1307</t>
  </si>
  <si>
    <t>А1308</t>
  </si>
  <si>
    <t>А1309</t>
  </si>
  <si>
    <t>А1310</t>
  </si>
  <si>
    <t>А1311</t>
  </si>
  <si>
    <t>А1312</t>
  </si>
  <si>
    <t>А1313</t>
  </si>
  <si>
    <t>А1314</t>
  </si>
  <si>
    <t>А1315</t>
  </si>
  <si>
    <t>А1316</t>
  </si>
  <si>
    <t>А1317</t>
  </si>
  <si>
    <t>А1318</t>
  </si>
  <si>
    <t>А1319</t>
  </si>
  <si>
    <t>А1320</t>
  </si>
  <si>
    <t>А1321</t>
  </si>
  <si>
    <t>А1322</t>
  </si>
  <si>
    <t>А1323</t>
  </si>
  <si>
    <t>А1324</t>
  </si>
  <si>
    <t>А1325</t>
  </si>
  <si>
    <t>А1326</t>
  </si>
  <si>
    <t>А1327</t>
  </si>
  <si>
    <t>А1328</t>
  </si>
  <si>
    <t>А1329</t>
  </si>
  <si>
    <t>А1330</t>
  </si>
  <si>
    <t>А1331</t>
  </si>
  <si>
    <t>А1332</t>
  </si>
  <si>
    <t>А1333</t>
  </si>
  <si>
    <t>А1334</t>
  </si>
  <si>
    <t>А1335</t>
  </si>
  <si>
    <t>А1336</t>
  </si>
  <si>
    <t>А1337</t>
  </si>
  <si>
    <t>А1338</t>
  </si>
  <si>
    <t>А1339</t>
  </si>
  <si>
    <t>А1340</t>
  </si>
  <si>
    <t>А1341</t>
  </si>
  <si>
    <t>А1342</t>
  </si>
  <si>
    <t>А1343</t>
  </si>
  <si>
    <t>А1344</t>
  </si>
  <si>
    <t>А1345</t>
  </si>
  <si>
    <t>А1346</t>
  </si>
  <si>
    <t>А1347</t>
  </si>
  <si>
    <t>А1348</t>
  </si>
  <si>
    <t>А1349</t>
  </si>
  <si>
    <t>А1350</t>
  </si>
  <si>
    <t>А1351</t>
  </si>
  <si>
    <t>А1352</t>
  </si>
  <si>
    <t>А1353</t>
  </si>
  <si>
    <t>А1354</t>
  </si>
  <si>
    <t>А1355</t>
  </si>
  <si>
    <t>А1356</t>
  </si>
  <si>
    <t>А1357</t>
  </si>
  <si>
    <t>А1358</t>
  </si>
  <si>
    <t>А1359</t>
  </si>
  <si>
    <t>А1360</t>
  </si>
  <si>
    <t>А1361</t>
  </si>
  <si>
    <t>А1362</t>
  </si>
  <si>
    <t>А1363</t>
  </si>
  <si>
    <t>А1364</t>
  </si>
  <si>
    <t>А1365</t>
  </si>
  <si>
    <t>А1366</t>
  </si>
  <si>
    <t>А1367</t>
  </si>
  <si>
    <t>А1368</t>
  </si>
  <si>
    <t>А1369</t>
  </si>
  <si>
    <t>А1370</t>
  </si>
  <si>
    <t>А1371</t>
  </si>
  <si>
    <t>А1372</t>
  </si>
  <si>
    <t>А1373</t>
  </si>
  <si>
    <t>А1374</t>
  </si>
  <si>
    <t>А1375</t>
  </si>
  <si>
    <t>А1376</t>
  </si>
  <si>
    <t>А1377</t>
  </si>
  <si>
    <t>А1378</t>
  </si>
  <si>
    <t>А1379</t>
  </si>
  <si>
    <t>А1380</t>
  </si>
  <si>
    <t>А1381</t>
  </si>
  <si>
    <t>А1382</t>
  </si>
  <si>
    <t>А1383</t>
  </si>
  <si>
    <t>А1384</t>
  </si>
  <si>
    <t>А1385</t>
  </si>
  <si>
    <t>А1386</t>
  </si>
  <si>
    <t>А1387</t>
  </si>
  <si>
    <t>А1388</t>
  </si>
  <si>
    <t>А1389</t>
  </si>
  <si>
    <t>А1391</t>
  </si>
  <si>
    <t>А1392</t>
  </si>
  <si>
    <t>А1394</t>
  </si>
  <si>
    <t>А1399</t>
  </si>
  <si>
    <t>А1400</t>
  </si>
  <si>
    <t>А1401</t>
  </si>
  <si>
    <t>А1402</t>
  </si>
  <si>
    <t>А1403</t>
  </si>
  <si>
    <t>А1404</t>
  </si>
  <si>
    <t>А1405</t>
  </si>
  <si>
    <t>А1406</t>
  </si>
  <si>
    <t>А1407</t>
  </si>
  <si>
    <t>А1408</t>
  </si>
  <si>
    <t>А1409</t>
  </si>
  <si>
    <t>А1410</t>
  </si>
  <si>
    <t>А1411</t>
  </si>
  <si>
    <t>А1412</t>
  </si>
  <si>
    <t>А1413</t>
  </si>
  <si>
    <t>А1414</t>
  </si>
  <si>
    <t>А1415</t>
  </si>
  <si>
    <t>А1417</t>
  </si>
  <si>
    <t>А1420</t>
  </si>
  <si>
    <t>А1421</t>
  </si>
  <si>
    <t>А1422</t>
  </si>
  <si>
    <t>А1424</t>
  </si>
  <si>
    <t>А1431</t>
  </si>
  <si>
    <t>А1432</t>
  </si>
  <si>
    <t>А1433</t>
  </si>
  <si>
    <t>А1436</t>
  </si>
  <si>
    <t>А1437</t>
  </si>
  <si>
    <t>А1440</t>
  </si>
  <si>
    <t>А1442</t>
  </si>
  <si>
    <t>А1443</t>
  </si>
  <si>
    <t>А1444</t>
  </si>
  <si>
    <t>А1445</t>
  </si>
  <si>
    <t>А1446</t>
  </si>
  <si>
    <t>А1447</t>
  </si>
  <si>
    <t>А1449</t>
  </si>
  <si>
    <t>А1450</t>
  </si>
  <si>
    <t>А1451</t>
  </si>
  <si>
    <t>А1452</t>
  </si>
  <si>
    <t>А1453</t>
  </si>
  <si>
    <t>А1454</t>
  </si>
  <si>
    <t>А1455</t>
  </si>
  <si>
    <t>А1456</t>
  </si>
  <si>
    <t>А1457</t>
  </si>
  <si>
    <t>А1459</t>
  </si>
  <si>
    <t>А1461</t>
  </si>
  <si>
    <t>А1462</t>
  </si>
  <si>
    <t>А1463</t>
  </si>
  <si>
    <t>А1464</t>
  </si>
  <si>
    <t>А1465</t>
  </si>
  <si>
    <t>А1466</t>
  </si>
  <si>
    <t>А1467</t>
  </si>
  <si>
    <t>А1468</t>
  </si>
  <si>
    <t>А1469</t>
  </si>
  <si>
    <t>А1470</t>
  </si>
  <si>
    <t>А1472</t>
  </si>
  <si>
    <t>А1473</t>
  </si>
  <si>
    <t>А1476</t>
  </si>
  <si>
    <t>А1477</t>
  </si>
  <si>
    <t>А1478</t>
  </si>
  <si>
    <t>А1479</t>
  </si>
  <si>
    <t>А1480</t>
  </si>
  <si>
    <t>А1481</t>
  </si>
  <si>
    <t>А1482</t>
  </si>
  <si>
    <t>А1483</t>
  </si>
  <si>
    <t>А1484</t>
  </si>
  <si>
    <t>А1485</t>
  </si>
  <si>
    <t>А1486</t>
  </si>
  <si>
    <t>А1487</t>
  </si>
  <si>
    <t>А1488</t>
  </si>
  <si>
    <t>А1489</t>
  </si>
  <si>
    <t>А1490</t>
  </si>
  <si>
    <t>А1493</t>
  </si>
  <si>
    <t>А1494</t>
  </si>
  <si>
    <t>А1497</t>
  </si>
  <si>
    <t>А1498</t>
  </si>
  <si>
    <t>А1499</t>
  </si>
  <si>
    <t>А1500</t>
  </si>
  <si>
    <t>А1501</t>
  </si>
  <si>
    <t>А1502</t>
  </si>
  <si>
    <t>А1503</t>
  </si>
  <si>
    <t>А1504</t>
  </si>
  <si>
    <t>А1505</t>
  </si>
  <si>
    <t>А1506</t>
  </si>
  <si>
    <t>А1508</t>
  </si>
  <si>
    <t>А1509</t>
  </si>
  <si>
    <t>А1510</t>
  </si>
  <si>
    <t>А1511</t>
  </si>
  <si>
    <t>А1512</t>
  </si>
  <si>
    <t>А1513</t>
  </si>
  <si>
    <t>А1514</t>
  </si>
  <si>
    <t>А1515</t>
  </si>
  <si>
    <t>А1516</t>
  </si>
  <si>
    <t>А1517</t>
  </si>
  <si>
    <t>А1518</t>
  </si>
  <si>
    <t>А1519</t>
  </si>
  <si>
    <t>А1520</t>
  </si>
  <si>
    <t>А1521</t>
  </si>
  <si>
    <t>А1524</t>
  </si>
  <si>
    <t>А1525</t>
  </si>
  <si>
    <t>А1526</t>
  </si>
  <si>
    <t>А1527</t>
  </si>
  <si>
    <t>А1528</t>
  </si>
  <si>
    <t>А1529</t>
  </si>
  <si>
    <t>А1531</t>
  </si>
  <si>
    <t>А1533</t>
  </si>
  <si>
    <t>А1540</t>
  </si>
  <si>
    <t>А1541</t>
  </si>
  <si>
    <t>А1543</t>
  </si>
  <si>
    <t>А1544</t>
  </si>
  <si>
    <t>А1546</t>
  </si>
  <si>
    <t>А1547</t>
  </si>
  <si>
    <t>А1549</t>
  </si>
  <si>
    <t>А1554</t>
  </si>
  <si>
    <t>А1556</t>
  </si>
  <si>
    <t>А1557</t>
  </si>
  <si>
    <t>А1558</t>
  </si>
  <si>
    <t>А1559</t>
  </si>
  <si>
    <t>А1560</t>
  </si>
  <si>
    <t>А1561</t>
  </si>
  <si>
    <t>А1562</t>
  </si>
  <si>
    <t>А1564</t>
  </si>
  <si>
    <t>А1565</t>
  </si>
  <si>
    <t>А1566</t>
  </si>
  <si>
    <t>А1567</t>
  </si>
  <si>
    <t>А1568</t>
  </si>
  <si>
    <t>А1569</t>
  </si>
  <si>
    <t>А1570</t>
  </si>
  <si>
    <t>А1571</t>
  </si>
  <si>
    <t>А1573</t>
  </si>
  <si>
    <t>А1574</t>
  </si>
  <si>
    <t>А1575</t>
  </si>
  <si>
    <t>А1576</t>
  </si>
  <si>
    <t>А1577</t>
  </si>
  <si>
    <t>А1579</t>
  </si>
  <si>
    <t>А1580</t>
  </si>
  <si>
    <t>А1581</t>
  </si>
  <si>
    <t>А1582</t>
  </si>
  <si>
    <t>А1583</t>
  </si>
  <si>
    <t>А1586</t>
  </si>
  <si>
    <t>А1587</t>
  </si>
  <si>
    <t>А1588</t>
  </si>
  <si>
    <t>А1589</t>
  </si>
  <si>
    <t>А1590</t>
  </si>
  <si>
    <t>А1591</t>
  </si>
  <si>
    <t>А1592</t>
  </si>
  <si>
    <t>А1595</t>
  </si>
  <si>
    <t>А1596</t>
  </si>
  <si>
    <t>А1597</t>
  </si>
  <si>
    <t>А1598</t>
  </si>
  <si>
    <t>А1599</t>
  </si>
  <si>
    <t>А1601</t>
  </si>
  <si>
    <t>А1602</t>
  </si>
  <si>
    <t>А1603</t>
  </si>
  <si>
    <t>А1604</t>
  </si>
  <si>
    <t>А1605</t>
  </si>
  <si>
    <t>А1606</t>
  </si>
  <si>
    <t>А1607</t>
  </si>
  <si>
    <t>А1608</t>
  </si>
  <si>
    <t>А1609</t>
  </si>
  <si>
    <t>А1610</t>
  </si>
  <si>
    <t>А1611</t>
  </si>
  <si>
    <t>А1612</t>
  </si>
  <si>
    <t>А1613</t>
  </si>
  <si>
    <t>А1615</t>
  </si>
  <si>
    <t>А1622</t>
  </si>
  <si>
    <t>А1628</t>
  </si>
  <si>
    <t>А1629</t>
  </si>
  <si>
    <t>А1630</t>
  </si>
  <si>
    <t>А1631</t>
  </si>
  <si>
    <t>А1632</t>
  </si>
  <si>
    <t>А1634</t>
  </si>
  <si>
    <t>А1635</t>
  </si>
  <si>
    <t>А1636</t>
  </si>
  <si>
    <t>А1637</t>
  </si>
  <si>
    <t>А1638</t>
  </si>
  <si>
    <t>А1639</t>
  </si>
  <si>
    <t>А1640</t>
  </si>
  <si>
    <t>А1641</t>
  </si>
  <si>
    <t>А1642</t>
  </si>
  <si>
    <t>А1645</t>
  </si>
  <si>
    <t>А1646</t>
  </si>
  <si>
    <t>А1647</t>
  </si>
  <si>
    <t>А1649</t>
  </si>
  <si>
    <t>А1650</t>
  </si>
  <si>
    <t>А1651</t>
  </si>
  <si>
    <t>А1652</t>
  </si>
  <si>
    <t>А1653</t>
  </si>
  <si>
    <t>А1654</t>
  </si>
  <si>
    <t>А1655</t>
  </si>
  <si>
    <t>А1656</t>
  </si>
  <si>
    <t>А1657</t>
  </si>
  <si>
    <t>А1658</t>
  </si>
  <si>
    <t>А1660</t>
  </si>
  <si>
    <t>А1661</t>
  </si>
  <si>
    <t>А1668</t>
  </si>
  <si>
    <t>А1669</t>
  </si>
  <si>
    <t>А1670</t>
  </si>
  <si>
    <t>А1673</t>
  </si>
  <si>
    <t>А1677</t>
  </si>
  <si>
    <t>А1678</t>
  </si>
  <si>
    <t>А1679</t>
  </si>
  <si>
    <t>А1680</t>
  </si>
  <si>
    <t>А1682</t>
  </si>
  <si>
    <t>А1683</t>
  </si>
  <si>
    <t>А1684</t>
  </si>
  <si>
    <t>А1687</t>
  </si>
  <si>
    <t>А1688</t>
  </si>
  <si>
    <t>А1690</t>
  </si>
  <si>
    <t>А1691</t>
  </si>
  <si>
    <t>А1692</t>
  </si>
  <si>
    <t>А1693</t>
  </si>
  <si>
    <t>А1694</t>
  </si>
  <si>
    <t>А1695</t>
  </si>
  <si>
    <t>А1697</t>
  </si>
  <si>
    <t>А1698</t>
  </si>
  <si>
    <t>А1699</t>
  </si>
  <si>
    <t>А1700</t>
  </si>
  <si>
    <t>А1703</t>
  </si>
  <si>
    <t>А1704</t>
  </si>
  <si>
    <t>А1705</t>
  </si>
  <si>
    <t>А1707</t>
  </si>
  <si>
    <t>А1708</t>
  </si>
  <si>
    <t>А1710</t>
  </si>
  <si>
    <t>А1711</t>
  </si>
  <si>
    <t>А1713</t>
  </si>
  <si>
    <t>А1717</t>
  </si>
  <si>
    <t>А1718</t>
  </si>
  <si>
    <t>А1719</t>
  </si>
  <si>
    <t>А1723</t>
  </si>
  <si>
    <t>А1724</t>
  </si>
  <si>
    <t>А1725</t>
  </si>
  <si>
    <t>А1726</t>
  </si>
  <si>
    <t>А1728</t>
  </si>
  <si>
    <t>А1729</t>
  </si>
  <si>
    <t>А1730</t>
  </si>
  <si>
    <t>А1731</t>
  </si>
  <si>
    <t>А1732</t>
  </si>
  <si>
    <t>А1733</t>
  </si>
  <si>
    <t>А1734</t>
  </si>
  <si>
    <t>А1735</t>
  </si>
  <si>
    <t>А1737</t>
  </si>
  <si>
    <t>А1742</t>
  </si>
  <si>
    <t>А1744</t>
  </si>
  <si>
    <t>А1745</t>
  </si>
  <si>
    <t>А1746</t>
  </si>
  <si>
    <t>А1747</t>
  </si>
  <si>
    <t>А1754</t>
  </si>
  <si>
    <t>А1755</t>
  </si>
  <si>
    <t>А1756</t>
  </si>
  <si>
    <t>А1757</t>
  </si>
  <si>
    <t>А1758</t>
  </si>
  <si>
    <t>А1759</t>
  </si>
  <si>
    <t>А1760</t>
  </si>
  <si>
    <t>А1762</t>
  </si>
  <si>
    <t>А1763</t>
  </si>
  <si>
    <t>А1764</t>
  </si>
  <si>
    <t>А1766</t>
  </si>
  <si>
    <t>А1767</t>
  </si>
  <si>
    <t>А1768</t>
  </si>
  <si>
    <t>А1769</t>
  </si>
  <si>
    <t>А1770</t>
  </si>
  <si>
    <t>А1772</t>
  </si>
  <si>
    <t>А1773</t>
  </si>
  <si>
    <t>А1774</t>
  </si>
  <si>
    <t>А1781</t>
  </si>
  <si>
    <t>А1784</t>
  </si>
  <si>
    <t>А1786</t>
  </si>
  <si>
    <t>А1788</t>
  </si>
  <si>
    <t>А1789</t>
  </si>
  <si>
    <t>А1790</t>
  </si>
  <si>
    <t>А1791</t>
  </si>
  <si>
    <t>А1792</t>
  </si>
  <si>
    <t>А1795</t>
  </si>
  <si>
    <t>А1796</t>
  </si>
  <si>
    <t>А1797</t>
  </si>
  <si>
    <t>А1798</t>
  </si>
  <si>
    <t>А1799</t>
  </si>
  <si>
    <t>А1801</t>
  </si>
  <si>
    <t>А1802</t>
  </si>
  <si>
    <t>А1805</t>
  </si>
  <si>
    <t>А1806</t>
  </si>
  <si>
    <t>А1807</t>
  </si>
  <si>
    <t>А1808</t>
  </si>
  <si>
    <t>А1809</t>
  </si>
  <si>
    <t>А1810</t>
  </si>
  <si>
    <t>А1811</t>
  </si>
  <si>
    <t>А1812</t>
  </si>
  <si>
    <t>А1815</t>
  </si>
  <si>
    <t>А1816</t>
  </si>
  <si>
    <t>А1817</t>
  </si>
  <si>
    <t>А1818</t>
  </si>
  <si>
    <t>А1819</t>
  </si>
  <si>
    <t>А1820</t>
  </si>
  <si>
    <t>А1821</t>
  </si>
  <si>
    <t>А1822</t>
  </si>
  <si>
    <t>А1823</t>
  </si>
  <si>
    <t>А1824</t>
  </si>
  <si>
    <t>А1825</t>
  </si>
  <si>
    <t>А1826</t>
  </si>
  <si>
    <t>А1827</t>
  </si>
  <si>
    <t>А1828</t>
  </si>
  <si>
    <t>А1829</t>
  </si>
  <si>
    <t>А1830</t>
  </si>
  <si>
    <t>А1831</t>
  </si>
  <si>
    <t>А1832</t>
  </si>
  <si>
    <t>А1833</t>
  </si>
  <si>
    <t>А1834</t>
  </si>
  <si>
    <t>А1835</t>
  </si>
  <si>
    <t>А1836</t>
  </si>
  <si>
    <t>А1837</t>
  </si>
  <si>
    <t>А1838</t>
  </si>
  <si>
    <t>А1839</t>
  </si>
  <si>
    <t>А1840</t>
  </si>
  <si>
    <t>А1841</t>
  </si>
  <si>
    <t>А1842</t>
  </si>
  <si>
    <t>А1843</t>
  </si>
  <si>
    <t>А1844</t>
  </si>
  <si>
    <t>А1845</t>
  </si>
  <si>
    <t>А1846</t>
  </si>
  <si>
    <t>А1847</t>
  </si>
  <si>
    <t>А1848</t>
  </si>
  <si>
    <t>А1849</t>
  </si>
  <si>
    <t>А1850</t>
  </si>
  <si>
    <t>А1851</t>
  </si>
  <si>
    <t>А1852</t>
  </si>
  <si>
    <t>А1855</t>
  </si>
  <si>
    <t>А1856</t>
  </si>
  <si>
    <t>А1866</t>
  </si>
  <si>
    <t>А1867</t>
  </si>
  <si>
    <t>А1868</t>
  </si>
  <si>
    <t>А1869</t>
  </si>
  <si>
    <t>А1870</t>
  </si>
  <si>
    <t>А1871</t>
  </si>
  <si>
    <t>А1872</t>
  </si>
  <si>
    <t>А1873</t>
  </si>
  <si>
    <t>А1874</t>
  </si>
  <si>
    <t>А1876</t>
  </si>
  <si>
    <t>А1877</t>
  </si>
  <si>
    <t>А1878</t>
  </si>
  <si>
    <t>А1879</t>
  </si>
  <si>
    <t>А1880</t>
  </si>
  <si>
    <t>А1881</t>
  </si>
  <si>
    <t>А1882</t>
  </si>
  <si>
    <t>А1883</t>
  </si>
  <si>
    <t>А1884</t>
  </si>
  <si>
    <t>А1885</t>
  </si>
  <si>
    <t>А1890</t>
  </si>
  <si>
    <t>А1891</t>
  </si>
  <si>
    <t>А1892</t>
  </si>
  <si>
    <t>А1893</t>
  </si>
  <si>
    <t>А1894</t>
  </si>
  <si>
    <t>А1895</t>
  </si>
  <si>
    <t>А1896</t>
  </si>
  <si>
    <t>А1897</t>
  </si>
  <si>
    <t>А1898</t>
  </si>
  <si>
    <t>А1900</t>
  </si>
  <si>
    <t>А1901</t>
  </si>
  <si>
    <t>А1902</t>
  </si>
  <si>
    <t>А1903</t>
  </si>
  <si>
    <t>А1904</t>
  </si>
  <si>
    <t>А1905</t>
  </si>
  <si>
    <t>А1906</t>
  </si>
  <si>
    <t>А1908</t>
  </si>
  <si>
    <t>А1909</t>
  </si>
  <si>
    <t>А1918</t>
  </si>
  <si>
    <t>А1919</t>
  </si>
  <si>
    <t>А1920</t>
  </si>
  <si>
    <t>А1921</t>
  </si>
  <si>
    <t>А1922</t>
  </si>
  <si>
    <t>А1924</t>
  </si>
  <si>
    <t>А1925</t>
  </si>
  <si>
    <t>А1926</t>
  </si>
  <si>
    <t>А1927</t>
  </si>
  <si>
    <t>А1928</t>
  </si>
  <si>
    <t>А1929</t>
  </si>
  <si>
    <t>А1930</t>
  </si>
  <si>
    <t>А1931</t>
  </si>
  <si>
    <t>А1932</t>
  </si>
  <si>
    <t>А1933</t>
  </si>
  <si>
    <t>А1934</t>
  </si>
  <si>
    <t>А1935</t>
  </si>
  <si>
    <t>А1936</t>
  </si>
  <si>
    <t>А1937</t>
  </si>
  <si>
    <t>А1938</t>
  </si>
  <si>
    <t>А1939</t>
  </si>
  <si>
    <t>А1940</t>
  </si>
  <si>
    <t>А1941</t>
  </si>
  <si>
    <t>А1942</t>
  </si>
  <si>
    <t>А1943</t>
  </si>
  <si>
    <t>А1944</t>
  </si>
  <si>
    <t>А1945</t>
  </si>
  <si>
    <t>А1946</t>
  </si>
  <si>
    <t>А1947</t>
  </si>
  <si>
    <t>А1948</t>
  </si>
  <si>
    <t>А1949</t>
  </si>
  <si>
    <t>А1950</t>
  </si>
  <si>
    <t>А1951</t>
  </si>
  <si>
    <t>А1952</t>
  </si>
  <si>
    <t>А1953</t>
  </si>
  <si>
    <t>А1954</t>
  </si>
  <si>
    <t>А1955</t>
  </si>
  <si>
    <t>А1956</t>
  </si>
  <si>
    <t>А1957</t>
  </si>
  <si>
    <t>А1958</t>
  </si>
  <si>
    <t>А1959</t>
  </si>
  <si>
    <t>А1960</t>
  </si>
  <si>
    <t>А1961</t>
  </si>
  <si>
    <t>А1962</t>
  </si>
  <si>
    <t>А1963</t>
  </si>
  <si>
    <t>А1964</t>
  </si>
  <si>
    <t>А1965</t>
  </si>
  <si>
    <t>А1966</t>
  </si>
  <si>
    <t>А1967</t>
  </si>
  <si>
    <t>А1968</t>
  </si>
  <si>
    <t>А1969</t>
  </si>
  <si>
    <t>А1970</t>
  </si>
  <si>
    <t>А1971</t>
  </si>
  <si>
    <t>А1972</t>
  </si>
  <si>
    <t>А1973</t>
  </si>
  <si>
    <t>А1974</t>
  </si>
  <si>
    <t>А1975</t>
  </si>
  <si>
    <t>А1976</t>
  </si>
  <si>
    <t>А1977</t>
  </si>
  <si>
    <t>А1978</t>
  </si>
  <si>
    <t>А1979</t>
  </si>
  <si>
    <t>А1980</t>
  </si>
  <si>
    <t>А1981</t>
  </si>
  <si>
    <t>А1982</t>
  </si>
  <si>
    <t>А1983</t>
  </si>
  <si>
    <t>А1984</t>
  </si>
  <si>
    <t>А1985</t>
  </si>
  <si>
    <t>А1986</t>
  </si>
  <si>
    <t>А1987</t>
  </si>
  <si>
    <t>А1988</t>
  </si>
  <si>
    <t>А1989</t>
  </si>
  <si>
    <t>А1990</t>
  </si>
  <si>
    <t>А1991</t>
  </si>
  <si>
    <t>А1992</t>
  </si>
  <si>
    <t>А1993</t>
  </si>
  <si>
    <t>А1994</t>
  </si>
  <si>
    <t>А1995</t>
  </si>
  <si>
    <t>А1996</t>
  </si>
  <si>
    <t>А1997</t>
  </si>
  <si>
    <t>А1998</t>
  </si>
  <si>
    <t>А1999</t>
  </si>
  <si>
    <t>А2000</t>
  </si>
  <si>
    <t>А2001</t>
  </si>
  <si>
    <t>А2002</t>
  </si>
  <si>
    <t>А2003</t>
  </si>
  <si>
    <t>А2004</t>
  </si>
  <si>
    <t>А2005</t>
  </si>
  <si>
    <t>А2008</t>
  </si>
  <si>
    <t>А2009</t>
  </si>
  <si>
    <t>А2010</t>
  </si>
  <si>
    <t>А2011</t>
  </si>
  <si>
    <t>А2012</t>
  </si>
  <si>
    <t>А2013</t>
  </si>
  <si>
    <t>А2014</t>
  </si>
  <si>
    <t>А2015</t>
  </si>
  <si>
    <t>А2016</t>
  </si>
  <si>
    <t>А2017</t>
  </si>
  <si>
    <t>А2018</t>
  </si>
  <si>
    <t>А2019</t>
  </si>
  <si>
    <t>А2020</t>
  </si>
  <si>
    <t>А2021</t>
  </si>
  <si>
    <t>А2022</t>
  </si>
  <si>
    <t>А2023</t>
  </si>
  <si>
    <t>А2024</t>
  </si>
  <si>
    <t>А2025</t>
  </si>
  <si>
    <t>А2026</t>
  </si>
  <si>
    <t>А2027</t>
  </si>
  <si>
    <t>А2028</t>
  </si>
  <si>
    <t>А2029</t>
  </si>
  <si>
    <t>А2030</t>
  </si>
  <si>
    <t>А2031</t>
  </si>
  <si>
    <t>А2032</t>
  </si>
  <si>
    <t>А2033</t>
  </si>
  <si>
    <t>А2034</t>
  </si>
  <si>
    <t>А2035</t>
  </si>
  <si>
    <t>А2036</t>
  </si>
  <si>
    <t>А2037</t>
  </si>
  <si>
    <t>А2038</t>
  </si>
  <si>
    <t>А2039</t>
  </si>
  <si>
    <t>А2040</t>
  </si>
  <si>
    <t>А2041</t>
  </si>
  <si>
    <t>А2042</t>
  </si>
  <si>
    <t>А2043</t>
  </si>
  <si>
    <t>А2046</t>
  </si>
  <si>
    <t>А2047</t>
  </si>
  <si>
    <t>А2049</t>
  </si>
  <si>
    <t>А2050</t>
  </si>
  <si>
    <t>А2065</t>
  </si>
  <si>
    <t>А2066</t>
  </si>
  <si>
    <t>А2068</t>
  </si>
  <si>
    <t>А2069</t>
  </si>
  <si>
    <t>А2073</t>
  </si>
  <si>
    <t>А2076</t>
  </si>
  <si>
    <t>А2079</t>
  </si>
  <si>
    <t>А2080</t>
  </si>
  <si>
    <t>А2088</t>
  </si>
  <si>
    <t>А2090</t>
  </si>
  <si>
    <t>А2092</t>
  </si>
  <si>
    <t>А2095</t>
  </si>
  <si>
    <t>А2096</t>
  </si>
  <si>
    <t>А2097</t>
  </si>
  <si>
    <t>А2098</t>
  </si>
  <si>
    <t>А2099</t>
  </si>
  <si>
    <t>А2100</t>
  </si>
  <si>
    <t>А2101</t>
  </si>
  <si>
    <t>А2103</t>
  </si>
  <si>
    <t>А2104</t>
  </si>
  <si>
    <t>А2105</t>
  </si>
  <si>
    <t>А2106</t>
  </si>
  <si>
    <t>А2107</t>
  </si>
  <si>
    <t>А2110</t>
  </si>
  <si>
    <t>А2111</t>
  </si>
  <si>
    <t>А2112</t>
  </si>
  <si>
    <t>А2113</t>
  </si>
  <si>
    <t>А2114</t>
  </si>
  <si>
    <t>А2115</t>
  </si>
  <si>
    <t>А2116</t>
  </si>
  <si>
    <t>А2117</t>
  </si>
  <si>
    <t>А2118</t>
  </si>
  <si>
    <t>А2120</t>
  </si>
  <si>
    <t>А2126</t>
  </si>
  <si>
    <t>А2127</t>
  </si>
  <si>
    <t>А2128</t>
  </si>
  <si>
    <t>А2132</t>
  </si>
  <si>
    <t>А2133</t>
  </si>
  <si>
    <t>А2134</t>
  </si>
  <si>
    <t>А2135</t>
  </si>
  <si>
    <t>А2136</t>
  </si>
  <si>
    <t>А2137</t>
  </si>
  <si>
    <t>А2138</t>
  </si>
  <si>
    <t>А2139</t>
  </si>
  <si>
    <t>А2140</t>
  </si>
  <si>
    <t>А2141</t>
  </si>
  <si>
    <t>А2142</t>
  </si>
  <si>
    <t>А2144</t>
  </si>
  <si>
    <t>А2145</t>
  </si>
  <si>
    <t>А2146</t>
  </si>
  <si>
    <t>А2147</t>
  </si>
  <si>
    <t>А2148</t>
  </si>
  <si>
    <t>А2149</t>
  </si>
  <si>
    <t>А2150</t>
  </si>
  <si>
    <t>А2151</t>
  </si>
  <si>
    <t>А2152</t>
  </si>
  <si>
    <t>А2153</t>
  </si>
  <si>
    <t>А2156</t>
  </si>
  <si>
    <t>Счётчик ПСЧ-4А.05.2 220/380 5</t>
  </si>
  <si>
    <t>Модуль вывода Allen-Bradley 1</t>
  </si>
  <si>
    <t>Контроллер Allen-Bradley 1747</t>
  </si>
  <si>
    <t>Модуль вв/выв Allen-Bradley 1</t>
  </si>
  <si>
    <t>Модуль адаптера Allen-Bradley</t>
  </si>
  <si>
    <t>Фотосигнализатор пламени ФСП 1.2</t>
  </si>
  <si>
    <t>Э/п Siemens SQX32.00 230В</t>
  </si>
  <si>
    <t>Блок БПС-90П-240-УХЛ.3(-20+60)С-4-20</t>
  </si>
  <si>
    <t>А2157</t>
  </si>
  <si>
    <t>А2158</t>
  </si>
  <si>
    <t>А2159</t>
  </si>
  <si>
    <t>А2160</t>
  </si>
  <si>
    <t>А2161</t>
  </si>
  <si>
    <t>А2162</t>
  </si>
  <si>
    <t>А2163</t>
  </si>
  <si>
    <t>А2164</t>
  </si>
  <si>
    <t>А2165</t>
  </si>
  <si>
    <t>А2166</t>
  </si>
  <si>
    <t>А2167</t>
  </si>
  <si>
    <t xml:space="preserve">Электротехническое оборудование и КИПиА </t>
  </si>
  <si>
    <t>(0806) Щорса ул., д.13</t>
  </si>
  <si>
    <t>ДН-2,5 0,04-2,5кПа</t>
  </si>
  <si>
    <t>Allen-Bradley 1</t>
  </si>
  <si>
    <t>Фото</t>
  </si>
  <si>
    <t>Паспорт. Фото</t>
  </si>
  <si>
    <t xml:space="preserve"> Сертификат. Фото</t>
  </si>
  <si>
    <t>Инструкция по эксплуатации. Фото.</t>
  </si>
  <si>
    <t>А1740</t>
  </si>
  <si>
    <t>Модуль вв/выв Allen-Bradley 1746-IB32</t>
  </si>
  <si>
    <t>А2168</t>
  </si>
  <si>
    <t>(0904) Врачебный проезд д.3</t>
  </si>
  <si>
    <t>Начальная цена 
 (без учета НДС), 
руб.</t>
  </si>
  <si>
    <t>А0167/1</t>
  </si>
  <si>
    <t>(0092) Кусковская 18Г</t>
  </si>
  <si>
    <t>А0193/1</t>
  </si>
  <si>
    <t>А0367/1</t>
  </si>
  <si>
    <t>А0425/1</t>
  </si>
  <si>
    <t>А0758/1</t>
  </si>
  <si>
    <t>А0771/1</t>
  </si>
  <si>
    <t>А0773/1</t>
  </si>
  <si>
    <t>А1325/1</t>
  </si>
  <si>
    <t>А1326/1</t>
  </si>
  <si>
    <t>А1388/1</t>
  </si>
  <si>
    <t>А1446/1</t>
  </si>
  <si>
    <t>А1580/1</t>
  </si>
  <si>
    <t>А1595/1</t>
  </si>
  <si>
    <t>А1622/1</t>
  </si>
  <si>
    <t>А0308+А0310</t>
  </si>
  <si>
    <t>А1621+А1633</t>
  </si>
  <si>
    <t>А2094+А2108</t>
  </si>
  <si>
    <t>А2109+А2121</t>
  </si>
  <si>
    <t>(0512) Сормовская ул., д. 17, корп. 5, стр.2</t>
  </si>
  <si>
    <t>Моющие средства</t>
  </si>
  <si>
    <t>Прокат из черных металлов</t>
  </si>
  <si>
    <t>Трубка ПВХ ТВ-40 4мм Г19034-82</t>
  </si>
  <si>
    <t>Подшипник 2317К ГОСТ 8328-75</t>
  </si>
  <si>
    <t>Клапан КО-3-Г11 6101</t>
  </si>
  <si>
    <t>Куртка зим.жен.р.120-124/170-</t>
  </si>
  <si>
    <t>Куртка зим.жен.р.128-132/182-</t>
  </si>
  <si>
    <t>Блок сигнализации положения т</t>
  </si>
  <si>
    <t>Куртка зим.жен.р.136-140/158-</t>
  </si>
  <si>
    <t>Блок сигнализации положения Б</t>
  </si>
  <si>
    <t>Комплект термопр. КТСП-Н 5.0.</t>
  </si>
  <si>
    <t>Горелка ГВ-111Р</t>
  </si>
  <si>
    <t>Кран шаровой Ду 300 мм кшп с</t>
  </si>
  <si>
    <t>Кран шаровой Ду 700 мм редуци</t>
  </si>
  <si>
    <t>Задвижка 30с 564нж Ду 300 мм</t>
  </si>
  <si>
    <t>Клапан VFG2 Ду20 Ру16 Kv6,3 0</t>
  </si>
  <si>
    <t>Куртка зим.жен.р.128-132/158-</t>
  </si>
  <si>
    <t>П/комбинез. зим.муж.см.р.128-</t>
  </si>
  <si>
    <t>Клапан ГРАНЛОК CVS16.05.065.16</t>
  </si>
  <si>
    <t>Трубка ПВХ ТВ-40 2мм Г19034-82</t>
  </si>
  <si>
    <t>Длительное открытое хранение</t>
  </si>
  <si>
    <t>Не рабочие</t>
  </si>
  <si>
    <t>Демонтированы с байпаса</t>
  </si>
  <si>
    <t>Неудовлетворительное</t>
  </si>
  <si>
    <t>ТИП-БП-20,220V,50 Hz; ТИП-БД-10М-4-20 мА</t>
  </si>
  <si>
    <t>ТИП-БП-10,220V,50 Hz; ТИП-БД-10М-4-20 мА</t>
  </si>
  <si>
    <t>А0913</t>
  </si>
  <si>
    <t>А0914</t>
  </si>
  <si>
    <t>Комплект термопр. КТСП-Н 5.0.03.00.4.3.3</t>
  </si>
  <si>
    <t>ИТОГО:</t>
  </si>
  <si>
    <t>А2169</t>
  </si>
  <si>
    <t>А2170</t>
  </si>
  <si>
    <t>А2171</t>
  </si>
  <si>
    <t>А2172</t>
  </si>
  <si>
    <t>А2174</t>
  </si>
  <si>
    <t>А2175</t>
  </si>
  <si>
    <t>А2176</t>
  </si>
  <si>
    <t>А2177</t>
  </si>
  <si>
    <t>А2178</t>
  </si>
  <si>
    <t>А2179</t>
  </si>
  <si>
    <t>А2180</t>
  </si>
  <si>
    <t>А2182</t>
  </si>
  <si>
    <t>А2183</t>
  </si>
  <si>
    <t>А2184</t>
  </si>
  <si>
    <t>А2186</t>
  </si>
  <si>
    <t>А2187</t>
  </si>
  <si>
    <t>Строительно-монтажное оборудование. Задвижки.</t>
  </si>
  <si>
    <t>(0109) 1-й Басманный пер., д. 6</t>
  </si>
  <si>
    <t>Клапаны</t>
  </si>
  <si>
    <t>По факту для ксислорода (а не для горючего газа)</t>
  </si>
  <si>
    <t>RU C-RU.АГ08.В.00336 от 18.02.2014</t>
  </si>
  <si>
    <t>В неактуальном корпоративном стиле</t>
  </si>
  <si>
    <t>Датчик-сигнализатор обледенения СО-1 15В</t>
  </si>
  <si>
    <t>М-150TA2(0-10кгс/см2)2G21AM5IM2B1К04</t>
  </si>
  <si>
    <t>Преобразователь ПД200-ДД2,0-155-0,1-2-Н</t>
  </si>
  <si>
    <t>Счётчик ПСЧ-4А.05.2 220/380 5(7,5)</t>
  </si>
  <si>
    <t>А0749</t>
  </si>
  <si>
    <t>А0691</t>
  </si>
  <si>
    <t>Паспорт ТЖИУ.406233.008ПС</t>
  </si>
  <si>
    <t>А0681</t>
  </si>
  <si>
    <t>А0376</t>
  </si>
  <si>
    <t>А0376/1</t>
  </si>
  <si>
    <t>А1021</t>
  </si>
  <si>
    <t>Текон DO16s-220DC</t>
  </si>
  <si>
    <t>А0765</t>
  </si>
  <si>
    <t>Паспорт ИВКА.426619.004 ПС</t>
  </si>
  <si>
    <t>А0394</t>
  </si>
  <si>
    <t>А0713</t>
  </si>
  <si>
    <t>А1041</t>
  </si>
  <si>
    <t>ТЖИУ.406423.005 0,4-1,6МПа</t>
  </si>
  <si>
    <t>А0871</t>
  </si>
  <si>
    <t>А0852</t>
  </si>
  <si>
    <t>А0993</t>
  </si>
  <si>
    <t>ДЕМ 202-1-02-1 с К1</t>
  </si>
  <si>
    <t>А2188</t>
  </si>
  <si>
    <t>Устройство поддержания давления и компенсации расширений</t>
  </si>
  <si>
    <t>(0517) Ставропольская ул. 27Б</t>
  </si>
  <si>
    <t>Паспорт № 31399, 106294, 106295, 106296, 106301, 112201, 112202</t>
  </si>
  <si>
    <t>Блок ThinkCentre M73 Lenovo 10B1A0R9RU</t>
  </si>
  <si>
    <t>ИБП Entel LPB-U30CS2-CH</t>
  </si>
  <si>
    <t>ИБП Entel SPB-U15BS2+D1-AK</t>
  </si>
  <si>
    <t>ИБП СКАТ-1200 исп.5</t>
  </si>
  <si>
    <t>Сервер RS140 Lenovo 70F8S01Y00</t>
  </si>
  <si>
    <t>Сервер RS140 Lenovo 70F8S02700</t>
  </si>
  <si>
    <t>Узел NSGO-IP3860 шкаф NSB-3860H1F2</t>
  </si>
  <si>
    <t>Щит силовой 380/220В BCC 2016-ВСС-4061</t>
  </si>
  <si>
    <t>Щит силовой 380/220В BCC 2016-ВСС-4062</t>
  </si>
  <si>
    <t>Щит силовой 380/220В ВСС 2015-ВСС-4335</t>
  </si>
  <si>
    <t>Щит силовой 380/220В ВСС 2015-ВСС-4336</t>
  </si>
  <si>
    <t xml:space="preserve">06.06.2016 </t>
  </si>
  <si>
    <t>13.06.2016</t>
  </si>
  <si>
    <t>02.11.2017</t>
  </si>
  <si>
    <t>06.06.2016</t>
  </si>
  <si>
    <t>Блок системный ThinkCentre M73 Lenovo 10B1A0R9RU</t>
  </si>
  <si>
    <t>Источник бесперебойного питания Entel LPB-U30CS2-CH</t>
  </si>
  <si>
    <t>Источник бесперебойного питания Entel SPB-U15BS2+D1-AK</t>
  </si>
  <si>
    <t>Источник вторичного электропитания резервированный СКАТ-1200 исп.5 ПО Бастион</t>
  </si>
  <si>
    <t>Сервер ThinkServer RS140 Lenovo 70F8S01Y00</t>
  </si>
  <si>
    <t>Сервер ThinkServer RS140 Lenovo 70F8S02700</t>
  </si>
  <si>
    <t>Узел доступа NSGO-IP3860 шкаф NSB-3860H1F2 с системой термостабилизации и грозозащиты NSGate</t>
  </si>
  <si>
    <t>Щит силовой групповой 380/220В BCC 2016-ВСС-4061</t>
  </si>
  <si>
    <t>Щит силовой групповой 380/220В BCC 2016-ВСС-4062</t>
  </si>
  <si>
    <t>Щит силовой групповой 380/220В ВСС 2015-ВСС-4335</t>
  </si>
  <si>
    <t>Щит силовой групповой 380/220В ВСС 2015-ВСС-4336</t>
  </si>
  <si>
    <t>Насос 1К-80-65-160-с У3.1 7,5/2900</t>
  </si>
  <si>
    <t>20.09.2017</t>
  </si>
  <si>
    <t>М-55-ДИ-515-МП-t1-050-1,0МПа-</t>
  </si>
  <si>
    <t>М-150CG1(+/-1,25кПа)2211L3AM5</t>
  </si>
  <si>
    <t>(0406) Щелковское ш., д.70А</t>
  </si>
  <si>
    <t>(0605) Кавказский бульвар, 62</t>
  </si>
  <si>
    <t>3.NV.1207-2003</t>
  </si>
  <si>
    <t>3.NV.1207-2004</t>
  </si>
  <si>
    <t>3.NV.1207-2005</t>
  </si>
  <si>
    <t>3.NV.1207-2006</t>
  </si>
  <si>
    <t>3.NV.1207-2007</t>
  </si>
  <si>
    <t>3.NV.1207-2008</t>
  </si>
  <si>
    <t>3.NV.1207-2009</t>
  </si>
  <si>
    <t>3.NV.1207-2010</t>
  </si>
  <si>
    <t>3.NV.1207-2011</t>
  </si>
  <si>
    <t>М-150CG1(+/-1,25кПа) 2211L3AM5D52B1С1K03</t>
  </si>
  <si>
    <t xml:space="preserve">Отсутствует Сертификат соответствия ТР ТС 019/2011. Не сертифицированные СИЗ применять запрещено (ст. 212, 221 ТК РФ). </t>
  </si>
  <si>
    <t>1-старый образец    
 1-новый образец (04.2015)      4-новый образец (12.2014)</t>
  </si>
  <si>
    <t>Турникет PERCo-TTR-07.1G</t>
  </si>
  <si>
    <t>102012852</t>
  </si>
  <si>
    <t>(0804) Бобруйская ул., д.19</t>
  </si>
  <si>
    <t>Техническая документация</t>
  </si>
  <si>
    <t xml:space="preserve">Насос центробежный консольный 1К-80-65-160-с У3.1 с электродвигателем 7,5кВт 2900об/мин </t>
  </si>
  <si>
    <t>А2190</t>
  </si>
  <si>
    <t>А2191</t>
  </si>
  <si>
    <t>А2192</t>
  </si>
  <si>
    <t>А2193</t>
  </si>
  <si>
    <t>А2194</t>
  </si>
  <si>
    <t>А2195</t>
  </si>
  <si>
    <t>А2196</t>
  </si>
  <si>
    <t>А2197</t>
  </si>
  <si>
    <t>А2198</t>
  </si>
  <si>
    <t>А2199</t>
  </si>
  <si>
    <t>А2200</t>
  </si>
  <si>
    <t>А2201</t>
  </si>
  <si>
    <t>А2205</t>
  </si>
  <si>
    <t>А2206</t>
  </si>
  <si>
    <t>А2204</t>
  </si>
  <si>
    <t>А2207</t>
  </si>
  <si>
    <t>А2208</t>
  </si>
  <si>
    <t>А2209</t>
  </si>
  <si>
    <t>А2210</t>
  </si>
  <si>
    <t>А2211</t>
  </si>
  <si>
    <t>А2212</t>
  </si>
  <si>
    <t>А2213</t>
  </si>
  <si>
    <t>А2214</t>
  </si>
  <si>
    <t>Турникет-трипод</t>
  </si>
  <si>
    <t>Серверное и компьютерное оборудование, ИБП</t>
  </si>
  <si>
    <t>Узлы учета тепловой энергии</t>
  </si>
  <si>
    <t>Шаг аукциона 10%, руб.</t>
  </si>
  <si>
    <t>Паспорт 21 от 10.2012, сертификат №РОСС RU,ХТ03,В00133 от 02.06.2008г</t>
  </si>
  <si>
    <t>Ду-25, влагостойкость -IР65, Р-0…0,4МРа, ТУ РБ 0570855402/-96. Изготовитель - Республика Беларусь</t>
  </si>
  <si>
    <t xml:space="preserve"> В заводской упаковке. Изготовитель - Бельгия</t>
  </si>
  <si>
    <t>Сертификат соответствия 
№ РОСС ВЕ.АЮ64.НО2939, 
срок действия: 10.12.2007-09.12.2010</t>
  </si>
  <si>
    <t>Шкафы электротехнические</t>
  </si>
  <si>
    <t>Труба безшовная</t>
  </si>
  <si>
    <t>Удоалетворительное</t>
  </si>
  <si>
    <t>Тип присоединения: фланец-гладкий конец; диаметр - 100 мм</t>
  </si>
  <si>
    <t xml:space="preserve">Диапазон измерений концентраций метана, % об. долей: 0-2,2
Диапазон измерений других горючих газов и паров, % НКПР: 0-100
Напряжение питания, В (в мостовой измерительной схеме): 2,8±0,2
Потребляемая мощность, Вт: 0,14±0,02
</t>
  </si>
  <si>
    <t xml:space="preserve">Термометр биметаллический целиком из нерж.стали, кл.1,5, корпус ф60мм, шток осевой 200х10мм с резьбой М20х1,5 </t>
  </si>
  <si>
    <t xml:space="preserve">Контролируемые среды: хладоны, воздух, масла и другие среды (вязкость не более 0,8 Па∙с), неагрессивные к медным сплавам, стали, фторопластам, серебряным припоям
</t>
  </si>
  <si>
    <t xml:space="preserve">Контролируемые среды: хладоны, воздух, масла и другие среды (вязкость не более 0,8 Па∙с), неагрессивные к медным сплавам, стали, фторопластам, серебряным припоям 
</t>
  </si>
  <si>
    <t xml:space="preserve"> ИТ-17С</t>
  </si>
  <si>
    <t>(0317) Проспект Мира, д. 177А, стр. 1</t>
  </si>
  <si>
    <t>(0317) Проспект Мира д.177А, стр.1</t>
  </si>
  <si>
    <t>(0402) Зверинецкая ул., д.33, стр.1</t>
  </si>
  <si>
    <t>(0409) Щелковское ш., д.70А, стр.1</t>
  </si>
  <si>
    <t>(0317) Проспект Мира д.177А, стр1</t>
  </si>
  <si>
    <t>АГТ-71-25/16кв10</t>
  </si>
  <si>
    <t>Болт М22-6gх70.58 Г7798-70</t>
  </si>
  <si>
    <t>Бочонок Ду32 L=50мм</t>
  </si>
  <si>
    <t>Бочонок Ду40 L=50мм</t>
  </si>
  <si>
    <t>Вентиль KVN-100-III-KX Ду100 Ру16</t>
  </si>
  <si>
    <t>Винт оцинк. М4-6g.16.48.016 Г17473-80</t>
  </si>
  <si>
    <t>Задвижка 30с15нж Ду100 Ру40 газ. А</t>
  </si>
  <si>
    <t>Муфта 25 Г8954-75</t>
  </si>
  <si>
    <t>Муфта 32 Г8954-75</t>
  </si>
  <si>
    <t>Насос T - 65В/2 /7,5 кВт/</t>
  </si>
  <si>
    <t>Отвод 45-219х8-20 Г17375</t>
  </si>
  <si>
    <t>Отвод 45-57х5-20 Г17375</t>
  </si>
  <si>
    <t>Отвод 90-45х3,5-20 Г17375</t>
  </si>
  <si>
    <t>Отводы 325*8мм</t>
  </si>
  <si>
    <t>Пресс механический Р 2,5-5тн</t>
  </si>
  <si>
    <t>Регулятор Ду-50 21ч10нж</t>
  </si>
  <si>
    <t>Резьба Ду32 L50 Г3262-75</t>
  </si>
  <si>
    <t>Розетка PYF14A-N Omron</t>
  </si>
  <si>
    <t>Тройник 108х4-20 Г17376</t>
  </si>
  <si>
    <t>Тройник 219х10-159х8-20 Г17376</t>
  </si>
  <si>
    <t>Тройник 219х9-219х7-2,5 ТС-590-006</t>
  </si>
  <si>
    <t>Тройник 76х6-45х4-20 Г17376</t>
  </si>
  <si>
    <t>Тройник Ду-32</t>
  </si>
  <si>
    <t>Тройник ТП 100х100 Г6942.12-80</t>
  </si>
  <si>
    <t>Тройник ТП-100х100 Г6942-98</t>
  </si>
  <si>
    <t>Тройник ТП-50х50 Г6942-98</t>
  </si>
  <si>
    <t>Трубы стальные ВГП Ду 25х3.2мм</t>
  </si>
  <si>
    <t>Трубы стальные ВГП Ду 32х3.2мм</t>
  </si>
  <si>
    <t>Угольник Ду-025</t>
  </si>
  <si>
    <t>Угольник Ду-040</t>
  </si>
  <si>
    <t>Угольник Ду-050</t>
  </si>
  <si>
    <t>Цилиндр KK-ALC-18-30 Saint-Gobain Isover</t>
  </si>
  <si>
    <t>(0094) Кусковская ул., д. 18Г</t>
  </si>
  <si>
    <t>DIN-рейка 2000х35x15мм SE NSYSDR200</t>
  </si>
  <si>
    <t>PC-LPM-UTP-RJ45-RJ45-C6-0.5M-LSZH-WH</t>
  </si>
  <si>
    <t>PC-LPM-UTP-RJ45-RJ45-C6-1M-LSZH-GY</t>
  </si>
  <si>
    <t>PC-LPM-UTP-RJ45-RJ45-C6-20M-LSZH-GY</t>
  </si>
  <si>
    <t>PC-LPM-UTP-RJ45-RJ45-C6-2M-LSZH-GY</t>
  </si>
  <si>
    <t>PC-LPM-UTP-RJ45-RJ45-C6-2M-LSZH-WH</t>
  </si>
  <si>
    <t>PC-LPM-UTP-RJ45-RJ45-C6-3M-LSZH-WH</t>
  </si>
  <si>
    <t>Адаптер FA-P11Z-DLC/DLC-N/WH-BL</t>
  </si>
  <si>
    <t>Анкер PFG LB 12-50 25шт/уп Sormat 77038</t>
  </si>
  <si>
    <t>Анкер S-KAK 6х40 150шт/уп Sormat 02100</t>
  </si>
  <si>
    <t>Ввод каб.мет. M32x1,5 Dк18-25 Lр8 Ferrol</t>
  </si>
  <si>
    <t>Ввод кабельный PG29 Экопласт 41029</t>
  </si>
  <si>
    <t>Ввод кабельный PG36 Экопласт 41036</t>
  </si>
  <si>
    <t>Ввод кабельный М42х1,5 ф23-34мм ЗЭТА</t>
  </si>
  <si>
    <t>Вставка-заглушка Hyperline KJ1-BL-WH</t>
  </si>
  <si>
    <t>Держатель д/трубы гофрир. Ду50 DKC 51050</t>
  </si>
  <si>
    <t>Держатель ф32 DKC 53346</t>
  </si>
  <si>
    <t>Держатель ф32 DKC 53359</t>
  </si>
  <si>
    <t>Дюбель расп. ус NAT 6х30 Sormat 75006</t>
  </si>
  <si>
    <t>Заглушка DLP 50х105 Legrand 10700</t>
  </si>
  <si>
    <t>Зажим DIN741 D=6мм М5 Goralmet</t>
  </si>
  <si>
    <t>Зажим OBO Betterman 5057930</t>
  </si>
  <si>
    <t>Зажим кабельный PG7 3-6,5мм IP68 DKC</t>
  </si>
  <si>
    <t>Зажим троса 6мм DKC CM623006</t>
  </si>
  <si>
    <t>Замок для ленты 130801-00332</t>
  </si>
  <si>
    <t>Извещатель ИО209-30 Фотон-18А</t>
  </si>
  <si>
    <t>Извещатель ИО329-4 Стекло-3</t>
  </si>
  <si>
    <t>Извещатель С2000-ИК исп.04</t>
  </si>
  <si>
    <t>Кабель Hyperline TGRD-CAB-80</t>
  </si>
  <si>
    <t>Кабель ВВГнг-LS 3х6(ож)-0,66</t>
  </si>
  <si>
    <t>Карта HID ISOProx II 1386LGGMN</t>
  </si>
  <si>
    <t>Колодка клеммная 4мм2 SE NSYTRV42</t>
  </si>
  <si>
    <t>Колодка клеммная 6мм2 SE NSYTRV62</t>
  </si>
  <si>
    <t>Колодка клеммная 6мм2 SE NSYTRV62BL</t>
  </si>
  <si>
    <t>Коммутатор Huawei S5700-28P-PWR-LI-AC</t>
  </si>
  <si>
    <t>Комплект Hyperline FO-FFSPS-60</t>
  </si>
  <si>
    <t>Коробка Mosaic Legrand 0 802 81</t>
  </si>
  <si>
    <t>Коробка монтажная CQR JB720/WH</t>
  </si>
  <si>
    <t>Коробка монтажная CQR JB730/WH</t>
  </si>
  <si>
    <t>Коробка монтажная Legrand 0 801 01</t>
  </si>
  <si>
    <t>Корпус розетки Hyperline SBB1-1-WH</t>
  </si>
  <si>
    <t>Кронштейн УН-Т 130801-01017</t>
  </si>
  <si>
    <t>Крышка Ostec КУСВРгц-200 УЛ 320725</t>
  </si>
  <si>
    <t>Крышка Ostec КУСПРгц-200 УЛ 320321</t>
  </si>
  <si>
    <t>Модуль Huawei SFP-GE-LX-SM1310</t>
  </si>
  <si>
    <t>Модуль Hyperline KJNE-8P8C-C6-90-BK</t>
  </si>
  <si>
    <t>Модуль SFG- L01-I NI3112-10-I</t>
  </si>
  <si>
    <t>Модуль батарейный Entel LPB-BR72V2+D2</t>
  </si>
  <si>
    <t>Набор крепёжный Hyperline CNS-M6-16</t>
  </si>
  <si>
    <t>Направляющие Entel OPC-RAIL8</t>
  </si>
  <si>
    <t>Организатор каб. Hyperline CM-1U-ML-COV</t>
  </si>
  <si>
    <t>Панель STK-RACKMNT-2955 ЦМО 30045001200</t>
  </si>
  <si>
    <t>Патч-корд 2м Panduit UTPSP2MY</t>
  </si>
  <si>
    <t>Патч-панель Hyperline PPWBL-12</t>
  </si>
  <si>
    <t>Перемычка NSYTRAL410GR</t>
  </si>
  <si>
    <t>Перемычка NSYTRAL610GR</t>
  </si>
  <si>
    <t>Пигтейл FPT-B9-9-LC/UR-1M-LSZH-WH</t>
  </si>
  <si>
    <t>Площадка 19х19 белый DKC 25467</t>
  </si>
  <si>
    <t>Подвес ПКТ 160 Fortisflex 57550</t>
  </si>
  <si>
    <t>Поручень 1425мм Perco-BH02 1-01</t>
  </si>
  <si>
    <t>Прибор С2000-4</t>
  </si>
  <si>
    <t>Разъём RJ-45 Panduit SP688-C</t>
  </si>
  <si>
    <t>Скоба OBO Bettermann 5057515</t>
  </si>
  <si>
    <t>Соединитель Ostec УСВРгц-200х80 УЛ</t>
  </si>
  <si>
    <t>Средство защиты Гроза М-150</t>
  </si>
  <si>
    <t>Суппорт Batibox Legrand 0 802 51</t>
  </si>
  <si>
    <t>Термостат NO Hyperline KL-TRS-OP-060</t>
  </si>
  <si>
    <t>Труба отож. Neptun IWS 15А</t>
  </si>
  <si>
    <t>Труба отож. Neptun IWS 20А</t>
  </si>
  <si>
    <t>Труба ПВХ зонд 40мм DKC 91940</t>
  </si>
  <si>
    <t>Узел УК-Н-01 130801-00841</t>
  </si>
  <si>
    <t>Фиксатор ФК101-01 DEKraft 32055DEK</t>
  </si>
  <si>
    <t>Шкаф Hyperline TTC-2268-GS-RAL9004</t>
  </si>
  <si>
    <t>Щит силовой 380/220В BCC 2015-BCC-4340</t>
  </si>
  <si>
    <t>Щит силовой 380/220В BCC 2015-ВСС-4341</t>
  </si>
  <si>
    <t>Щит силовой 380/220В BCC 2016-ВСС-4066</t>
  </si>
  <si>
    <t>Щит силовой 380/220В BCC 2016-ВСС-4067</t>
  </si>
  <si>
    <t>Элемент Металанг РКн-32</t>
  </si>
  <si>
    <t>(0306) Бескудниковский пр-д, д.7</t>
  </si>
  <si>
    <t>Инструкция на английском языке</t>
  </si>
  <si>
    <t>Инструкция по установке и эксплуатации, паспорт (№ партии 02, дата выпуска - июнь 2015 года)</t>
  </si>
  <si>
    <t>Инструкция по установке и эксплуатации, этикетка ЯЛКГ.425132.004 ЭТ, дата выпуска - июль 2008 года</t>
  </si>
  <si>
    <t>Вложение №59-1369-0</t>
  </si>
  <si>
    <t>Руководство по эксплуатации и свидетельство о приемке. Заводской № 6307567, дата выпуска - 19.02.2016</t>
  </si>
  <si>
    <t>Паспорт. Серийный № 83221606101370; сертификат № ТС RU C-RU.МЛ04.В.01111 от 14.05.2015 по 13.05.2020. Имеется руководство пользователя</t>
  </si>
  <si>
    <t>Паспорт ИДФУ.300450.012</t>
  </si>
  <si>
    <t>Блок розеток 19'' TLK-RS08P2-BK</t>
  </si>
  <si>
    <t>Ввод кабельный М32х1,5 ф14-25мм ЗЭТА</t>
  </si>
  <si>
    <t>Извещатель LX-802N</t>
  </si>
  <si>
    <t>Извещатель С2000-ИК исп.03</t>
  </si>
  <si>
    <t>Извещатель С2000-СМК исп.01</t>
  </si>
  <si>
    <t>Извещатель С2000-СТ исп.02</t>
  </si>
  <si>
    <t>Коммутатор NSGate 65LGG512</t>
  </si>
  <si>
    <t>Коробка КМ41212-01 UKO10-075-075-020-K01</t>
  </si>
  <si>
    <t>Модуль Huawei WM1P0CIKVM02</t>
  </si>
  <si>
    <t>Монитор 21,5'' E2223s Lenovo 60AFHAR1EU</t>
  </si>
  <si>
    <t>Накладка на стык д/кабель-канала 50х105</t>
  </si>
  <si>
    <t>Наконечник Тэзис SDT34</t>
  </si>
  <si>
    <t>Проводник OBO Bettermann 5019355</t>
  </si>
  <si>
    <t>Проводник OBO Bettermann 5021081</t>
  </si>
  <si>
    <t>Разделитель NSYTRAP22</t>
  </si>
  <si>
    <t>Сирена для турникета PERCo</t>
  </si>
  <si>
    <t>Стержень S1.5M34 17,2х1500 Тэзис 155490</t>
  </si>
  <si>
    <t>Считыватель Proxy-3А</t>
  </si>
  <si>
    <t>Считыватель Proxy-USB-MA</t>
  </si>
  <si>
    <t>Шкаф Hyperline TTC-4261-SR-RAL9004</t>
  </si>
  <si>
    <t>Щит силовой 380/220В BCC 2015-BCC-4035</t>
  </si>
  <si>
    <t>Блок питания 48Вт 48В 1А AD1048-48FS</t>
  </si>
  <si>
    <t>Коробка MBS 20.30.12 Провенто</t>
  </si>
  <si>
    <t>Устройство защиты линий NSGate CEVP4GEP</t>
  </si>
  <si>
    <t>Щит силовой 380/220В BCC 2015-ВСС-4329</t>
  </si>
  <si>
    <t>Щит силовой 380/220В BCC 2015-ВСС-4330</t>
  </si>
  <si>
    <t>Щит силовой 380/220В BCC 2016-ВСС-4079</t>
  </si>
  <si>
    <t>Щит силовой 380/220В BCC 2016-ВСС-4080</t>
  </si>
  <si>
    <t>(2008) ул. Нагатинская 12Б</t>
  </si>
  <si>
    <t>Паспорт  АЦДР.425513.008 ПС; свидетельство о приемке. Заводской № 2238, дата изготовления - 05.02.2016. Инструкция по монтажу</t>
  </si>
  <si>
    <t>Руководство по эксплуатации ГЛТР.425131.001 РЭ</t>
  </si>
  <si>
    <t>А2215</t>
  </si>
  <si>
    <t>А2217</t>
  </si>
  <si>
    <t>А2218</t>
  </si>
  <si>
    <t>А2219</t>
  </si>
  <si>
    <t>А2220</t>
  </si>
  <si>
    <t>А2221</t>
  </si>
  <si>
    <t>А2222</t>
  </si>
  <si>
    <t>А2223</t>
  </si>
  <si>
    <t>А2224</t>
  </si>
  <si>
    <t>А2225</t>
  </si>
  <si>
    <t>А2226</t>
  </si>
  <si>
    <t>А2227</t>
  </si>
  <si>
    <t>А2228</t>
  </si>
  <si>
    <t>А2229</t>
  </si>
  <si>
    <t>А2230</t>
  </si>
  <si>
    <t>А2231</t>
  </si>
  <si>
    <t>А2232</t>
  </si>
  <si>
    <t>А2233</t>
  </si>
  <si>
    <t>А2234</t>
  </si>
  <si>
    <t>А2235</t>
  </si>
  <si>
    <t>А2236</t>
  </si>
  <si>
    <t>А2237</t>
  </si>
  <si>
    <t>А2238</t>
  </si>
  <si>
    <t>А2239</t>
  </si>
  <si>
    <t>А2240</t>
  </si>
  <si>
    <t>А2241</t>
  </si>
  <si>
    <t>А2242</t>
  </si>
  <si>
    <t>А2243</t>
  </si>
  <si>
    <t>А2244</t>
  </si>
  <si>
    <t>А2245</t>
  </si>
  <si>
    <t>А2246</t>
  </si>
  <si>
    <t>А2247</t>
  </si>
  <si>
    <t>А2248</t>
  </si>
  <si>
    <t>А2249</t>
  </si>
  <si>
    <t>А2250</t>
  </si>
  <si>
    <t>А2251</t>
  </si>
  <si>
    <t>А2252</t>
  </si>
  <si>
    <t>А2253</t>
  </si>
  <si>
    <t>А2254</t>
  </si>
  <si>
    <t>А2255</t>
  </si>
  <si>
    <t>А2256</t>
  </si>
  <si>
    <t>А2257</t>
  </si>
  <si>
    <t>А2258</t>
  </si>
  <si>
    <t>А2259</t>
  </si>
  <si>
    <t>А2260</t>
  </si>
  <si>
    <t>А2261</t>
  </si>
  <si>
    <t>А2262</t>
  </si>
  <si>
    <t>А2263</t>
  </si>
  <si>
    <t>А2264</t>
  </si>
  <si>
    <t>А2265</t>
  </si>
  <si>
    <t>А2266</t>
  </si>
  <si>
    <t>А2267</t>
  </si>
  <si>
    <t>А2268</t>
  </si>
  <si>
    <t>А2269</t>
  </si>
  <si>
    <t>А2270</t>
  </si>
  <si>
    <t>А2271</t>
  </si>
  <si>
    <t>А2272</t>
  </si>
  <si>
    <t>А2273</t>
  </si>
  <si>
    <t>А2274</t>
  </si>
  <si>
    <t>А2275</t>
  </si>
  <si>
    <t>А2276</t>
  </si>
  <si>
    <t>А2277</t>
  </si>
  <si>
    <t>А2278</t>
  </si>
  <si>
    <t>А2279</t>
  </si>
  <si>
    <t>А2280</t>
  </si>
  <si>
    <t>А2281</t>
  </si>
  <si>
    <t>А2282</t>
  </si>
  <si>
    <t>А2283</t>
  </si>
  <si>
    <t>А2284</t>
  </si>
  <si>
    <t>А2285</t>
  </si>
  <si>
    <t>А2286</t>
  </si>
  <si>
    <t>А2287</t>
  </si>
  <si>
    <t>А2288</t>
  </si>
  <si>
    <t>А2289</t>
  </si>
  <si>
    <t>А2290</t>
  </si>
  <si>
    <t>А2291</t>
  </si>
  <si>
    <t>А2292</t>
  </si>
  <si>
    <t>А2293</t>
  </si>
  <si>
    <t>А2294</t>
  </si>
  <si>
    <t>А2295</t>
  </si>
  <si>
    <t>А2296</t>
  </si>
  <si>
    <t>А2297</t>
  </si>
  <si>
    <t>А2298</t>
  </si>
  <si>
    <t>А2299</t>
  </si>
  <si>
    <t>А2300</t>
  </si>
  <si>
    <t>А2301</t>
  </si>
  <si>
    <t>А2302</t>
  </si>
  <si>
    <t>А2303</t>
  </si>
  <si>
    <t>А2304</t>
  </si>
  <si>
    <t>А2305</t>
  </si>
  <si>
    <t>А2306</t>
  </si>
  <si>
    <t>А2307</t>
  </si>
  <si>
    <t>А2308</t>
  </si>
  <si>
    <t>А2309</t>
  </si>
  <si>
    <t>А2310</t>
  </si>
  <si>
    <t>А2311</t>
  </si>
  <si>
    <t>А2312</t>
  </si>
  <si>
    <t>А2313</t>
  </si>
  <si>
    <t>А2314</t>
  </si>
  <si>
    <t>А2315</t>
  </si>
  <si>
    <t>А2316</t>
  </si>
  <si>
    <t>А2317</t>
  </si>
  <si>
    <t>А2318</t>
  </si>
  <si>
    <t>А2319</t>
  </si>
  <si>
    <t>А2320</t>
  </si>
  <si>
    <t>А2321</t>
  </si>
  <si>
    <t>А2322</t>
  </si>
  <si>
    <t>А2323</t>
  </si>
  <si>
    <t>А2324</t>
  </si>
  <si>
    <t>А2325</t>
  </si>
  <si>
    <t>А2326</t>
  </si>
  <si>
    <t>А2327</t>
  </si>
  <si>
    <t>А2328</t>
  </si>
  <si>
    <t>А2329</t>
  </si>
  <si>
    <t>А2330</t>
  </si>
  <si>
    <t>А2331</t>
  </si>
  <si>
    <t>А2337</t>
  </si>
  <si>
    <t>А2339</t>
  </si>
  <si>
    <t>А2332</t>
  </si>
  <si>
    <t>А2333</t>
  </si>
  <si>
    <t>А2334</t>
  </si>
  <si>
    <t>А2335</t>
  </si>
  <si>
    <t>А2336</t>
  </si>
  <si>
    <t>А2338</t>
  </si>
  <si>
    <t>А2340</t>
  </si>
  <si>
    <t>А2341</t>
  </si>
  <si>
    <t>А2342</t>
  </si>
  <si>
    <t>А2343</t>
  </si>
  <si>
    <t>А2344</t>
  </si>
  <si>
    <t>А2345</t>
  </si>
  <si>
    <t>А2346</t>
  </si>
  <si>
    <t>А2347</t>
  </si>
  <si>
    <t>А2348</t>
  </si>
  <si>
    <t>А2349</t>
  </si>
  <si>
    <t>А2350</t>
  </si>
  <si>
    <t>А2351</t>
  </si>
  <si>
    <t>А2352</t>
  </si>
  <si>
    <t>А2353</t>
  </si>
  <si>
    <t>А2354</t>
  </si>
  <si>
    <t>А2355</t>
  </si>
  <si>
    <t>А2356</t>
  </si>
  <si>
    <t>А2357</t>
  </si>
  <si>
    <t>А2358</t>
  </si>
  <si>
    <t>А2359</t>
  </si>
  <si>
    <t>А2360</t>
  </si>
  <si>
    <t>Оборудование для систем безопасности</t>
  </si>
  <si>
    <t>А2216</t>
  </si>
  <si>
    <t>Не эксплуатировалось</t>
  </si>
  <si>
    <t>Оборудование трубопроводное</t>
  </si>
  <si>
    <t>Оборудование  трубопроводное</t>
  </si>
  <si>
    <t>А2361</t>
  </si>
  <si>
    <t>А2362</t>
  </si>
  <si>
    <t>А2363</t>
  </si>
  <si>
    <t>А2364</t>
  </si>
  <si>
    <t>А2365</t>
  </si>
  <si>
    <t>А2366</t>
  </si>
  <si>
    <t>А2367</t>
  </si>
  <si>
    <t>А2368</t>
  </si>
  <si>
    <t>А2369</t>
  </si>
  <si>
    <t>А2370</t>
  </si>
  <si>
    <t>А2371</t>
  </si>
  <si>
    <t>А2372</t>
  </si>
  <si>
    <t>А2373</t>
  </si>
  <si>
    <t>А2374</t>
  </si>
  <si>
    <t>А2375</t>
  </si>
  <si>
    <t>А2376</t>
  </si>
  <si>
    <t>А2377</t>
  </si>
  <si>
    <t>А2378</t>
  </si>
  <si>
    <t>А2379</t>
  </si>
  <si>
    <t>А2380</t>
  </si>
  <si>
    <t>А2381</t>
  </si>
  <si>
    <t>А2382</t>
  </si>
  <si>
    <t>А2383</t>
  </si>
  <si>
    <t>А2384</t>
  </si>
  <si>
    <t>А2385</t>
  </si>
  <si>
    <t>А2386</t>
  </si>
  <si>
    <t>А2387</t>
  </si>
  <si>
    <t>А2388</t>
  </si>
  <si>
    <t>А2389</t>
  </si>
  <si>
    <t>А2390</t>
  </si>
  <si>
    <t>А2391</t>
  </si>
  <si>
    <t>А2392</t>
  </si>
  <si>
    <t>НДС 22%, 
руб.</t>
  </si>
  <si>
    <t>Начальная цена 
 (с учетом НДС 22%), 
руб.</t>
  </si>
  <si>
    <t>Шаровые краны</t>
  </si>
  <si>
    <t>Детали трубопровода. Фланцы.</t>
  </si>
  <si>
    <t>А2203</t>
  </si>
  <si>
    <t>Насос НКУ-90М УХЛ4 22/1450</t>
  </si>
  <si>
    <t>12.08.2019</t>
  </si>
  <si>
    <t xml:space="preserve">Насос котла утилизатора рециркуляционный НКУ-90М УХЛ4 с электродвигателем 22кВт 1450об/мин </t>
  </si>
  <si>
    <t>А2394</t>
  </si>
  <si>
    <t>А2395</t>
  </si>
  <si>
    <t>А2396</t>
  </si>
  <si>
    <t>А2397</t>
  </si>
  <si>
    <t>А2398</t>
  </si>
  <si>
    <t>А2399</t>
  </si>
  <si>
    <t>А2400</t>
  </si>
  <si>
    <t>А2401</t>
  </si>
  <si>
    <t>А2402</t>
  </si>
  <si>
    <t>А2403</t>
  </si>
  <si>
    <t>А2404</t>
  </si>
  <si>
    <t>Стойка односторонняя PERCo-BH02 2-00</t>
  </si>
  <si>
    <t>Стойка трёхсторонняя PERCo-BH02 2-03</t>
  </si>
  <si>
    <t>Панель Hyperline TFAT-TC800-4-RAL9004</t>
  </si>
  <si>
    <t>Бокс FO-19R-1U-3xSLT-W140H42-24UN-G</t>
  </si>
  <si>
    <t>(0401) 2-я Бухвостова ул., д.6</t>
  </si>
  <si>
    <t>Фотографии</t>
  </si>
  <si>
    <t>Стойка односторонняя с 2-мя отверстиями для крепления патрубков PERCo-BH02 2-00</t>
  </si>
  <si>
    <t>Стойка трёхсторонняя с 6-ю отверстиями для крепления патрубков PERCo-BH02 2-03</t>
  </si>
  <si>
    <t>Панель вентиляционная с 4 вентиляторами Hyperline TFAT-TC800-4-RAL9004</t>
  </si>
  <si>
    <t>Патч-панель модульная настенная на 12 портов Hyperline PPWBL-12</t>
  </si>
  <si>
    <t>Бокс оптический универсальный 19'' Hyperline FO-19R-1U-3xSLT-W140H42-24UN-G</t>
  </si>
  <si>
    <t>Адаптер проходной LC/UPC-LC/UPC, SM Hyperline FA-P11Z-DLC/DLC-N/WH-BL</t>
  </si>
  <si>
    <t>Пигтейл волоконно-оптический Hyperline FPT-B9-9-LC/UR-1M-LSZH-WH</t>
  </si>
  <si>
    <t>Организатор кабельный металлический с крышкой 19'' 1U Hyperline CM-1U-ML-COV</t>
  </si>
  <si>
    <t>Материалы для установки сигнализации</t>
  </si>
  <si>
    <t>Рыночная стоимость попозиционно, руб. без НДС, округленно</t>
  </si>
  <si>
    <t>НДС 22%, руб.</t>
  </si>
  <si>
    <t>Рыночная стоимость попозиционно, руб. с НДС</t>
  </si>
  <si>
    <t>Компенсаторы</t>
  </si>
  <si>
    <t xml:space="preserve">ПЕРЕЧЕНЬ невостребованного имущества ПАО «МОЭК» </t>
  </si>
  <si>
    <r>
      <t>Свободный запас на 24.</t>
    </r>
    <r>
      <rPr>
        <b/>
        <sz val="11"/>
        <rFont val="Calibri"/>
        <family val="2"/>
        <charset val="204"/>
        <scheme val="minor"/>
      </rPr>
      <t>08.</t>
    </r>
    <r>
      <rPr>
        <b/>
        <sz val="11"/>
        <color theme="1"/>
        <rFont val="Calibri"/>
        <family val="2"/>
        <charset val="204"/>
        <scheme val="minor"/>
      </rPr>
      <t>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</si>
</sst>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-* #,##0.00_-;\-* #,##0.00_-;_-* &quot;-&quot;??_-;_-@_-"/>
    <numFmt numFmtId="164" formatCode="_-* #,##0.00\ _₽_-;\-* #,##0.00\ _₽_-;_-* &quot;-&quot;??\ _₽_-;_-@_-"/>
    <numFmt numFmtId="165" formatCode="0.000"/>
    <numFmt numFmtId="166" formatCode="[$-419]mmmm\ yyyy;@"/>
    <numFmt numFmtId="167" formatCode="_-* #,##0\ _₽_-;\-* #,##0\ _₽_-;_-* &quot;-&quot;??\ _₽_-;_-@_-"/>
    <numFmt numFmtId="168" formatCode="#,##0.000"/>
    <numFmt numFmtId="169" formatCode="_-* #,##0.00_р_._-;\-* #,##0.00_р_._-;_-* &quot;-&quot;??_р_._-;_-@_-"/>
  </numFmts>
  <fonts count="4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5"/>
      <color theme="3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1"/>
      <color indexed="8"/>
      <name val="Calibri"/>
      <family val="2"/>
      <charset val="1"/>
    </font>
    <font>
      <sz val="11"/>
      <color indexed="8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1"/>
      <color indexed="8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4"/>
      <color theme="1"/>
      <name val="Times New Roman"/>
      <family val="1"/>
      <charset val="204"/>
    </font>
    <font>
      <sz val="10"/>
      <color theme="1"/>
      <name val="Times New Roman"/>
      <family val="2"/>
      <charset val="204"/>
    </font>
    <font>
      <b/>
      <sz val="10"/>
      <color rgb="FF164194"/>
      <name val="Times New Roman"/>
      <family val="2"/>
      <charset val="204"/>
    </font>
    <font>
      <b/>
      <sz val="9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5" tint="0.79998168889431442"/>
        <bgColor indexed="65"/>
      </patternFill>
    </fill>
    <fill>
      <patternFill patternType="solid">
        <fgColor indexed="43"/>
        <bgColor indexed="26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indexed="2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medium">
        <color rgb="FF164194"/>
      </top>
      <bottom style="medium">
        <color rgb="FF164194"/>
      </bottom>
      <diagonal/>
    </border>
  </borders>
  <cellStyleXfs count="27">
    <xf numFmtId="0" fontId="0" fillId="0" borderId="0"/>
    <xf numFmtId="164" fontId="8" fillId="0" borderId="0" applyFont="0" applyFill="0" applyBorder="0" applyAlignment="0" applyProtection="0"/>
    <xf numFmtId="0" fontId="8" fillId="0" borderId="0"/>
    <xf numFmtId="164" fontId="8" fillId="0" borderId="0" applyFont="0" applyFill="0" applyBorder="0" applyAlignment="0" applyProtection="0"/>
    <xf numFmtId="0" fontId="7" fillId="0" borderId="0"/>
    <xf numFmtId="0" fontId="13" fillId="0" borderId="2" applyNumberFormat="0" applyFill="0" applyAlignment="0" applyProtection="0"/>
    <xf numFmtId="0" fontId="8" fillId="0" borderId="0"/>
    <xf numFmtId="0" fontId="8" fillId="0" borderId="0"/>
    <xf numFmtId="0" fontId="6" fillId="0" borderId="0"/>
    <xf numFmtId="0" fontId="5" fillId="0" borderId="0"/>
    <xf numFmtId="0" fontId="17" fillId="0" borderId="0"/>
    <xf numFmtId="0" fontId="18" fillId="4" borderId="0"/>
    <xf numFmtId="0" fontId="19" fillId="0" borderId="5"/>
    <xf numFmtId="0" fontId="22" fillId="0" borderId="0"/>
    <xf numFmtId="0" fontId="4" fillId="0" borderId="0"/>
    <xf numFmtId="0" fontId="23" fillId="0" borderId="0"/>
    <xf numFmtId="0" fontId="4" fillId="0" borderId="0"/>
    <xf numFmtId="169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8" fillId="0" borderId="0"/>
    <xf numFmtId="0" fontId="40" fillId="0" borderId="14" applyNumberFormat="0" applyProtection="0">
      <alignment horizontal="center" vertical="center" wrapText="1"/>
    </xf>
    <xf numFmtId="0" fontId="39" fillId="0" borderId="0">
      <alignment vertical="center"/>
    </xf>
    <xf numFmtId="0" fontId="1" fillId="0" borderId="0"/>
    <xf numFmtId="0" fontId="1" fillId="3" borderId="0" applyNumberFormat="0" applyBorder="0" applyAlignment="0" applyProtection="0"/>
    <xf numFmtId="0" fontId="1" fillId="0" borderId="0"/>
    <xf numFmtId="0" fontId="1" fillId="0" borderId="0"/>
  </cellStyleXfs>
  <cellXfs count="289">
    <xf numFmtId="0" fontId="0" fillId="0" borderId="0" xfId="0"/>
    <xf numFmtId="0" fontId="9" fillId="2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4" fillId="0" borderId="1" xfId="5" applyFont="1" applyFill="1" applyBorder="1" applyAlignment="1">
      <alignment horizontal="left" vertical="center" wrapText="1"/>
    </xf>
    <xf numFmtId="0" fontId="14" fillId="0" borderId="1" xfId="5" applyFont="1" applyFill="1" applyBorder="1" applyAlignment="1">
      <alignment horizontal="center" vertical="center" wrapText="1"/>
    </xf>
    <xf numFmtId="14" fontId="14" fillId="0" borderId="1" xfId="5" applyNumberFormat="1" applyFont="1" applyFill="1" applyBorder="1" applyAlignment="1">
      <alignment horizontal="center" vertical="center" wrapText="1"/>
    </xf>
    <xf numFmtId="0" fontId="14" fillId="0" borderId="1" xfId="5" applyNumberFormat="1" applyFont="1" applyFill="1" applyBorder="1" applyAlignment="1">
      <alignment horizontal="center" vertical="center" wrapText="1"/>
    </xf>
    <xf numFmtId="164" fontId="9" fillId="2" borderId="1" xfId="1" applyFont="1" applyFill="1" applyBorder="1" applyAlignment="1">
      <alignment horizontal="center" vertical="center" wrapText="1"/>
    </xf>
    <xf numFmtId="0" fontId="0" fillId="0" borderId="0" xfId="0" applyAlignment="1">
      <alignment vertical="top" wrapText="1"/>
    </xf>
    <xf numFmtId="0" fontId="14" fillId="0" borderId="1" xfId="0" applyFont="1" applyBorder="1" applyAlignment="1">
      <alignment horizontal="center" vertical="center"/>
    </xf>
    <xf numFmtId="167" fontId="10" fillId="0" borderId="1" xfId="1" applyNumberFormat="1" applyFont="1" applyFill="1" applyBorder="1" applyAlignment="1">
      <alignment horizontal="center" vertical="center"/>
    </xf>
    <xf numFmtId="1" fontId="14" fillId="0" borderId="1" xfId="5" applyNumberFormat="1" applyFont="1" applyFill="1" applyBorder="1" applyAlignment="1">
      <alignment horizontal="left" vertical="center" wrapText="1"/>
    </xf>
    <xf numFmtId="0" fontId="14" fillId="0" borderId="1" xfId="5" applyFont="1" applyFill="1" applyBorder="1" applyAlignment="1">
      <alignment vertical="center" wrapText="1"/>
    </xf>
    <xf numFmtId="4" fontId="9" fillId="2" borderId="1" xfId="0" applyNumberFormat="1" applyFont="1" applyFill="1" applyBorder="1" applyAlignment="1">
      <alignment horizontal="center" vertical="center" wrapText="1"/>
    </xf>
    <xf numFmtId="165" fontId="14" fillId="0" borderId="1" xfId="5" applyNumberFormat="1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0" fillId="0" borderId="4" xfId="0" applyFont="1" applyBorder="1" applyAlignment="1">
      <alignment horizontal="center" vertical="center"/>
    </xf>
    <xf numFmtId="0" fontId="0" fillId="0" borderId="1" xfId="0" applyBorder="1"/>
    <xf numFmtId="0" fontId="9" fillId="6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/>
    </xf>
    <xf numFmtId="0" fontId="0" fillId="5" borderId="1" xfId="0" applyFill="1" applyBorder="1"/>
    <xf numFmtId="4" fontId="0" fillId="0" borderId="0" xfId="0" applyNumberFormat="1"/>
    <xf numFmtId="0" fontId="10" fillId="5" borderId="4" xfId="0" applyFont="1" applyFill="1" applyBorder="1" applyAlignment="1">
      <alignment horizontal="center" vertical="center"/>
    </xf>
    <xf numFmtId="0" fontId="25" fillId="0" borderId="0" xfId="0" applyFont="1"/>
    <xf numFmtId="0" fontId="10" fillId="5" borderId="1" xfId="0" applyFont="1" applyFill="1" applyBorder="1" applyAlignment="1">
      <alignment horizontal="center"/>
    </xf>
    <xf numFmtId="0" fontId="0" fillId="0" borderId="0" xfId="0" applyAlignme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0" fillId="0" borderId="1" xfId="0" applyBorder="1" applyAlignment="1">
      <alignment horizontal="center"/>
    </xf>
    <xf numFmtId="0" fontId="10" fillId="0" borderId="7" xfId="0" applyFont="1" applyBorder="1" applyAlignment="1">
      <alignment horizontal="center" vertical="center"/>
    </xf>
    <xf numFmtId="4" fontId="20" fillId="0" borderId="1" xfId="0" applyNumberFormat="1" applyFont="1" applyBorder="1"/>
    <xf numFmtId="4" fontId="27" fillId="5" borderId="1" xfId="0" applyNumberFormat="1" applyFont="1" applyFill="1" applyBorder="1"/>
    <xf numFmtId="164" fontId="10" fillId="0" borderId="1" xfId="1" applyFont="1" applyFill="1" applyBorder="1" applyAlignment="1">
      <alignment horizontal="center" vertical="center"/>
    </xf>
    <xf numFmtId="164" fontId="10" fillId="0" borderId="1" xfId="1" applyFont="1" applyFill="1" applyBorder="1" applyAlignment="1">
      <alignment horizontal="right" vertical="center"/>
    </xf>
    <xf numFmtId="4" fontId="20" fillId="5" borderId="1" xfId="0" applyNumberFormat="1" applyFont="1" applyFill="1" applyBorder="1" applyAlignment="1">
      <alignment horizontal="right" vertical="center"/>
    </xf>
    <xf numFmtId="4" fontId="42" fillId="0" borderId="1" xfId="0" applyNumberFormat="1" applyFont="1" applyBorder="1" applyAlignment="1">
      <alignment vertical="center"/>
    </xf>
    <xf numFmtId="1" fontId="10" fillId="0" borderId="1" xfId="24" applyNumberFormat="1" applyFont="1" applyFill="1" applyBorder="1" applyAlignment="1">
      <alignment horizontal="left" vertical="center" wrapText="1"/>
    </xf>
    <xf numFmtId="0" fontId="10" fillId="0" borderId="1" xfId="24" applyFont="1" applyFill="1" applyBorder="1" applyAlignment="1">
      <alignment horizontal="left" vertical="center" wrapText="1"/>
    </xf>
    <xf numFmtId="168" fontId="10" fillId="0" borderId="1" xfId="24" applyNumberFormat="1" applyFont="1" applyFill="1" applyBorder="1" applyAlignment="1">
      <alignment horizontal="center" vertical="center" wrapText="1"/>
    </xf>
    <xf numFmtId="14" fontId="10" fillId="0" borderId="1" xfId="24" applyNumberFormat="1" applyFont="1" applyFill="1" applyBorder="1" applyAlignment="1">
      <alignment horizontal="center" vertical="center" wrapText="1"/>
    </xf>
    <xf numFmtId="165" fontId="10" fillId="0" borderId="1" xfId="24" applyNumberFormat="1" applyFont="1" applyFill="1" applyBorder="1" applyAlignment="1">
      <alignment horizontal="center" vertical="center" wrapText="1"/>
    </xf>
    <xf numFmtId="1" fontId="14" fillId="0" borderId="1" xfId="24" applyNumberFormat="1" applyFont="1" applyFill="1" applyBorder="1" applyAlignment="1">
      <alignment horizontal="left" vertical="center" wrapText="1"/>
    </xf>
    <xf numFmtId="1" fontId="10" fillId="0" borderId="1" xfId="24" applyNumberFormat="1" applyFont="1" applyFill="1" applyBorder="1" applyAlignment="1">
      <alignment horizontal="left" vertical="center"/>
    </xf>
    <xf numFmtId="0" fontId="10" fillId="0" borderId="1" xfId="24" applyFont="1" applyFill="1" applyBorder="1" applyAlignment="1">
      <alignment horizontal="left" vertical="center"/>
    </xf>
    <xf numFmtId="165" fontId="10" fillId="0" borderId="1" xfId="24" applyNumberFormat="1" applyFont="1" applyFill="1" applyBorder="1" applyAlignment="1">
      <alignment horizontal="center" vertical="center"/>
    </xf>
    <xf numFmtId="14" fontId="10" fillId="0" borderId="1" xfId="24" applyNumberFormat="1" applyFont="1" applyFill="1" applyBorder="1" applyAlignment="1">
      <alignment horizontal="center" vertical="center"/>
    </xf>
    <xf numFmtId="0" fontId="10" fillId="0" borderId="1" xfId="24" applyFont="1" applyFill="1" applyBorder="1" applyAlignment="1">
      <alignment horizontal="center" vertical="center" wrapText="1"/>
    </xf>
    <xf numFmtId="1" fontId="14" fillId="0" borderId="1" xfId="24" applyNumberFormat="1" applyFont="1" applyFill="1" applyBorder="1" applyAlignment="1">
      <alignment horizontal="left" vertical="center"/>
    </xf>
    <xf numFmtId="0" fontId="14" fillId="0" borderId="1" xfId="24" applyFont="1" applyFill="1" applyBorder="1" applyAlignment="1">
      <alignment horizontal="left" vertical="center" wrapText="1"/>
    </xf>
    <xf numFmtId="165" fontId="14" fillId="0" borderId="1" xfId="24" applyNumberFormat="1" applyFont="1" applyFill="1" applyBorder="1" applyAlignment="1">
      <alignment horizontal="center" vertical="center"/>
    </xf>
    <xf numFmtId="14" fontId="14" fillId="0" borderId="1" xfId="24" applyNumberFormat="1" applyFont="1" applyFill="1" applyBorder="1" applyAlignment="1">
      <alignment horizontal="center" vertical="center"/>
    </xf>
    <xf numFmtId="0" fontId="14" fillId="0" borderId="1" xfId="24" applyFont="1" applyFill="1" applyBorder="1" applyAlignment="1">
      <alignment horizontal="center" vertical="center" wrapText="1"/>
    </xf>
    <xf numFmtId="14" fontId="14" fillId="0" borderId="1" xfId="24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41" fillId="7" borderId="1" xfId="0" applyFont="1" applyFill="1" applyBorder="1" applyAlignment="1">
      <alignment horizontal="center" vertical="center" wrapText="1"/>
    </xf>
    <xf numFmtId="0" fontId="10" fillId="0" borderId="1" xfId="23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left" vertical="center" wrapText="1"/>
    </xf>
    <xf numFmtId="0" fontId="10" fillId="0" borderId="1" xfId="23" applyFont="1" applyFill="1" applyBorder="1" applyAlignment="1">
      <alignment horizontal="center" vertical="center"/>
    </xf>
    <xf numFmtId="14" fontId="10" fillId="0" borderId="1" xfId="0" applyNumberFormat="1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vertical="center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4" fontId="10" fillId="0" borderId="1" xfId="0" applyNumberFormat="1" applyFont="1" applyFill="1" applyBorder="1" applyAlignment="1">
      <alignment horizontal="right" vertical="center"/>
    </xf>
    <xf numFmtId="0" fontId="10" fillId="0" borderId="1" xfId="23" applyFont="1" applyFill="1" applyBorder="1" applyAlignment="1">
      <alignment horizontal="center"/>
    </xf>
    <xf numFmtId="14" fontId="10" fillId="0" borderId="1" xfId="0" applyNumberFormat="1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 wrapText="1"/>
    </xf>
    <xf numFmtId="0" fontId="11" fillId="0" borderId="1" xfId="0" applyFont="1" applyFill="1" applyBorder="1" applyAlignment="1">
      <alignment horizontal="center" vertical="center" wrapText="1"/>
    </xf>
    <xf numFmtId="4" fontId="11" fillId="0" borderId="1" xfId="0" applyNumberFormat="1" applyFont="1" applyFill="1" applyBorder="1" applyAlignment="1">
      <alignment horizontal="right" vertical="center" wrapText="1"/>
    </xf>
    <xf numFmtId="4" fontId="24" fillId="0" borderId="1" xfId="0" applyNumberFormat="1" applyFont="1" applyFill="1" applyBorder="1" applyAlignment="1">
      <alignment horizontal="right" vertical="center" wrapText="1"/>
    </xf>
    <xf numFmtId="4" fontId="27" fillId="0" borderId="1" xfId="0" applyNumberFormat="1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left" vertical="center"/>
    </xf>
    <xf numFmtId="165" fontId="10" fillId="0" borderId="1" xfId="0" applyNumberFormat="1" applyFont="1" applyFill="1" applyBorder="1" applyAlignment="1">
      <alignment horizontal="center" vertical="center"/>
    </xf>
    <xf numFmtId="4" fontId="10" fillId="0" borderId="1" xfId="0" applyNumberFormat="1" applyFont="1" applyFill="1" applyBorder="1" applyAlignment="1">
      <alignment horizontal="right" vertical="center" wrapText="1"/>
    </xf>
    <xf numFmtId="1" fontId="10" fillId="0" borderId="1" xfId="0" applyNumberFormat="1" applyFont="1" applyFill="1" applyBorder="1" applyAlignment="1">
      <alignment horizontal="left" vertical="center"/>
    </xf>
    <xf numFmtId="14" fontId="12" fillId="0" borderId="1" xfId="0" applyNumberFormat="1" applyFont="1" applyFill="1" applyBorder="1" applyAlignment="1">
      <alignment horizontal="center" vertical="center" wrapText="1"/>
    </xf>
    <xf numFmtId="165" fontId="10" fillId="0" borderId="1" xfId="0" applyNumberFormat="1" applyFont="1" applyFill="1" applyBorder="1" applyAlignment="1">
      <alignment horizontal="center" vertical="center" wrapText="1"/>
    </xf>
    <xf numFmtId="166" fontId="10" fillId="0" borderId="1" xfId="0" applyNumberFormat="1" applyFont="1" applyFill="1" applyBorder="1" applyAlignment="1">
      <alignment horizontal="center" vertical="center" wrapText="1"/>
    </xf>
    <xf numFmtId="4" fontId="21" fillId="0" borderId="1" xfId="0" applyNumberFormat="1" applyFont="1" applyFill="1" applyBorder="1" applyAlignment="1">
      <alignment horizontal="right" vertical="center" wrapText="1"/>
    </xf>
    <xf numFmtId="4" fontId="21" fillId="0" borderId="6" xfId="0" applyNumberFormat="1" applyFont="1" applyFill="1" applyBorder="1" applyAlignment="1">
      <alignment horizontal="center" vertical="center"/>
    </xf>
    <xf numFmtId="0" fontId="38" fillId="0" borderId="1" xfId="0" applyFont="1" applyFill="1" applyBorder="1" applyAlignment="1">
      <alignment horizontal="center" vertical="center"/>
    </xf>
    <xf numFmtId="1" fontId="12" fillId="0" borderId="1" xfId="0" applyNumberFormat="1" applyFont="1" applyFill="1" applyBorder="1" applyAlignment="1">
      <alignment horizontal="left" vertical="center"/>
    </xf>
    <xf numFmtId="0" fontId="12" fillId="0" borderId="1" xfId="0" applyFont="1" applyFill="1" applyBorder="1" applyAlignment="1">
      <alignment horizontal="left" vertical="center"/>
    </xf>
    <xf numFmtId="165" fontId="12" fillId="0" borderId="1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14" fontId="10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/>
    </xf>
    <xf numFmtId="49" fontId="11" fillId="0" borderId="1" xfId="0" applyNumberFormat="1" applyFont="1" applyFill="1" applyBorder="1" applyAlignment="1">
      <alignment horizontal="left" vertical="center"/>
    </xf>
    <xf numFmtId="165" fontId="11" fillId="0" borderId="1" xfId="0" applyNumberFormat="1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vertical="center"/>
    </xf>
    <xf numFmtId="49" fontId="11" fillId="0" borderId="1" xfId="0" applyNumberFormat="1" applyFont="1" applyFill="1" applyBorder="1" applyAlignment="1">
      <alignment horizontal="center" vertical="center"/>
    </xf>
    <xf numFmtId="0" fontId="12" fillId="0" borderId="1" xfId="25" applyFont="1" applyFill="1" applyBorder="1" applyAlignment="1">
      <alignment horizontal="center" vertical="center"/>
    </xf>
    <xf numFmtId="14" fontId="12" fillId="0" borderId="1" xfId="0" applyNumberFormat="1" applyFont="1" applyFill="1" applyBorder="1" applyAlignment="1">
      <alignment horizontal="center" vertical="center"/>
    </xf>
    <xf numFmtId="4" fontId="11" fillId="0" borderId="8" xfId="0" applyNumberFormat="1" applyFont="1" applyFill="1" applyBorder="1" applyAlignment="1">
      <alignment horizontal="right" vertical="center" wrapText="1"/>
    </xf>
    <xf numFmtId="4" fontId="11" fillId="0" borderId="4" xfId="0" applyNumberFormat="1" applyFont="1" applyFill="1" applyBorder="1" applyAlignment="1">
      <alignment horizontal="right" vertical="center" wrapText="1"/>
    </xf>
    <xf numFmtId="4" fontId="11" fillId="0" borderId="4" xfId="0" applyNumberFormat="1" applyFont="1" applyFill="1" applyBorder="1" applyAlignment="1">
      <alignment vertical="center" wrapText="1"/>
    </xf>
    <xf numFmtId="4" fontId="11" fillId="0" borderId="1" xfId="0" applyNumberFormat="1" applyFont="1" applyFill="1" applyBorder="1" applyAlignment="1">
      <alignment vertical="center" wrapText="1"/>
    </xf>
    <xf numFmtId="4" fontId="24" fillId="0" borderId="1" xfId="0" applyNumberFormat="1" applyFont="1" applyFill="1" applyBorder="1" applyAlignment="1">
      <alignment vertical="center" wrapText="1"/>
    </xf>
    <xf numFmtId="49" fontId="10" fillId="0" borderId="1" xfId="0" applyNumberFormat="1" applyFont="1" applyFill="1" applyBorder="1" applyAlignment="1">
      <alignment horizontal="center" vertical="center"/>
    </xf>
    <xf numFmtId="4" fontId="10" fillId="0" borderId="4" xfId="0" applyNumberFormat="1" applyFont="1" applyFill="1" applyBorder="1" applyAlignment="1">
      <alignment horizontal="right" vertical="center"/>
    </xf>
    <xf numFmtId="0" fontId="14" fillId="0" borderId="1" xfId="0" applyFont="1" applyFill="1" applyBorder="1" applyAlignment="1">
      <alignment horizontal="left" vertical="center"/>
    </xf>
    <xf numFmtId="4" fontId="10" fillId="0" borderId="4" xfId="0" applyNumberFormat="1" applyFont="1" applyFill="1" applyBorder="1" applyAlignment="1">
      <alignment horizontal="right" vertical="center" wrapText="1"/>
    </xf>
    <xf numFmtId="0" fontId="10" fillId="0" borderId="1" xfId="0" applyFont="1" applyFill="1" applyBorder="1" applyAlignment="1">
      <alignment vertical="center"/>
    </xf>
    <xf numFmtId="49" fontId="11" fillId="0" borderId="1" xfId="0" applyNumberFormat="1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1" fontId="10" fillId="0" borderId="1" xfId="6" applyNumberFormat="1" applyFont="1" applyFill="1" applyBorder="1" applyAlignment="1">
      <alignment horizontal="left" vertical="center" wrapText="1"/>
    </xf>
    <xf numFmtId="0" fontId="10" fillId="0" borderId="1" xfId="7" applyFont="1" applyFill="1" applyBorder="1" applyAlignment="1">
      <alignment horizontal="left" vertical="center" wrapText="1"/>
    </xf>
    <xf numFmtId="49" fontId="10" fillId="0" borderId="1" xfId="6" applyNumberFormat="1" applyFont="1" applyFill="1" applyBorder="1" applyAlignment="1">
      <alignment horizontal="center" vertical="center" wrapText="1"/>
    </xf>
    <xf numFmtId="0" fontId="10" fillId="0" borderId="1" xfId="6" applyFont="1" applyFill="1" applyBorder="1" applyAlignment="1">
      <alignment horizontal="center" vertical="center" wrapText="1"/>
    </xf>
    <xf numFmtId="4" fontId="10" fillId="0" borderId="8" xfId="0" applyNumberFormat="1" applyFont="1" applyFill="1" applyBorder="1" applyAlignment="1">
      <alignment horizontal="right" vertical="center"/>
    </xf>
    <xf numFmtId="165" fontId="10" fillId="0" borderId="1" xfId="7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4" fontId="10" fillId="0" borderId="4" xfId="0" applyNumberFormat="1" applyFont="1" applyFill="1" applyBorder="1" applyAlignment="1">
      <alignment vertical="center" wrapText="1"/>
    </xf>
    <xf numFmtId="4" fontId="10" fillId="0" borderId="1" xfId="0" applyNumberFormat="1" applyFont="1" applyFill="1" applyBorder="1" applyAlignment="1">
      <alignment vertical="center" wrapText="1"/>
    </xf>
    <xf numFmtId="4" fontId="21" fillId="0" borderId="1" xfId="0" applyNumberFormat="1" applyFont="1" applyFill="1" applyBorder="1" applyAlignment="1">
      <alignment vertical="center" wrapText="1"/>
    </xf>
    <xf numFmtId="14" fontId="11" fillId="0" borderId="1" xfId="26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1" fillId="0" borderId="1" xfId="26" applyFont="1" applyFill="1" applyBorder="1" applyAlignment="1">
      <alignment horizontal="center" vertical="center" wrapText="1"/>
    </xf>
    <xf numFmtId="4" fontId="11" fillId="0" borderId="4" xfId="26" applyNumberFormat="1" applyFont="1" applyFill="1" applyBorder="1" applyAlignment="1">
      <alignment horizontal="right" vertical="center" wrapText="1"/>
    </xf>
    <xf numFmtId="4" fontId="11" fillId="0" borderId="1" xfId="26" applyNumberFormat="1" applyFont="1" applyFill="1" applyBorder="1" applyAlignment="1">
      <alignment horizontal="right" vertical="center" wrapText="1"/>
    </xf>
    <xf numFmtId="14" fontId="10" fillId="0" borderId="1" xfId="6" applyNumberFormat="1" applyFont="1" applyFill="1" applyBorder="1" applyAlignment="1">
      <alignment horizontal="center" vertical="center" wrapText="1"/>
    </xf>
    <xf numFmtId="4" fontId="10" fillId="0" borderId="1" xfId="0" applyNumberFormat="1" applyFont="1" applyFill="1" applyBorder="1" applyAlignment="1">
      <alignment horizontal="center" vertical="center"/>
    </xf>
    <xf numFmtId="4" fontId="21" fillId="0" borderId="1" xfId="0" applyNumberFormat="1" applyFont="1" applyFill="1" applyBorder="1" applyAlignment="1">
      <alignment horizontal="right" vertical="center"/>
    </xf>
    <xf numFmtId="165" fontId="10" fillId="0" borderId="1" xfId="0" applyNumberFormat="1" applyFont="1" applyFill="1" applyBorder="1" applyAlignment="1">
      <alignment horizontal="center" vertical="top"/>
    </xf>
    <xf numFmtId="0" fontId="10" fillId="0" borderId="1" xfId="0" applyFont="1" applyFill="1" applyBorder="1" applyAlignment="1">
      <alignment horizontal="center" vertical="top"/>
    </xf>
    <xf numFmtId="14" fontId="10" fillId="0" borderId="1" xfId="0" applyNumberFormat="1" applyFont="1" applyFill="1" applyBorder="1" applyAlignment="1">
      <alignment horizontal="center" vertical="top"/>
    </xf>
    <xf numFmtId="0" fontId="12" fillId="0" borderId="1" xfId="0" applyFont="1" applyFill="1" applyBorder="1" applyAlignment="1">
      <alignment vertical="center"/>
    </xf>
    <xf numFmtId="0" fontId="10" fillId="0" borderId="0" xfId="0" applyFont="1" applyFill="1" applyAlignment="1">
      <alignment vertical="center" wrapText="1"/>
    </xf>
    <xf numFmtId="0" fontId="10" fillId="0" borderId="6" xfId="0" applyFont="1" applyFill="1" applyBorder="1" applyAlignment="1">
      <alignment horizontal="center" vertical="center"/>
    </xf>
    <xf numFmtId="168" fontId="10" fillId="0" borderId="1" xfId="0" applyNumberFormat="1" applyFont="1" applyFill="1" applyBorder="1" applyAlignment="1">
      <alignment horizontal="center" vertical="top"/>
    </xf>
    <xf numFmtId="4" fontId="10" fillId="0" borderId="9" xfId="0" applyNumberFormat="1" applyFont="1" applyFill="1" applyBorder="1" applyAlignment="1">
      <alignment horizontal="right" vertical="center"/>
    </xf>
    <xf numFmtId="0" fontId="14" fillId="0" borderId="1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left" vertical="center"/>
    </xf>
    <xf numFmtId="165" fontId="20" fillId="0" borderId="1" xfId="0" applyNumberFormat="1" applyFont="1" applyFill="1" applyBorder="1" applyAlignment="1">
      <alignment horizontal="center" vertical="center"/>
    </xf>
    <xf numFmtId="4" fontId="28" fillId="0" borderId="1" xfId="0" applyNumberFormat="1" applyFont="1" applyFill="1" applyBorder="1" applyAlignment="1">
      <alignment horizontal="right" vertical="center" wrapText="1"/>
    </xf>
    <xf numFmtId="4" fontId="10" fillId="0" borderId="0" xfId="0" applyNumberFormat="1" applyFont="1" applyFill="1" applyAlignment="1">
      <alignment horizontal="right" vertical="top"/>
    </xf>
    <xf numFmtId="4" fontId="10" fillId="0" borderId="9" xfId="0" applyNumberFormat="1" applyFont="1" applyFill="1" applyBorder="1" applyAlignment="1">
      <alignment horizontal="right" vertical="center" wrapText="1"/>
    </xf>
    <xf numFmtId="0" fontId="11" fillId="0" borderId="1" xfId="0" applyFont="1" applyFill="1" applyBorder="1" applyAlignment="1">
      <alignment horizontal="center" vertical="center"/>
    </xf>
    <xf numFmtId="4" fontId="34" fillId="0" borderId="1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left" vertical="center" wrapText="1"/>
    </xf>
    <xf numFmtId="4" fontId="11" fillId="0" borderId="6" xfId="0" applyNumberFormat="1" applyFont="1" applyFill="1" applyBorder="1" applyAlignment="1">
      <alignment horizontal="right" vertical="center" wrapText="1"/>
    </xf>
    <xf numFmtId="1" fontId="11" fillId="0" borderId="1" xfId="0" applyNumberFormat="1" applyFont="1" applyFill="1" applyBorder="1" applyAlignment="1">
      <alignment horizontal="left" vertical="center"/>
    </xf>
    <xf numFmtId="14" fontId="14" fillId="0" borderId="1" xfId="0" applyNumberFormat="1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left" vertical="center"/>
    </xf>
    <xf numFmtId="4" fontId="10" fillId="0" borderId="6" xfId="0" applyNumberFormat="1" applyFont="1" applyFill="1" applyBorder="1" applyAlignment="1">
      <alignment horizontal="right" vertical="center" wrapText="1"/>
    </xf>
    <xf numFmtId="165" fontId="10" fillId="0" borderId="6" xfId="0" applyNumberFormat="1" applyFont="1" applyFill="1" applyBorder="1" applyAlignment="1">
      <alignment horizontal="center" vertical="center"/>
    </xf>
    <xf numFmtId="49" fontId="10" fillId="0" borderId="6" xfId="0" applyNumberFormat="1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vertical="center" wrapText="1"/>
    </xf>
    <xf numFmtId="0" fontId="10" fillId="0" borderId="6" xfId="0" applyFont="1" applyFill="1" applyBorder="1" applyAlignment="1">
      <alignment horizontal="center" vertical="center" wrapText="1"/>
    </xf>
    <xf numFmtId="14" fontId="10" fillId="0" borderId="6" xfId="0" applyNumberFormat="1" applyFont="1" applyFill="1" applyBorder="1" applyAlignment="1">
      <alignment horizontal="center" vertical="center" wrapText="1"/>
    </xf>
    <xf numFmtId="14" fontId="10" fillId="0" borderId="6" xfId="0" applyNumberFormat="1" applyFont="1" applyFill="1" applyBorder="1" applyAlignment="1">
      <alignment horizontal="center" vertical="center"/>
    </xf>
    <xf numFmtId="4" fontId="10" fillId="0" borderId="6" xfId="0" applyNumberFormat="1" applyFont="1" applyFill="1" applyBorder="1" applyAlignment="1">
      <alignment horizontal="right" vertical="center"/>
    </xf>
    <xf numFmtId="1" fontId="10" fillId="0" borderId="7" xfId="0" applyNumberFormat="1" applyFont="1" applyFill="1" applyBorder="1" applyAlignment="1">
      <alignment horizontal="left" vertical="center"/>
    </xf>
    <xf numFmtId="0" fontId="10" fillId="0" borderId="7" xfId="0" applyFont="1" applyFill="1" applyBorder="1" applyAlignment="1">
      <alignment horizontal="left" vertical="center"/>
    </xf>
    <xf numFmtId="0" fontId="14" fillId="0" borderId="1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left" vertical="center"/>
    </xf>
    <xf numFmtId="49" fontId="11" fillId="0" borderId="4" xfId="0" applyNumberFormat="1" applyFont="1" applyFill="1" applyBorder="1" applyAlignment="1">
      <alignment horizontal="left" vertical="center" wrapText="1"/>
    </xf>
    <xf numFmtId="0" fontId="10" fillId="0" borderId="4" xfId="0" applyFont="1" applyFill="1" applyBorder="1" applyAlignment="1">
      <alignment horizontal="left" vertical="center"/>
    </xf>
    <xf numFmtId="168" fontId="11" fillId="0" borderId="4" xfId="0" applyNumberFormat="1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14" fontId="10" fillId="0" borderId="4" xfId="0" applyNumberFormat="1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vertical="center" wrapText="1"/>
    </xf>
    <xf numFmtId="0" fontId="10" fillId="0" borderId="4" xfId="0" applyFont="1" applyFill="1" applyBorder="1" applyAlignment="1">
      <alignment horizontal="center" vertical="center" wrapText="1"/>
    </xf>
    <xf numFmtId="49" fontId="11" fillId="0" borderId="4" xfId="0" applyNumberFormat="1" applyFont="1" applyFill="1" applyBorder="1" applyAlignment="1">
      <alignment horizontal="center" vertical="center" wrapText="1"/>
    </xf>
    <xf numFmtId="1" fontId="14" fillId="0" borderId="4" xfId="6" applyNumberFormat="1" applyFont="1" applyFill="1" applyBorder="1" applyAlignment="1">
      <alignment horizontal="left" vertical="center" wrapText="1"/>
    </xf>
    <xf numFmtId="0" fontId="14" fillId="0" borderId="4" xfId="7" applyFont="1" applyFill="1" applyBorder="1" applyAlignment="1">
      <alignment horizontal="left" vertical="center" wrapText="1"/>
    </xf>
    <xf numFmtId="0" fontId="14" fillId="0" borderId="4" xfId="0" applyFont="1" applyFill="1" applyBorder="1" applyAlignment="1">
      <alignment horizontal="left" vertical="center"/>
    </xf>
    <xf numFmtId="165" fontId="14" fillId="0" borderId="1" xfId="7" applyNumberFormat="1" applyFont="1" applyFill="1" applyBorder="1" applyAlignment="1">
      <alignment horizontal="center" vertical="center" wrapText="1"/>
    </xf>
    <xf numFmtId="14" fontId="14" fillId="0" borderId="1" xfId="6" applyNumberFormat="1" applyFont="1" applyFill="1" applyBorder="1" applyAlignment="1">
      <alignment horizontal="center" vertical="center" wrapText="1"/>
    </xf>
    <xf numFmtId="14" fontId="14" fillId="0" borderId="1" xfId="0" applyNumberFormat="1" applyFont="1" applyFill="1" applyBorder="1" applyAlignment="1">
      <alignment horizontal="center" vertical="center"/>
    </xf>
    <xf numFmtId="4" fontId="14" fillId="0" borderId="1" xfId="0" applyNumberFormat="1" applyFont="1" applyFill="1" applyBorder="1" applyAlignment="1">
      <alignment horizontal="right" vertical="center"/>
    </xf>
    <xf numFmtId="1" fontId="14" fillId="0" borderId="1" xfId="6" applyNumberFormat="1" applyFont="1" applyFill="1" applyBorder="1" applyAlignment="1">
      <alignment horizontal="left" vertical="center" wrapText="1"/>
    </xf>
    <xf numFmtId="0" fontId="14" fillId="0" borderId="1" xfId="7" applyFont="1" applyFill="1" applyBorder="1" applyAlignment="1">
      <alignment horizontal="left" vertical="center" wrapText="1"/>
    </xf>
    <xf numFmtId="165" fontId="14" fillId="0" borderId="1" xfId="0" applyNumberFormat="1" applyFont="1" applyFill="1" applyBorder="1" applyAlignment="1">
      <alignment horizontal="center" vertical="center"/>
    </xf>
    <xf numFmtId="49" fontId="14" fillId="0" borderId="1" xfId="6" applyNumberFormat="1" applyFont="1" applyFill="1" applyBorder="1" applyAlignment="1">
      <alignment horizontal="center" vertical="center" wrapText="1"/>
    </xf>
    <xf numFmtId="0" fontId="14" fillId="0" borderId="1" xfId="6" applyFont="1" applyFill="1" applyBorder="1" applyAlignment="1">
      <alignment horizontal="center" vertical="center" wrapText="1"/>
    </xf>
    <xf numFmtId="4" fontId="14" fillId="0" borderId="1" xfId="0" applyNumberFormat="1" applyFont="1" applyFill="1" applyBorder="1" applyAlignment="1">
      <alignment horizontal="right" vertical="center" wrapText="1"/>
    </xf>
    <xf numFmtId="1" fontId="14" fillId="0" borderId="1" xfId="0" applyNumberFormat="1" applyFont="1" applyFill="1" applyBorder="1" applyAlignment="1">
      <alignment horizontal="left" vertical="center"/>
    </xf>
    <xf numFmtId="49" fontId="14" fillId="0" borderId="1" xfId="0" applyNumberFormat="1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vertical="center"/>
    </xf>
    <xf numFmtId="0" fontId="14" fillId="0" borderId="3" xfId="0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horizontal="center" vertical="center" wrapText="1"/>
    </xf>
    <xf numFmtId="0" fontId="29" fillId="0" borderId="1" xfId="0" applyFont="1" applyFill="1" applyBorder="1" applyAlignment="1">
      <alignment horizontal="left" vertical="center"/>
    </xf>
    <xf numFmtId="0" fontId="10" fillId="0" borderId="1" xfId="6" applyFont="1" applyFill="1" applyBorder="1" applyAlignment="1">
      <alignment vertical="top"/>
    </xf>
    <xf numFmtId="49" fontId="10" fillId="0" borderId="1" xfId="20" applyNumberFormat="1" applyFont="1" applyFill="1" applyBorder="1" applyAlignment="1">
      <alignment horizontal="left" vertical="center" wrapText="1"/>
    </xf>
    <xf numFmtId="0" fontId="10" fillId="0" borderId="1" xfId="23" applyFont="1" applyFill="1" applyBorder="1" applyAlignment="1">
      <alignment horizontal="center" vertical="center" wrapText="1"/>
    </xf>
    <xf numFmtId="4" fontId="10" fillId="0" borderId="1" xfId="20" applyNumberFormat="1" applyFont="1" applyFill="1" applyBorder="1" applyAlignment="1">
      <alignment horizontal="right" vertical="center" wrapText="1"/>
    </xf>
    <xf numFmtId="0" fontId="10" fillId="0" borderId="1" xfId="2" applyFont="1" applyFill="1" applyBorder="1" applyAlignment="1">
      <alignment vertical="top"/>
    </xf>
    <xf numFmtId="49" fontId="10" fillId="0" borderId="1" xfId="0" applyNumberFormat="1" applyFont="1" applyFill="1" applyBorder="1" applyAlignment="1">
      <alignment horizontal="left" vertical="center"/>
    </xf>
    <xf numFmtId="14" fontId="10" fillId="0" borderId="1" xfId="2" applyNumberFormat="1" applyFont="1" applyFill="1" applyBorder="1" applyAlignment="1">
      <alignment horizontal="center" vertical="center"/>
    </xf>
    <xf numFmtId="4" fontId="20" fillId="0" borderId="1" xfId="0" applyNumberFormat="1" applyFont="1" applyFill="1" applyBorder="1" applyAlignment="1">
      <alignment horizontal="center" vertical="center"/>
    </xf>
    <xf numFmtId="4" fontId="28" fillId="0" borderId="1" xfId="0" applyNumberFormat="1" applyFont="1" applyFill="1" applyBorder="1" applyAlignment="1">
      <alignment horizontal="right" vertical="center"/>
    </xf>
    <xf numFmtId="0" fontId="26" fillId="0" borderId="0" xfId="0" applyFont="1" applyFill="1" applyAlignment="1">
      <alignment horizontal="right"/>
    </xf>
    <xf numFmtId="168" fontId="10" fillId="0" borderId="1" xfId="0" applyNumberFormat="1" applyFont="1" applyFill="1" applyBorder="1" applyAlignment="1">
      <alignment horizontal="center" vertical="center"/>
    </xf>
    <xf numFmtId="4" fontId="10" fillId="0" borderId="4" xfId="0" applyNumberFormat="1" applyFont="1" applyFill="1" applyBorder="1" applyAlignment="1">
      <alignment horizontal="center" vertical="center"/>
    </xf>
    <xf numFmtId="0" fontId="12" fillId="0" borderId="1" xfId="25" applyFont="1" applyFill="1" applyBorder="1" applyAlignment="1">
      <alignment horizontal="center" vertical="center" wrapText="1"/>
    </xf>
    <xf numFmtId="1" fontId="10" fillId="0" borderId="1" xfId="0" applyNumberFormat="1" applyFont="1" applyFill="1" applyBorder="1" applyAlignment="1">
      <alignment horizontal="left" vertical="center" wrapText="1"/>
    </xf>
    <xf numFmtId="0" fontId="10" fillId="0" borderId="1" xfId="25" applyFont="1" applyFill="1" applyBorder="1" applyAlignment="1">
      <alignment vertical="center" wrapText="1"/>
    </xf>
    <xf numFmtId="14" fontId="10" fillId="0" borderId="1" xfId="25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/>
    </xf>
    <xf numFmtId="4" fontId="10" fillId="0" borderId="1" xfId="0" applyNumberFormat="1" applyFont="1" applyFill="1" applyBorder="1" applyAlignment="1">
      <alignment vertical="center"/>
    </xf>
    <xf numFmtId="0" fontId="10" fillId="0" borderId="1" xfId="0" applyFont="1" applyFill="1" applyBorder="1" applyAlignment="1">
      <alignment horizontal="left"/>
    </xf>
    <xf numFmtId="0" fontId="10" fillId="0" borderId="1" xfId="0" applyFont="1" applyFill="1" applyBorder="1"/>
    <xf numFmtId="1" fontId="11" fillId="0" borderId="1" xfId="26" applyNumberFormat="1" applyFont="1" applyFill="1" applyBorder="1" applyAlignment="1">
      <alignment horizontal="center" vertical="center" wrapText="1"/>
    </xf>
    <xf numFmtId="4" fontId="10" fillId="0" borderId="1" xfId="0" applyNumberFormat="1" applyFont="1" applyFill="1" applyBorder="1" applyAlignment="1">
      <alignment horizontal="right"/>
    </xf>
    <xf numFmtId="4" fontId="10" fillId="0" borderId="1" xfId="0" applyNumberFormat="1" applyFont="1" applyFill="1" applyBorder="1"/>
    <xf numFmtId="0" fontId="10" fillId="0" borderId="1" xfId="25" applyFont="1" applyFill="1" applyBorder="1" applyAlignment="1">
      <alignment horizontal="left" vertical="center" wrapText="1"/>
    </xf>
    <xf numFmtId="49" fontId="10" fillId="0" borderId="10" xfId="0" applyNumberFormat="1" applyFont="1" applyFill="1" applyBorder="1"/>
    <xf numFmtId="4" fontId="10" fillId="0" borderId="10" xfId="0" applyNumberFormat="1" applyFont="1" applyFill="1" applyBorder="1" applyAlignment="1">
      <alignment vertical="center"/>
    </xf>
    <xf numFmtId="49" fontId="10" fillId="0" borderId="10" xfId="0" applyNumberFormat="1" applyFont="1" applyFill="1" applyBorder="1" applyAlignment="1">
      <alignment horizontal="left" vertical="center"/>
    </xf>
    <xf numFmtId="49" fontId="10" fillId="0" borderId="1" xfId="25" applyNumberFormat="1" applyFont="1" applyFill="1" applyBorder="1" applyAlignment="1">
      <alignment horizontal="center" vertical="center" wrapText="1"/>
    </xf>
    <xf numFmtId="4" fontId="10" fillId="0" borderId="10" xfId="0" applyNumberFormat="1" applyFont="1" applyFill="1" applyBorder="1" applyAlignment="1">
      <alignment horizontal="right" vertical="center"/>
    </xf>
    <xf numFmtId="0" fontId="10" fillId="0" borderId="6" xfId="25" applyFont="1" applyFill="1" applyBorder="1" applyAlignment="1">
      <alignment horizontal="left" vertical="center" wrapText="1"/>
    </xf>
    <xf numFmtId="49" fontId="10" fillId="0" borderId="3" xfId="0" applyNumberFormat="1" applyFont="1" applyFill="1" applyBorder="1"/>
    <xf numFmtId="14" fontId="10" fillId="0" borderId="6" xfId="25" applyNumberFormat="1" applyFont="1" applyFill="1" applyBorder="1" applyAlignment="1">
      <alignment horizontal="center" vertical="center" wrapText="1"/>
    </xf>
    <xf numFmtId="4" fontId="10" fillId="0" borderId="10" xfId="0" applyNumberFormat="1" applyFont="1" applyFill="1" applyBorder="1"/>
    <xf numFmtId="0" fontId="0" fillId="0" borderId="1" xfId="0" applyFill="1" applyBorder="1"/>
    <xf numFmtId="4" fontId="21" fillId="0" borderId="1" xfId="0" applyNumberFormat="1" applyFont="1" applyFill="1" applyBorder="1"/>
    <xf numFmtId="168" fontId="10" fillId="0" borderId="1" xfId="0" applyNumberFormat="1" applyFont="1" applyFill="1" applyBorder="1" applyAlignment="1">
      <alignment horizontal="center"/>
    </xf>
    <xf numFmtId="165" fontId="10" fillId="0" borderId="1" xfId="0" applyNumberFormat="1" applyFont="1" applyFill="1" applyBorder="1" applyAlignment="1">
      <alignment horizontal="center"/>
    </xf>
    <xf numFmtId="0" fontId="10" fillId="0" borderId="6" xfId="0" applyFont="1" applyFill="1" applyBorder="1" applyAlignment="1">
      <alignment horizontal="left"/>
    </xf>
    <xf numFmtId="165" fontId="10" fillId="0" borderId="6" xfId="0" applyNumberFormat="1" applyFont="1" applyFill="1" applyBorder="1" applyAlignment="1">
      <alignment horizontal="center"/>
    </xf>
    <xf numFmtId="4" fontId="10" fillId="0" borderId="6" xfId="0" applyNumberFormat="1" applyFont="1" applyFill="1" applyBorder="1" applyAlignment="1">
      <alignment vertical="center"/>
    </xf>
    <xf numFmtId="4" fontId="10" fillId="0" borderId="3" xfId="0" applyNumberFormat="1" applyFont="1" applyFill="1" applyBorder="1"/>
    <xf numFmtId="4" fontId="10" fillId="0" borderId="6" xfId="0" applyNumberFormat="1" applyFont="1" applyFill="1" applyBorder="1"/>
    <xf numFmtId="4" fontId="28" fillId="0" borderId="1" xfId="0" applyNumberFormat="1" applyFont="1" applyFill="1" applyBorder="1"/>
    <xf numFmtId="0" fontId="10" fillId="0" borderId="6" xfId="0" applyFont="1" applyFill="1" applyBorder="1" applyAlignment="1">
      <alignment vertical="center"/>
    </xf>
    <xf numFmtId="0" fontId="10" fillId="0" borderId="6" xfId="0" applyFont="1" applyFill="1" applyBorder="1" applyAlignment="1">
      <alignment horizontal="left" vertical="center"/>
    </xf>
    <xf numFmtId="4" fontId="10" fillId="0" borderId="3" xfId="0" applyNumberFormat="1" applyFont="1" applyFill="1" applyBorder="1" applyAlignment="1">
      <alignment vertical="center"/>
    </xf>
    <xf numFmtId="0" fontId="10" fillId="0" borderId="4" xfId="0" applyFont="1" applyFill="1" applyBorder="1" applyAlignment="1">
      <alignment horizontal="left"/>
    </xf>
    <xf numFmtId="0" fontId="10" fillId="0" borderId="4" xfId="0" applyFont="1" applyFill="1" applyBorder="1" applyAlignment="1">
      <alignment vertical="center"/>
    </xf>
    <xf numFmtId="165" fontId="10" fillId="0" borderId="4" xfId="0" applyNumberFormat="1" applyFont="1" applyFill="1" applyBorder="1" applyAlignment="1">
      <alignment horizontal="center"/>
    </xf>
    <xf numFmtId="4" fontId="10" fillId="0" borderId="4" xfId="0" applyNumberFormat="1" applyFont="1" applyFill="1" applyBorder="1" applyAlignment="1">
      <alignment vertical="center"/>
    </xf>
    <xf numFmtId="4" fontId="10" fillId="0" borderId="13" xfId="0" applyNumberFormat="1" applyFont="1" applyFill="1" applyBorder="1"/>
    <xf numFmtId="4" fontId="10" fillId="0" borderId="4" xfId="0" applyNumberFormat="1" applyFont="1" applyFill="1" applyBorder="1"/>
    <xf numFmtId="0" fontId="10" fillId="0" borderId="4" xfId="0" applyFont="1" applyFill="1" applyBorder="1" applyAlignment="1">
      <alignment horizontal="center"/>
    </xf>
    <xf numFmtId="0" fontId="10" fillId="0" borderId="1" xfId="2" applyFont="1" applyFill="1" applyBorder="1" applyAlignment="1">
      <alignment horizontal="left" vertical="center" wrapText="1"/>
    </xf>
    <xf numFmtId="49" fontId="29" fillId="0" borderId="1" xfId="0" applyNumberFormat="1" applyFont="1" applyFill="1" applyBorder="1" applyAlignment="1">
      <alignment horizontal="center" vertical="center" wrapText="1"/>
    </xf>
    <xf numFmtId="0" fontId="10" fillId="0" borderId="1" xfId="2" applyFont="1" applyFill="1" applyBorder="1" applyAlignment="1">
      <alignment horizontal="center" vertical="center" wrapText="1"/>
    </xf>
    <xf numFmtId="0" fontId="31" fillId="0" borderId="1" xfId="2" applyFont="1" applyFill="1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center" vertical="center" wrapText="1"/>
    </xf>
    <xf numFmtId="0" fontId="30" fillId="0" borderId="1" xfId="0" applyFont="1" applyFill="1" applyBorder="1" applyAlignment="1">
      <alignment horizontal="center" vertical="center" wrapText="1"/>
    </xf>
    <xf numFmtId="49" fontId="31" fillId="0" borderId="1" xfId="0" applyNumberFormat="1" applyFont="1" applyFill="1" applyBorder="1" applyAlignment="1">
      <alignment horizontal="center" vertical="center" wrapText="1"/>
    </xf>
    <xf numFmtId="14" fontId="11" fillId="0" borderId="1" xfId="0" applyNumberFormat="1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49" fontId="32" fillId="0" borderId="1" xfId="0" applyNumberFormat="1" applyFont="1" applyFill="1" applyBorder="1" applyAlignment="1">
      <alignment horizontal="left" vertical="center"/>
    </xf>
    <xf numFmtId="14" fontId="32" fillId="0" borderId="1" xfId="0" applyNumberFormat="1" applyFont="1" applyFill="1" applyBorder="1" applyAlignment="1">
      <alignment horizontal="center" vertical="center"/>
    </xf>
    <xf numFmtId="168" fontId="10" fillId="0" borderId="1" xfId="23" applyNumberFormat="1" applyFont="1" applyFill="1" applyBorder="1" applyAlignment="1">
      <alignment horizontal="center" vertical="center"/>
    </xf>
    <xf numFmtId="14" fontId="10" fillId="0" borderId="1" xfId="0" applyNumberFormat="1" applyFont="1" applyFill="1" applyBorder="1" applyAlignment="1">
      <alignment vertical="center"/>
    </xf>
    <xf numFmtId="0" fontId="29" fillId="0" borderId="1" xfId="0" applyFont="1" applyFill="1" applyBorder="1" applyAlignment="1">
      <alignment vertical="center"/>
    </xf>
    <xf numFmtId="4" fontId="21" fillId="0" borderId="1" xfId="0" applyNumberFormat="1" applyFont="1" applyFill="1" applyBorder="1" applyAlignment="1">
      <alignment vertical="center"/>
    </xf>
    <xf numFmtId="49" fontId="10" fillId="0" borderId="1" xfId="0" applyNumberFormat="1" applyFont="1" applyFill="1" applyBorder="1" applyAlignment="1">
      <alignment horizontal="left" vertical="center" wrapText="1"/>
    </xf>
    <xf numFmtId="0" fontId="29" fillId="0" borderId="1" xfId="0" applyFont="1" applyFill="1" applyBorder="1" applyAlignment="1">
      <alignment horizontal="center"/>
    </xf>
    <xf numFmtId="14" fontId="29" fillId="0" borderId="1" xfId="0" applyNumberFormat="1" applyFont="1" applyFill="1" applyBorder="1"/>
    <xf numFmtId="4" fontId="10" fillId="0" borderId="4" xfId="0" applyNumberFormat="1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3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/>
    </xf>
    <xf numFmtId="4" fontId="16" fillId="0" borderId="0" xfId="0" applyNumberFormat="1" applyFont="1" applyAlignment="1">
      <alignment vertical="center"/>
    </xf>
    <xf numFmtId="4" fontId="42" fillId="5" borderId="1" xfId="0" applyNumberFormat="1" applyFont="1" applyFill="1" applyBorder="1" applyAlignment="1">
      <alignment vertical="center"/>
    </xf>
    <xf numFmtId="0" fontId="14" fillId="0" borderId="4" xfId="0" applyFont="1" applyFill="1" applyBorder="1" applyAlignment="1">
      <alignment horizontal="center" vertical="center"/>
    </xf>
    <xf numFmtId="4" fontId="10" fillId="0" borderId="6" xfId="0" applyNumberFormat="1" applyFont="1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10" fillId="0" borderId="7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4" fontId="10" fillId="0" borderId="7" xfId="0" applyNumberFormat="1" applyFont="1" applyFill="1" applyBorder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" fontId="10" fillId="0" borderId="4" xfId="0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4" fontId="27" fillId="0" borderId="6" xfId="0" applyNumberFormat="1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21" fillId="5" borderId="11" xfId="0" applyFont="1" applyFill="1" applyBorder="1" applyAlignment="1">
      <alignment horizontal="left"/>
    </xf>
    <xf numFmtId="0" fontId="0" fillId="5" borderId="12" xfId="0" applyFill="1" applyBorder="1" applyAlignment="1">
      <alignment horizontal="left"/>
    </xf>
    <xf numFmtId="0" fontId="0" fillId="5" borderId="8" xfId="0" applyFill="1" applyBorder="1" applyAlignment="1">
      <alignment horizontal="left"/>
    </xf>
  </cellXfs>
  <cellStyles count="27">
    <cellStyle name="20% — акцент2 2" xfId="24"/>
    <cellStyle name="Excel Built-in 20% - Accent2" xfId="11"/>
    <cellStyle name="Excel Built-in Heading 1" xfId="12"/>
    <cellStyle name="Excel Built-in Normal" xfId="10"/>
    <cellStyle name="Заголовок 1" xfId="5" builtinId="16"/>
    <cellStyle name="Заголовок 1 2" xfId="21"/>
    <cellStyle name="Обычный" xfId="0" builtinId="0"/>
    <cellStyle name="Обычный 2" xfId="2"/>
    <cellStyle name="Обычный 2 2" xfId="15"/>
    <cellStyle name="Обычный 2 3" xfId="4"/>
    <cellStyle name="Обычный 2 3 2" xfId="9"/>
    <cellStyle name="Обычный 2 3 3" xfId="14"/>
    <cellStyle name="Обычный 2 3 4" xfId="26"/>
    <cellStyle name="Обычный 3" xfId="8"/>
    <cellStyle name="Обычный 3 2" xfId="16"/>
    <cellStyle name="Обычный 3 3" xfId="20"/>
    <cellStyle name="Обычный 3 4" xfId="25"/>
    <cellStyle name="Обычный 4" xfId="6"/>
    <cellStyle name="Обычный 4 4" xfId="7"/>
    <cellStyle name="Обычный 5" xfId="13"/>
    <cellStyle name="Обычный 6" xfId="18"/>
    <cellStyle name="Обычный 6 2" xfId="22"/>
    <cellStyle name="Обычный 6 3" xfId="23"/>
    <cellStyle name="Финансовый" xfId="1" builtinId="3"/>
    <cellStyle name="Финансовый 19 2" xfId="17"/>
    <cellStyle name="Финансовый 2" xfId="3"/>
    <cellStyle name="Финансовый 3" xfId="19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CCFF"/>
      <color rgb="FFFF3300"/>
      <color rgb="FFCCCCFF"/>
      <color rgb="FFFF99FF"/>
      <color rgb="FF99CCFF"/>
      <color rgb="FF00FFCC"/>
      <color rgb="FFFF9999"/>
      <color rgb="FFFF7043"/>
      <color rgb="FFFF66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3700%20&#1084;&#1086;&#1101;&#1082;\&#1044;&#1057;4%20&#1084;&#1072;&#1089;&#1089;&#1086;&#1074;&#1072;&#1103;\&#1056;&#1072;&#1089;&#1095;&#1077;&#1090;_&#1052;&#1080;&#1054;_&#1044;&#1057;-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анные"/>
      <sheetName val="Согласование"/>
      <sheetName val="ЗП"/>
      <sheetName val="Расчет_ВИС"/>
      <sheetName val="Индексы ФСГС"/>
      <sheetName val="Индексы Европа"/>
      <sheetName val="Курсы валют"/>
      <sheetName val="НСС"/>
      <sheetName val="Коэффициенты"/>
      <sheetName val="Износы"/>
      <sheetName val="Пробеги"/>
    </sheetNames>
    <sheetDataSet>
      <sheetData sheetId="0">
        <row r="1">
          <cell r="B1">
            <v>45644</v>
          </cell>
        </row>
        <row r="5">
          <cell r="B5">
            <v>0.8</v>
          </cell>
        </row>
      </sheetData>
      <sheetData sheetId="1">
        <row r="1">
          <cell r="B1" t="str">
            <v>ID</v>
          </cell>
        </row>
      </sheetData>
      <sheetData sheetId="2"/>
      <sheetData sheetId="3"/>
      <sheetData sheetId="4">
        <row r="1">
          <cell r="A1" t="str">
            <v>Дата</v>
          </cell>
        </row>
      </sheetData>
      <sheetData sheetId="5">
        <row r="9">
          <cell r="A9" t="str">
            <v>Дата</v>
          </cell>
        </row>
      </sheetData>
      <sheetData sheetId="6">
        <row r="1">
          <cell r="A1" t="str">
            <v>Дата</v>
          </cell>
        </row>
      </sheetData>
      <sheetData sheetId="7">
        <row r="2">
          <cell r="B2" t="str">
            <v>Наименование подкласса</v>
          </cell>
        </row>
      </sheetData>
      <sheetData sheetId="8">
        <row r="46">
          <cell r="B46" t="str">
            <v>Группа НСС</v>
          </cell>
        </row>
      </sheetData>
      <sheetData sheetId="9">
        <row r="13">
          <cell r="E13">
            <v>0.27500000000000002</v>
          </cell>
        </row>
      </sheetData>
      <sheetData sheetId="10">
        <row r="1">
          <cell r="A1" t="str">
            <v>Назначение ТС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2:X2060"/>
  <sheetViews>
    <sheetView tabSelected="1" zoomScale="80" zoomScaleNormal="80" zoomScaleSheetLayoutView="55" workbookViewId="0">
      <selection activeCell="U2" sqref="U2"/>
    </sheetView>
  </sheetViews>
  <sheetFormatPr defaultColWidth="9.1796875" defaultRowHeight="14.5" x14ac:dyDescent="0.35"/>
  <cols>
    <col min="1" max="1" width="6.1796875" customWidth="1"/>
    <col min="2" max="2" width="9.81640625" customWidth="1"/>
    <col min="3" max="3" width="14" customWidth="1"/>
    <col min="4" max="4" width="49" customWidth="1"/>
    <col min="5" max="5" width="41.1796875" customWidth="1"/>
    <col min="6" max="6" width="14" customWidth="1"/>
    <col min="7" max="7" width="11.1796875" customWidth="1"/>
    <col min="8" max="8" width="15.7265625" customWidth="1"/>
    <col min="9" max="9" width="16.453125" customWidth="1"/>
    <col min="10" max="10" width="28.1796875" customWidth="1"/>
    <col min="11" max="11" width="24.81640625" customWidth="1"/>
    <col min="12" max="12" width="20.7265625" customWidth="1"/>
    <col min="13" max="13" width="16.7265625" hidden="1" customWidth="1"/>
    <col min="14" max="14" width="16.81640625" hidden="1" customWidth="1"/>
    <col min="15" max="15" width="23.54296875" hidden="1" customWidth="1"/>
    <col min="16" max="16" width="21.1796875" customWidth="1"/>
    <col min="17" max="17" width="20.54296875" customWidth="1"/>
    <col min="18" max="18" width="29.1796875" customWidth="1"/>
    <col min="19" max="19" width="21.26953125" customWidth="1"/>
    <col min="20" max="20" width="13" style="16" customWidth="1"/>
    <col min="21" max="21" width="34.453125" customWidth="1"/>
    <col min="22" max="22" width="23.81640625" hidden="1" customWidth="1"/>
    <col min="23" max="23" width="23" hidden="1" customWidth="1"/>
    <col min="24" max="24" width="17.54296875" hidden="1" customWidth="1"/>
  </cols>
  <sheetData>
    <row r="2" spans="1:24" ht="18.5" x14ac:dyDescent="0.35">
      <c r="A2" s="26"/>
      <c r="B2" s="27" t="s">
        <v>4550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64"/>
      <c r="P2" s="264"/>
      <c r="Q2" s="264"/>
      <c r="R2" s="264"/>
      <c r="S2" s="264"/>
      <c r="T2" s="29"/>
      <c r="U2" s="30"/>
    </row>
    <row r="3" spans="1:24" x14ac:dyDescent="0.35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9"/>
      <c r="U3" s="26"/>
    </row>
    <row r="4" spans="1:24" s="8" customFormat="1" ht="96.75" customHeight="1" x14ac:dyDescent="0.35">
      <c r="A4" s="19" t="s">
        <v>2308</v>
      </c>
      <c r="B4" s="1" t="s">
        <v>491</v>
      </c>
      <c r="C4" s="1" t="s">
        <v>140</v>
      </c>
      <c r="D4" s="1" t="s">
        <v>141</v>
      </c>
      <c r="E4" s="1" t="s">
        <v>490</v>
      </c>
      <c r="F4" s="1" t="s">
        <v>4551</v>
      </c>
      <c r="G4" s="1" t="s">
        <v>142</v>
      </c>
      <c r="H4" s="1" t="s">
        <v>492</v>
      </c>
      <c r="I4" s="1" t="s">
        <v>951</v>
      </c>
      <c r="J4" s="1" t="s">
        <v>952</v>
      </c>
      <c r="K4" s="1" t="s">
        <v>690</v>
      </c>
      <c r="L4" s="1" t="s">
        <v>691</v>
      </c>
      <c r="M4" s="13" t="s">
        <v>2244</v>
      </c>
      <c r="N4" s="13" t="s">
        <v>2243</v>
      </c>
      <c r="O4" s="13" t="s">
        <v>2247</v>
      </c>
      <c r="P4" s="7" t="s">
        <v>3987</v>
      </c>
      <c r="Q4" s="7" t="s">
        <v>4512</v>
      </c>
      <c r="R4" s="7" t="s">
        <v>4513</v>
      </c>
      <c r="S4" s="7" t="s">
        <v>4161</v>
      </c>
      <c r="T4" s="7" t="s">
        <v>2251</v>
      </c>
      <c r="U4" s="1" t="s">
        <v>2252</v>
      </c>
      <c r="V4" s="57" t="s">
        <v>4546</v>
      </c>
      <c r="W4" s="57" t="s">
        <v>4547</v>
      </c>
      <c r="X4" s="57" t="s">
        <v>4548</v>
      </c>
    </row>
    <row r="5" spans="1:24" ht="22" customHeight="1" x14ac:dyDescent="0.35">
      <c r="A5" s="56" t="s">
        <v>4330</v>
      </c>
      <c r="B5" s="2">
        <v>1</v>
      </c>
      <c r="C5" s="58">
        <v>102019448</v>
      </c>
      <c r="D5" s="58" t="s">
        <v>4213</v>
      </c>
      <c r="E5" s="59" t="s">
        <v>4291</v>
      </c>
      <c r="F5" s="60">
        <v>5</v>
      </c>
      <c r="G5" s="60" t="s">
        <v>0</v>
      </c>
      <c r="H5" s="61">
        <v>43040</v>
      </c>
      <c r="I5" s="62" t="s">
        <v>958</v>
      </c>
      <c r="J5" s="63" t="s">
        <v>1917</v>
      </c>
      <c r="K5" s="63" t="s">
        <v>961</v>
      </c>
      <c r="L5" s="64" t="s">
        <v>950</v>
      </c>
      <c r="M5" s="35">
        <v>3103.8</v>
      </c>
      <c r="N5" s="65">
        <f>O5/F5</f>
        <v>620.76</v>
      </c>
      <c r="O5" s="36">
        <v>3103.8</v>
      </c>
      <c r="P5" s="65">
        <v>2250</v>
      </c>
      <c r="Q5" s="65">
        <f>P5*0.22</f>
        <v>495</v>
      </c>
      <c r="R5" s="65">
        <f>P5+Q5</f>
        <v>2745</v>
      </c>
      <c r="S5" s="267"/>
      <c r="T5" s="64">
        <v>1</v>
      </c>
      <c r="U5" s="270" t="s">
        <v>4475</v>
      </c>
      <c r="V5" s="38">
        <v>2589</v>
      </c>
      <c r="W5" s="38">
        <f>V5*0.22</f>
        <v>569.58000000000004</v>
      </c>
      <c r="X5" s="38">
        <f>V5+W5</f>
        <v>3158.58</v>
      </c>
    </row>
    <row r="6" spans="1:24" ht="15" customHeight="1" x14ac:dyDescent="0.35">
      <c r="A6" s="56" t="s">
        <v>4476</v>
      </c>
      <c r="B6" s="2">
        <v>2</v>
      </c>
      <c r="C6" s="58">
        <v>102017520</v>
      </c>
      <c r="D6" s="58" t="s">
        <v>4214</v>
      </c>
      <c r="E6" s="59" t="s">
        <v>4291</v>
      </c>
      <c r="F6" s="66">
        <v>29</v>
      </c>
      <c r="G6" s="66" t="s">
        <v>0</v>
      </c>
      <c r="H6" s="67">
        <v>43070</v>
      </c>
      <c r="I6" s="62" t="s">
        <v>958</v>
      </c>
      <c r="J6" s="63" t="s">
        <v>1917</v>
      </c>
      <c r="K6" s="63" t="s">
        <v>961</v>
      </c>
      <c r="L6" s="64" t="s">
        <v>950</v>
      </c>
      <c r="M6" s="35">
        <v>2984.68</v>
      </c>
      <c r="N6" s="65">
        <f t="shared" ref="N6:N54" si="0">O6/F6</f>
        <v>102.92</v>
      </c>
      <c r="O6" s="36">
        <v>2984.68</v>
      </c>
      <c r="P6" s="65">
        <v>2160</v>
      </c>
      <c r="Q6" s="65">
        <f t="shared" ref="Q6:Q69" si="1">P6*0.22</f>
        <v>475.2</v>
      </c>
      <c r="R6" s="65">
        <f t="shared" ref="R6:R69" si="2">P6+Q6</f>
        <v>2635.2</v>
      </c>
      <c r="S6" s="268"/>
      <c r="T6" s="64">
        <v>1</v>
      </c>
      <c r="U6" s="270"/>
      <c r="V6" s="38">
        <v>2483</v>
      </c>
      <c r="W6" s="38">
        <f t="shared" ref="W6:W69" si="3">V6*0.22</f>
        <v>546.26</v>
      </c>
      <c r="X6" s="38">
        <f>V6+W6</f>
        <v>3029.26</v>
      </c>
    </row>
    <row r="7" spans="1:24" ht="15" customHeight="1" x14ac:dyDescent="0.35">
      <c r="A7" s="56" t="s">
        <v>4331</v>
      </c>
      <c r="B7" s="2">
        <v>3</v>
      </c>
      <c r="C7" s="58">
        <v>102017519</v>
      </c>
      <c r="D7" s="58" t="s">
        <v>4215</v>
      </c>
      <c r="E7" s="59" t="s">
        <v>4291</v>
      </c>
      <c r="F7" s="66">
        <v>20</v>
      </c>
      <c r="G7" s="66" t="s">
        <v>0</v>
      </c>
      <c r="H7" s="67">
        <v>43070</v>
      </c>
      <c r="I7" s="62" t="s">
        <v>958</v>
      </c>
      <c r="J7" s="63" t="s">
        <v>1917</v>
      </c>
      <c r="K7" s="63" t="s">
        <v>961</v>
      </c>
      <c r="L7" s="64" t="s">
        <v>950</v>
      </c>
      <c r="M7" s="35">
        <v>2221.8000000000002</v>
      </c>
      <c r="N7" s="65">
        <f t="shared" si="0"/>
        <v>111.09</v>
      </c>
      <c r="O7" s="36">
        <v>2221.8000000000002</v>
      </c>
      <c r="P7" s="65">
        <v>1610</v>
      </c>
      <c r="Q7" s="65">
        <f t="shared" si="1"/>
        <v>354.2</v>
      </c>
      <c r="R7" s="65">
        <f t="shared" si="2"/>
        <v>1964.2</v>
      </c>
      <c r="S7" s="268"/>
      <c r="T7" s="64">
        <v>1</v>
      </c>
      <c r="U7" s="270"/>
      <c r="V7" s="38">
        <v>1848</v>
      </c>
      <c r="W7" s="38">
        <f t="shared" si="3"/>
        <v>406.56</v>
      </c>
      <c r="X7" s="38">
        <f>V7+W7</f>
        <v>2254.56</v>
      </c>
    </row>
    <row r="8" spans="1:24" ht="15" customHeight="1" x14ac:dyDescent="0.35">
      <c r="A8" s="56" t="s">
        <v>4332</v>
      </c>
      <c r="B8" s="2">
        <v>4</v>
      </c>
      <c r="C8" s="58">
        <v>102017518</v>
      </c>
      <c r="D8" s="58" t="s">
        <v>4216</v>
      </c>
      <c r="E8" s="59" t="s">
        <v>4291</v>
      </c>
      <c r="F8" s="66">
        <v>1</v>
      </c>
      <c r="G8" s="66" t="s">
        <v>0</v>
      </c>
      <c r="H8" s="67">
        <v>43070</v>
      </c>
      <c r="I8" s="62" t="s">
        <v>958</v>
      </c>
      <c r="J8" s="63" t="s">
        <v>1917</v>
      </c>
      <c r="K8" s="63" t="s">
        <v>961</v>
      </c>
      <c r="L8" s="64" t="s">
        <v>950</v>
      </c>
      <c r="M8" s="35">
        <v>1359.89</v>
      </c>
      <c r="N8" s="65">
        <f t="shared" si="0"/>
        <v>1359.89</v>
      </c>
      <c r="O8" s="36">
        <v>1359.89</v>
      </c>
      <c r="P8" s="65">
        <v>990</v>
      </c>
      <c r="Q8" s="65">
        <f t="shared" si="1"/>
        <v>217.8</v>
      </c>
      <c r="R8" s="65">
        <f t="shared" si="2"/>
        <v>1207.8</v>
      </c>
      <c r="S8" s="268"/>
      <c r="T8" s="64">
        <v>1</v>
      </c>
      <c r="U8" s="270"/>
      <c r="V8" s="38">
        <v>1131</v>
      </c>
      <c r="W8" s="38">
        <f t="shared" si="3"/>
        <v>248.82</v>
      </c>
      <c r="X8" s="38">
        <f t="shared" ref="X8:X71" si="4">V8+W8</f>
        <v>1379.82</v>
      </c>
    </row>
    <row r="9" spans="1:24" ht="15" customHeight="1" x14ac:dyDescent="0.35">
      <c r="A9" s="56" t="s">
        <v>4333</v>
      </c>
      <c r="B9" s="2">
        <v>5</v>
      </c>
      <c r="C9" s="58">
        <v>102017516</v>
      </c>
      <c r="D9" s="58" t="s">
        <v>4217</v>
      </c>
      <c r="E9" s="59" t="s">
        <v>4291</v>
      </c>
      <c r="F9" s="66">
        <v>15</v>
      </c>
      <c r="G9" s="66" t="s">
        <v>0</v>
      </c>
      <c r="H9" s="67">
        <v>43070</v>
      </c>
      <c r="I9" s="62" t="s">
        <v>958</v>
      </c>
      <c r="J9" s="63" t="s">
        <v>1917</v>
      </c>
      <c r="K9" s="63" t="s">
        <v>961</v>
      </c>
      <c r="L9" s="64" t="s">
        <v>950</v>
      </c>
      <c r="M9" s="35">
        <v>2718.45</v>
      </c>
      <c r="N9" s="65">
        <f t="shared" si="0"/>
        <v>181.23</v>
      </c>
      <c r="O9" s="36">
        <v>2718.45</v>
      </c>
      <c r="P9" s="65">
        <v>1970</v>
      </c>
      <c r="Q9" s="65">
        <f t="shared" si="1"/>
        <v>433.4</v>
      </c>
      <c r="R9" s="65">
        <f t="shared" si="2"/>
        <v>2403.4</v>
      </c>
      <c r="S9" s="268"/>
      <c r="T9" s="64">
        <v>1</v>
      </c>
      <c r="U9" s="270"/>
      <c r="V9" s="38">
        <v>2261</v>
      </c>
      <c r="W9" s="38">
        <f t="shared" si="3"/>
        <v>497.42</v>
      </c>
      <c r="X9" s="38">
        <f t="shared" si="4"/>
        <v>2758.42</v>
      </c>
    </row>
    <row r="10" spans="1:24" ht="15" customHeight="1" x14ac:dyDescent="0.35">
      <c r="A10" s="56" t="s">
        <v>4334</v>
      </c>
      <c r="B10" s="2">
        <v>6</v>
      </c>
      <c r="C10" s="58">
        <v>102017517</v>
      </c>
      <c r="D10" s="58" t="s">
        <v>4218</v>
      </c>
      <c r="E10" s="59" t="s">
        <v>4291</v>
      </c>
      <c r="F10" s="66">
        <v>21</v>
      </c>
      <c r="G10" s="66" t="s">
        <v>0</v>
      </c>
      <c r="H10" s="67">
        <v>43070</v>
      </c>
      <c r="I10" s="62" t="s">
        <v>958</v>
      </c>
      <c r="J10" s="63" t="s">
        <v>1917</v>
      </c>
      <c r="K10" s="63" t="s">
        <v>961</v>
      </c>
      <c r="L10" s="64" t="s">
        <v>950</v>
      </c>
      <c r="M10" s="35">
        <v>3641.19</v>
      </c>
      <c r="N10" s="65">
        <f t="shared" si="0"/>
        <v>173.39</v>
      </c>
      <c r="O10" s="36">
        <v>3641.19</v>
      </c>
      <c r="P10" s="65">
        <v>2640</v>
      </c>
      <c r="Q10" s="65">
        <f t="shared" si="1"/>
        <v>580.79999999999995</v>
      </c>
      <c r="R10" s="65">
        <f t="shared" si="2"/>
        <v>3220.8</v>
      </c>
      <c r="S10" s="268"/>
      <c r="T10" s="64">
        <v>1</v>
      </c>
      <c r="U10" s="270"/>
      <c r="V10" s="38">
        <v>3029</v>
      </c>
      <c r="W10" s="38">
        <f t="shared" si="3"/>
        <v>666.38</v>
      </c>
      <c r="X10" s="38">
        <f t="shared" si="4"/>
        <v>3695.38</v>
      </c>
    </row>
    <row r="11" spans="1:24" ht="15" customHeight="1" x14ac:dyDescent="0.35">
      <c r="A11" s="56" t="s">
        <v>4335</v>
      </c>
      <c r="B11" s="2">
        <v>7</v>
      </c>
      <c r="C11" s="58">
        <v>102017515</v>
      </c>
      <c r="D11" s="58" t="s">
        <v>4219</v>
      </c>
      <c r="E11" s="59" t="s">
        <v>4291</v>
      </c>
      <c r="F11" s="66">
        <v>5</v>
      </c>
      <c r="G11" s="66" t="s">
        <v>0</v>
      </c>
      <c r="H11" s="67">
        <v>43070</v>
      </c>
      <c r="I11" s="62" t="s">
        <v>958</v>
      </c>
      <c r="J11" s="63" t="s">
        <v>1917</v>
      </c>
      <c r="K11" s="63" t="s">
        <v>961</v>
      </c>
      <c r="L11" s="64" t="s">
        <v>950</v>
      </c>
      <c r="M11" s="35">
        <v>1128.6500000000001</v>
      </c>
      <c r="N11" s="65">
        <f t="shared" si="0"/>
        <v>225.73</v>
      </c>
      <c r="O11" s="36">
        <v>1128.6500000000001</v>
      </c>
      <c r="P11" s="65">
        <v>820</v>
      </c>
      <c r="Q11" s="65">
        <f t="shared" si="1"/>
        <v>180.4</v>
      </c>
      <c r="R11" s="65">
        <f t="shared" si="2"/>
        <v>1000.4</v>
      </c>
      <c r="S11" s="268"/>
      <c r="T11" s="64">
        <v>1</v>
      </c>
      <c r="U11" s="270"/>
      <c r="V11" s="38">
        <v>939</v>
      </c>
      <c r="W11" s="38">
        <f t="shared" si="3"/>
        <v>206.58</v>
      </c>
      <c r="X11" s="38">
        <f t="shared" si="4"/>
        <v>1145.58</v>
      </c>
    </row>
    <row r="12" spans="1:24" ht="15" customHeight="1" x14ac:dyDescent="0.35">
      <c r="A12" s="56" t="s">
        <v>4336</v>
      </c>
      <c r="B12" s="2">
        <v>8</v>
      </c>
      <c r="C12" s="58">
        <v>102011781</v>
      </c>
      <c r="D12" s="58" t="s">
        <v>4220</v>
      </c>
      <c r="E12" s="59" t="s">
        <v>4291</v>
      </c>
      <c r="F12" s="66">
        <v>8</v>
      </c>
      <c r="G12" s="66" t="s">
        <v>0</v>
      </c>
      <c r="H12" s="67">
        <v>43070</v>
      </c>
      <c r="I12" s="62" t="s">
        <v>958</v>
      </c>
      <c r="J12" s="63" t="s">
        <v>1917</v>
      </c>
      <c r="K12" s="63" t="s">
        <v>961</v>
      </c>
      <c r="L12" s="64" t="s">
        <v>950</v>
      </c>
      <c r="M12" s="35">
        <v>812.16</v>
      </c>
      <c r="N12" s="65">
        <f t="shared" si="0"/>
        <v>101.52</v>
      </c>
      <c r="O12" s="36">
        <v>812.16</v>
      </c>
      <c r="P12" s="65">
        <v>590</v>
      </c>
      <c r="Q12" s="65">
        <f t="shared" si="1"/>
        <v>129.80000000000001</v>
      </c>
      <c r="R12" s="65">
        <f t="shared" si="2"/>
        <v>719.8</v>
      </c>
      <c r="S12" s="268"/>
      <c r="T12" s="64">
        <v>1</v>
      </c>
      <c r="U12" s="270"/>
      <c r="V12" s="38">
        <v>676</v>
      </c>
      <c r="W12" s="38">
        <f t="shared" si="3"/>
        <v>148.72</v>
      </c>
      <c r="X12" s="38">
        <f t="shared" si="4"/>
        <v>824.72</v>
      </c>
    </row>
    <row r="13" spans="1:24" ht="15" customHeight="1" x14ac:dyDescent="0.35">
      <c r="A13" s="56" t="s">
        <v>4337</v>
      </c>
      <c r="B13" s="2">
        <v>9</v>
      </c>
      <c r="C13" s="58">
        <v>102018893</v>
      </c>
      <c r="D13" s="58" t="s">
        <v>4221</v>
      </c>
      <c r="E13" s="59" t="s">
        <v>4291</v>
      </c>
      <c r="F13" s="66">
        <v>8</v>
      </c>
      <c r="G13" s="66" t="s">
        <v>0</v>
      </c>
      <c r="H13" s="67">
        <v>43070</v>
      </c>
      <c r="I13" s="62" t="s">
        <v>958</v>
      </c>
      <c r="J13" s="63" t="s">
        <v>1917</v>
      </c>
      <c r="K13" s="63" t="s">
        <v>961</v>
      </c>
      <c r="L13" s="64" t="s">
        <v>950</v>
      </c>
      <c r="M13" s="35">
        <v>3192.88</v>
      </c>
      <c r="N13" s="65">
        <f t="shared" si="0"/>
        <v>399.11</v>
      </c>
      <c r="O13" s="36">
        <v>3192.88</v>
      </c>
      <c r="P13" s="65">
        <v>2310</v>
      </c>
      <c r="Q13" s="65">
        <f t="shared" si="1"/>
        <v>508.2</v>
      </c>
      <c r="R13" s="65">
        <f t="shared" si="2"/>
        <v>2818.2</v>
      </c>
      <c r="S13" s="268"/>
      <c r="T13" s="64">
        <v>1</v>
      </c>
      <c r="U13" s="270"/>
      <c r="V13" s="38">
        <v>2656</v>
      </c>
      <c r="W13" s="38">
        <f t="shared" si="3"/>
        <v>584.32000000000005</v>
      </c>
      <c r="X13" s="38">
        <f t="shared" si="4"/>
        <v>3240.32</v>
      </c>
    </row>
    <row r="14" spans="1:24" ht="15" customHeight="1" x14ac:dyDescent="0.35">
      <c r="A14" s="56" t="s">
        <v>4338</v>
      </c>
      <c r="B14" s="2">
        <v>10</v>
      </c>
      <c r="C14" s="58">
        <v>102018903</v>
      </c>
      <c r="D14" s="58" t="s">
        <v>4222</v>
      </c>
      <c r="E14" s="59" t="s">
        <v>4291</v>
      </c>
      <c r="F14" s="66">
        <v>160</v>
      </c>
      <c r="G14" s="66" t="s">
        <v>0</v>
      </c>
      <c r="H14" s="67">
        <v>43040</v>
      </c>
      <c r="I14" s="62" t="s">
        <v>958</v>
      </c>
      <c r="J14" s="63" t="s">
        <v>1917</v>
      </c>
      <c r="K14" s="63" t="s">
        <v>961</v>
      </c>
      <c r="L14" s="64" t="s">
        <v>950</v>
      </c>
      <c r="M14" s="35">
        <v>764.8</v>
      </c>
      <c r="N14" s="65">
        <f t="shared" si="0"/>
        <v>4.78</v>
      </c>
      <c r="O14" s="36">
        <v>764.8</v>
      </c>
      <c r="P14" s="65">
        <v>560</v>
      </c>
      <c r="Q14" s="65">
        <f t="shared" si="1"/>
        <v>123.2</v>
      </c>
      <c r="R14" s="65">
        <f t="shared" si="2"/>
        <v>683.2</v>
      </c>
      <c r="S14" s="268"/>
      <c r="T14" s="64">
        <v>1</v>
      </c>
      <c r="U14" s="270"/>
      <c r="V14" s="38">
        <v>638</v>
      </c>
      <c r="W14" s="38">
        <f t="shared" si="3"/>
        <v>140.36000000000001</v>
      </c>
      <c r="X14" s="38">
        <f t="shared" si="4"/>
        <v>778.36</v>
      </c>
    </row>
    <row r="15" spans="1:24" ht="15" customHeight="1" x14ac:dyDescent="0.35">
      <c r="A15" s="56" t="s">
        <v>4339</v>
      </c>
      <c r="B15" s="2">
        <v>11</v>
      </c>
      <c r="C15" s="58">
        <v>102018858</v>
      </c>
      <c r="D15" s="58" t="s">
        <v>4223</v>
      </c>
      <c r="E15" s="59" t="s">
        <v>4291</v>
      </c>
      <c r="F15" s="66">
        <v>70</v>
      </c>
      <c r="G15" s="66" t="s">
        <v>0</v>
      </c>
      <c r="H15" s="67">
        <v>43040</v>
      </c>
      <c r="I15" s="62" t="s">
        <v>958</v>
      </c>
      <c r="J15" s="63" t="s">
        <v>1917</v>
      </c>
      <c r="K15" s="63" t="s">
        <v>961</v>
      </c>
      <c r="L15" s="64" t="s">
        <v>950</v>
      </c>
      <c r="M15" s="35">
        <v>14122.5</v>
      </c>
      <c r="N15" s="65">
        <f t="shared" si="0"/>
        <v>201.75</v>
      </c>
      <c r="O15" s="36">
        <v>14122.5</v>
      </c>
      <c r="P15" s="65">
        <v>10260</v>
      </c>
      <c r="Q15" s="65">
        <f t="shared" si="1"/>
        <v>2257.1999999999998</v>
      </c>
      <c r="R15" s="65">
        <f t="shared" si="2"/>
        <v>12517.2</v>
      </c>
      <c r="S15" s="268"/>
      <c r="T15" s="64">
        <v>1</v>
      </c>
      <c r="U15" s="270"/>
      <c r="V15" s="38">
        <v>11779</v>
      </c>
      <c r="W15" s="38">
        <f t="shared" si="3"/>
        <v>2591.38</v>
      </c>
      <c r="X15" s="38">
        <f t="shared" si="4"/>
        <v>14370.38</v>
      </c>
    </row>
    <row r="16" spans="1:24" ht="15" customHeight="1" x14ac:dyDescent="0.35">
      <c r="A16" s="56" t="s">
        <v>4340</v>
      </c>
      <c r="B16" s="2">
        <v>12</v>
      </c>
      <c r="C16" s="58">
        <v>102018904</v>
      </c>
      <c r="D16" s="58" t="s">
        <v>4224</v>
      </c>
      <c r="E16" s="59" t="s">
        <v>4291</v>
      </c>
      <c r="F16" s="66">
        <v>50</v>
      </c>
      <c r="G16" s="66" t="s">
        <v>0</v>
      </c>
      <c r="H16" s="67">
        <v>43070</v>
      </c>
      <c r="I16" s="62" t="s">
        <v>958</v>
      </c>
      <c r="J16" s="63" t="s">
        <v>1917</v>
      </c>
      <c r="K16" s="63" t="s">
        <v>961</v>
      </c>
      <c r="L16" s="64" t="s">
        <v>950</v>
      </c>
      <c r="M16" s="35">
        <v>2038.5</v>
      </c>
      <c r="N16" s="65">
        <f t="shared" si="0"/>
        <v>40.770000000000003</v>
      </c>
      <c r="O16" s="36">
        <v>2038.5</v>
      </c>
      <c r="P16" s="65">
        <v>1480</v>
      </c>
      <c r="Q16" s="65">
        <f t="shared" si="1"/>
        <v>325.60000000000002</v>
      </c>
      <c r="R16" s="65">
        <f t="shared" si="2"/>
        <v>1805.6</v>
      </c>
      <c r="S16" s="268"/>
      <c r="T16" s="64">
        <v>1</v>
      </c>
      <c r="U16" s="270"/>
      <c r="V16" s="38">
        <v>1696</v>
      </c>
      <c r="W16" s="38">
        <f t="shared" si="3"/>
        <v>373.12</v>
      </c>
      <c r="X16" s="38">
        <f t="shared" si="4"/>
        <v>2069.12</v>
      </c>
    </row>
    <row r="17" spans="1:24" ht="15" customHeight="1" x14ac:dyDescent="0.35">
      <c r="A17" s="56" t="s">
        <v>4341</v>
      </c>
      <c r="B17" s="2">
        <v>13</v>
      </c>
      <c r="C17" s="58">
        <v>102017494</v>
      </c>
      <c r="D17" s="58" t="s">
        <v>4225</v>
      </c>
      <c r="E17" s="59" t="s">
        <v>4291</v>
      </c>
      <c r="F17" s="66">
        <v>40</v>
      </c>
      <c r="G17" s="66" t="s">
        <v>0</v>
      </c>
      <c r="H17" s="67">
        <v>43070</v>
      </c>
      <c r="I17" s="62" t="s">
        <v>958</v>
      </c>
      <c r="J17" s="63" t="s">
        <v>1917</v>
      </c>
      <c r="K17" s="63" t="s">
        <v>961</v>
      </c>
      <c r="L17" s="64" t="s">
        <v>950</v>
      </c>
      <c r="M17" s="35">
        <v>3007.6</v>
      </c>
      <c r="N17" s="65">
        <f t="shared" si="0"/>
        <v>75.19</v>
      </c>
      <c r="O17" s="36">
        <v>3007.6</v>
      </c>
      <c r="P17" s="65">
        <v>2180</v>
      </c>
      <c r="Q17" s="65">
        <f t="shared" si="1"/>
        <v>479.6</v>
      </c>
      <c r="R17" s="65">
        <f t="shared" si="2"/>
        <v>2659.6</v>
      </c>
      <c r="S17" s="268"/>
      <c r="T17" s="64">
        <v>1</v>
      </c>
      <c r="U17" s="270"/>
      <c r="V17" s="38">
        <v>2502</v>
      </c>
      <c r="W17" s="38">
        <f t="shared" si="3"/>
        <v>550.44000000000005</v>
      </c>
      <c r="X17" s="38">
        <f t="shared" si="4"/>
        <v>3052.44</v>
      </c>
    </row>
    <row r="18" spans="1:24" ht="15" customHeight="1" x14ac:dyDescent="0.35">
      <c r="A18" s="56" t="s">
        <v>4342</v>
      </c>
      <c r="B18" s="2">
        <v>14</v>
      </c>
      <c r="C18" s="58">
        <v>102019042</v>
      </c>
      <c r="D18" s="58" t="s">
        <v>4226</v>
      </c>
      <c r="E18" s="59" t="s">
        <v>4291</v>
      </c>
      <c r="F18" s="66">
        <v>50</v>
      </c>
      <c r="G18" s="66" t="s">
        <v>0</v>
      </c>
      <c r="H18" s="67">
        <v>43040</v>
      </c>
      <c r="I18" s="62" t="s">
        <v>958</v>
      </c>
      <c r="J18" s="63" t="s">
        <v>1917</v>
      </c>
      <c r="K18" s="63" t="s">
        <v>961</v>
      </c>
      <c r="L18" s="64" t="s">
        <v>950</v>
      </c>
      <c r="M18" s="35">
        <v>17091</v>
      </c>
      <c r="N18" s="65">
        <f t="shared" si="0"/>
        <v>341.82</v>
      </c>
      <c r="O18" s="36">
        <v>17091</v>
      </c>
      <c r="P18" s="65">
        <v>12420</v>
      </c>
      <c r="Q18" s="65">
        <f t="shared" si="1"/>
        <v>2732.4</v>
      </c>
      <c r="R18" s="65">
        <f t="shared" si="2"/>
        <v>15152.4</v>
      </c>
      <c r="S18" s="268"/>
      <c r="T18" s="64">
        <v>1</v>
      </c>
      <c r="U18" s="270"/>
      <c r="V18" s="38">
        <v>14255</v>
      </c>
      <c r="W18" s="38">
        <f t="shared" si="3"/>
        <v>3136.1</v>
      </c>
      <c r="X18" s="38">
        <f t="shared" si="4"/>
        <v>17391.099999999999</v>
      </c>
    </row>
    <row r="19" spans="1:24" ht="15" customHeight="1" x14ac:dyDescent="0.35">
      <c r="A19" s="56" t="s">
        <v>4343</v>
      </c>
      <c r="B19" s="2">
        <v>15</v>
      </c>
      <c r="C19" s="58">
        <v>102018917</v>
      </c>
      <c r="D19" s="58" t="s">
        <v>4227</v>
      </c>
      <c r="E19" s="59" t="s">
        <v>4291</v>
      </c>
      <c r="F19" s="66">
        <v>31</v>
      </c>
      <c r="G19" s="66" t="s">
        <v>0</v>
      </c>
      <c r="H19" s="67">
        <v>43070</v>
      </c>
      <c r="I19" s="62" t="s">
        <v>958</v>
      </c>
      <c r="J19" s="63" t="s">
        <v>1917</v>
      </c>
      <c r="K19" s="63" t="s">
        <v>961</v>
      </c>
      <c r="L19" s="64" t="s">
        <v>950</v>
      </c>
      <c r="M19" s="35">
        <v>312.79000000000002</v>
      </c>
      <c r="N19" s="65">
        <f t="shared" si="0"/>
        <v>10.09</v>
      </c>
      <c r="O19" s="36">
        <v>312.79000000000002</v>
      </c>
      <c r="P19" s="65">
        <v>230</v>
      </c>
      <c r="Q19" s="65">
        <f t="shared" si="1"/>
        <v>50.6</v>
      </c>
      <c r="R19" s="65">
        <f t="shared" si="2"/>
        <v>280.60000000000002</v>
      </c>
      <c r="S19" s="268"/>
      <c r="T19" s="64">
        <v>1</v>
      </c>
      <c r="U19" s="270"/>
      <c r="V19" s="38">
        <v>260</v>
      </c>
      <c r="W19" s="38">
        <f t="shared" si="3"/>
        <v>57.2</v>
      </c>
      <c r="X19" s="38">
        <f t="shared" si="4"/>
        <v>317.2</v>
      </c>
    </row>
    <row r="20" spans="1:24" ht="15" customHeight="1" x14ac:dyDescent="0.35">
      <c r="A20" s="56" t="s">
        <v>4344</v>
      </c>
      <c r="B20" s="2">
        <v>16</v>
      </c>
      <c r="C20" s="58">
        <v>102017455</v>
      </c>
      <c r="D20" s="58" t="s">
        <v>4228</v>
      </c>
      <c r="E20" s="59" t="s">
        <v>4291</v>
      </c>
      <c r="F20" s="66">
        <v>230</v>
      </c>
      <c r="G20" s="66" t="s">
        <v>0</v>
      </c>
      <c r="H20" s="67">
        <v>43040</v>
      </c>
      <c r="I20" s="62" t="s">
        <v>958</v>
      </c>
      <c r="J20" s="63" t="s">
        <v>1917</v>
      </c>
      <c r="K20" s="63" t="s">
        <v>961</v>
      </c>
      <c r="L20" s="64" t="s">
        <v>950</v>
      </c>
      <c r="M20" s="35">
        <v>2129.8000000000002</v>
      </c>
      <c r="N20" s="65">
        <f t="shared" si="0"/>
        <v>9.26</v>
      </c>
      <c r="O20" s="36">
        <v>2129.8000000000002</v>
      </c>
      <c r="P20" s="65">
        <v>1550</v>
      </c>
      <c r="Q20" s="65">
        <f t="shared" si="1"/>
        <v>341</v>
      </c>
      <c r="R20" s="65">
        <f t="shared" si="2"/>
        <v>1891</v>
      </c>
      <c r="S20" s="268"/>
      <c r="T20" s="64">
        <v>1</v>
      </c>
      <c r="U20" s="270"/>
      <c r="V20" s="38">
        <v>1776</v>
      </c>
      <c r="W20" s="38">
        <f t="shared" si="3"/>
        <v>390.72</v>
      </c>
      <c r="X20" s="38">
        <f t="shared" si="4"/>
        <v>2166.7199999999998</v>
      </c>
    </row>
    <row r="21" spans="1:24" ht="15" customHeight="1" x14ac:dyDescent="0.35">
      <c r="A21" s="56" t="s">
        <v>4345</v>
      </c>
      <c r="B21" s="2">
        <v>17</v>
      </c>
      <c r="C21" s="58">
        <v>102018860</v>
      </c>
      <c r="D21" s="58" t="s">
        <v>4229</v>
      </c>
      <c r="E21" s="59" t="s">
        <v>4291</v>
      </c>
      <c r="F21" s="66">
        <v>2868</v>
      </c>
      <c r="G21" s="66" t="s">
        <v>0</v>
      </c>
      <c r="H21" s="67">
        <v>43040</v>
      </c>
      <c r="I21" s="62" t="s">
        <v>958</v>
      </c>
      <c r="J21" s="63" t="s">
        <v>1917</v>
      </c>
      <c r="K21" s="63" t="s">
        <v>961</v>
      </c>
      <c r="L21" s="64" t="s">
        <v>950</v>
      </c>
      <c r="M21" s="35">
        <v>36194.160000000003</v>
      </c>
      <c r="N21" s="65">
        <f t="shared" si="0"/>
        <v>12.62</v>
      </c>
      <c r="O21" s="36">
        <v>36194.160000000003</v>
      </c>
      <c r="P21" s="65">
        <v>26290</v>
      </c>
      <c r="Q21" s="65">
        <f t="shared" si="1"/>
        <v>5783.8</v>
      </c>
      <c r="R21" s="65">
        <f t="shared" si="2"/>
        <v>32073.8</v>
      </c>
      <c r="S21" s="268"/>
      <c r="T21" s="64">
        <v>1</v>
      </c>
      <c r="U21" s="270"/>
      <c r="V21" s="38">
        <v>30188</v>
      </c>
      <c r="W21" s="38">
        <f t="shared" si="3"/>
        <v>6641.36</v>
      </c>
      <c r="X21" s="38">
        <f t="shared" si="4"/>
        <v>36829.360000000001</v>
      </c>
    </row>
    <row r="22" spans="1:24" ht="15" customHeight="1" x14ac:dyDescent="0.35">
      <c r="A22" s="56" t="s">
        <v>4346</v>
      </c>
      <c r="B22" s="2">
        <v>18</v>
      </c>
      <c r="C22" s="58">
        <v>102017493</v>
      </c>
      <c r="D22" s="58" t="s">
        <v>4230</v>
      </c>
      <c r="E22" s="59" t="s">
        <v>4291</v>
      </c>
      <c r="F22" s="66">
        <v>650</v>
      </c>
      <c r="G22" s="66" t="s">
        <v>0</v>
      </c>
      <c r="H22" s="67">
        <v>43070</v>
      </c>
      <c r="I22" s="62" t="s">
        <v>958</v>
      </c>
      <c r="J22" s="63" t="s">
        <v>1917</v>
      </c>
      <c r="K22" s="63" t="s">
        <v>961</v>
      </c>
      <c r="L22" s="64" t="s">
        <v>950</v>
      </c>
      <c r="M22" s="35">
        <v>4244.5</v>
      </c>
      <c r="N22" s="65">
        <f t="shared" si="0"/>
        <v>6.53</v>
      </c>
      <c r="O22" s="36">
        <v>4244.5</v>
      </c>
      <c r="P22" s="65">
        <v>3080</v>
      </c>
      <c r="Q22" s="65">
        <f t="shared" si="1"/>
        <v>677.6</v>
      </c>
      <c r="R22" s="65">
        <f t="shared" si="2"/>
        <v>3757.6</v>
      </c>
      <c r="S22" s="268"/>
      <c r="T22" s="64">
        <v>1</v>
      </c>
      <c r="U22" s="270"/>
      <c r="V22" s="38">
        <v>3531</v>
      </c>
      <c r="W22" s="38">
        <f t="shared" si="3"/>
        <v>776.82</v>
      </c>
      <c r="X22" s="38">
        <f t="shared" si="4"/>
        <v>4307.82</v>
      </c>
    </row>
    <row r="23" spans="1:24" ht="15" customHeight="1" x14ac:dyDescent="0.35">
      <c r="A23" s="56" t="s">
        <v>4347</v>
      </c>
      <c r="B23" s="2">
        <v>19</v>
      </c>
      <c r="C23" s="58">
        <v>10118091</v>
      </c>
      <c r="D23" s="58" t="s">
        <v>4231</v>
      </c>
      <c r="E23" s="59" t="s">
        <v>4291</v>
      </c>
      <c r="F23" s="66">
        <v>30</v>
      </c>
      <c r="G23" s="66" t="s">
        <v>52</v>
      </c>
      <c r="H23" s="67">
        <v>43040</v>
      </c>
      <c r="I23" s="62" t="s">
        <v>958</v>
      </c>
      <c r="J23" s="63" t="s">
        <v>1917</v>
      </c>
      <c r="K23" s="63" t="s">
        <v>961</v>
      </c>
      <c r="L23" s="64" t="s">
        <v>950</v>
      </c>
      <c r="M23" s="35">
        <v>27.6</v>
      </c>
      <c r="N23" s="65">
        <f t="shared" si="0"/>
        <v>0.92</v>
      </c>
      <c r="O23" s="36">
        <v>27.6</v>
      </c>
      <c r="P23" s="65">
        <v>20</v>
      </c>
      <c r="Q23" s="65">
        <f t="shared" si="1"/>
        <v>4.4000000000000004</v>
      </c>
      <c r="R23" s="65">
        <f t="shared" si="2"/>
        <v>24.4</v>
      </c>
      <c r="S23" s="268"/>
      <c r="T23" s="64">
        <v>1</v>
      </c>
      <c r="U23" s="270"/>
      <c r="V23" s="38">
        <v>23</v>
      </c>
      <c r="W23" s="38">
        <f t="shared" si="3"/>
        <v>5.0599999999999996</v>
      </c>
      <c r="X23" s="38">
        <f t="shared" si="4"/>
        <v>28.06</v>
      </c>
    </row>
    <row r="24" spans="1:24" ht="15" customHeight="1" x14ac:dyDescent="0.35">
      <c r="A24" s="56" t="s">
        <v>4348</v>
      </c>
      <c r="B24" s="2">
        <v>20</v>
      </c>
      <c r="C24" s="58">
        <v>102017384</v>
      </c>
      <c r="D24" s="58" t="s">
        <v>4232</v>
      </c>
      <c r="E24" s="59" t="s">
        <v>4291</v>
      </c>
      <c r="F24" s="66">
        <v>1</v>
      </c>
      <c r="G24" s="66" t="s">
        <v>0</v>
      </c>
      <c r="H24" s="67">
        <v>43040</v>
      </c>
      <c r="I24" s="62" t="s">
        <v>958</v>
      </c>
      <c r="J24" s="63" t="s">
        <v>1917</v>
      </c>
      <c r="K24" s="63" t="s">
        <v>961</v>
      </c>
      <c r="L24" s="64" t="s">
        <v>950</v>
      </c>
      <c r="M24" s="35">
        <v>79.05</v>
      </c>
      <c r="N24" s="65">
        <f t="shared" si="0"/>
        <v>79.05</v>
      </c>
      <c r="O24" s="36">
        <v>79.05</v>
      </c>
      <c r="P24" s="65">
        <v>60</v>
      </c>
      <c r="Q24" s="65">
        <f t="shared" si="1"/>
        <v>13.2</v>
      </c>
      <c r="R24" s="65">
        <f t="shared" si="2"/>
        <v>73.2</v>
      </c>
      <c r="S24" s="268"/>
      <c r="T24" s="64">
        <v>1</v>
      </c>
      <c r="U24" s="270"/>
      <c r="V24" s="38">
        <v>66</v>
      </c>
      <c r="W24" s="38">
        <f t="shared" si="3"/>
        <v>14.52</v>
      </c>
      <c r="X24" s="38">
        <f t="shared" si="4"/>
        <v>80.52</v>
      </c>
    </row>
    <row r="25" spans="1:24" ht="15" customHeight="1" x14ac:dyDescent="0.35">
      <c r="A25" s="56" t="s">
        <v>4349</v>
      </c>
      <c r="B25" s="2">
        <v>21</v>
      </c>
      <c r="C25" s="58">
        <v>102018971</v>
      </c>
      <c r="D25" s="58" t="s">
        <v>4233</v>
      </c>
      <c r="E25" s="59" t="s">
        <v>4291</v>
      </c>
      <c r="F25" s="66">
        <v>6</v>
      </c>
      <c r="G25" s="66" t="s">
        <v>0</v>
      </c>
      <c r="H25" s="67">
        <v>43040</v>
      </c>
      <c r="I25" s="62" t="s">
        <v>958</v>
      </c>
      <c r="J25" s="63" t="s">
        <v>1917</v>
      </c>
      <c r="K25" s="63" t="s">
        <v>961</v>
      </c>
      <c r="L25" s="64" t="s">
        <v>950</v>
      </c>
      <c r="M25" s="35">
        <v>4910.82</v>
      </c>
      <c r="N25" s="65">
        <f t="shared" si="0"/>
        <v>818.47</v>
      </c>
      <c r="O25" s="36">
        <v>4910.82</v>
      </c>
      <c r="P25" s="65">
        <v>3570</v>
      </c>
      <c r="Q25" s="65">
        <f t="shared" si="1"/>
        <v>785.4</v>
      </c>
      <c r="R25" s="65">
        <f t="shared" si="2"/>
        <v>4355.3999999999996</v>
      </c>
      <c r="S25" s="268"/>
      <c r="T25" s="64">
        <v>1</v>
      </c>
      <c r="U25" s="270"/>
      <c r="V25" s="38">
        <v>4096</v>
      </c>
      <c r="W25" s="38">
        <f t="shared" si="3"/>
        <v>901.12</v>
      </c>
      <c r="X25" s="38">
        <f t="shared" si="4"/>
        <v>4997.12</v>
      </c>
    </row>
    <row r="26" spans="1:24" ht="15" customHeight="1" x14ac:dyDescent="0.35">
      <c r="A26" s="56" t="s">
        <v>4350</v>
      </c>
      <c r="B26" s="2">
        <v>22</v>
      </c>
      <c r="C26" s="58">
        <v>102018758</v>
      </c>
      <c r="D26" s="58" t="s">
        <v>4234</v>
      </c>
      <c r="E26" s="59" t="s">
        <v>4291</v>
      </c>
      <c r="F26" s="66">
        <v>174</v>
      </c>
      <c r="G26" s="66" t="s">
        <v>0</v>
      </c>
      <c r="H26" s="67">
        <v>43040</v>
      </c>
      <c r="I26" s="62" t="s">
        <v>958</v>
      </c>
      <c r="J26" s="63" t="s">
        <v>1917</v>
      </c>
      <c r="K26" s="63" t="s">
        <v>961</v>
      </c>
      <c r="L26" s="64" t="s">
        <v>950</v>
      </c>
      <c r="M26" s="35">
        <v>88960.98</v>
      </c>
      <c r="N26" s="65">
        <f t="shared" si="0"/>
        <v>511.27</v>
      </c>
      <c r="O26" s="36">
        <v>88960.98</v>
      </c>
      <c r="P26" s="65">
        <v>64630</v>
      </c>
      <c r="Q26" s="65">
        <f t="shared" si="1"/>
        <v>14218.6</v>
      </c>
      <c r="R26" s="65">
        <f t="shared" si="2"/>
        <v>78848.600000000006</v>
      </c>
      <c r="S26" s="268"/>
      <c r="T26" s="64">
        <v>1</v>
      </c>
      <c r="U26" s="270"/>
      <c r="V26" s="38">
        <v>74199</v>
      </c>
      <c r="W26" s="38">
        <f t="shared" si="3"/>
        <v>16323.78</v>
      </c>
      <c r="X26" s="38">
        <f t="shared" si="4"/>
        <v>90522.78</v>
      </c>
    </row>
    <row r="27" spans="1:24" ht="15" customHeight="1" x14ac:dyDescent="0.35">
      <c r="A27" s="56" t="s">
        <v>4351</v>
      </c>
      <c r="B27" s="2">
        <v>23</v>
      </c>
      <c r="C27" s="58">
        <v>102017500</v>
      </c>
      <c r="D27" s="58" t="s">
        <v>4235</v>
      </c>
      <c r="E27" s="59" t="s">
        <v>4291</v>
      </c>
      <c r="F27" s="66">
        <v>16</v>
      </c>
      <c r="G27" s="66" t="s">
        <v>0</v>
      </c>
      <c r="H27" s="67">
        <v>43040</v>
      </c>
      <c r="I27" s="62" t="s">
        <v>958</v>
      </c>
      <c r="J27" s="63" t="s">
        <v>1917</v>
      </c>
      <c r="K27" s="63" t="s">
        <v>961</v>
      </c>
      <c r="L27" s="64" t="s">
        <v>950</v>
      </c>
      <c r="M27" s="35">
        <v>288</v>
      </c>
      <c r="N27" s="65">
        <f t="shared" si="0"/>
        <v>18</v>
      </c>
      <c r="O27" s="36">
        <v>288</v>
      </c>
      <c r="P27" s="65">
        <v>210</v>
      </c>
      <c r="Q27" s="65">
        <f t="shared" si="1"/>
        <v>46.2</v>
      </c>
      <c r="R27" s="65">
        <f t="shared" si="2"/>
        <v>256.2</v>
      </c>
      <c r="S27" s="268"/>
      <c r="T27" s="64">
        <v>1</v>
      </c>
      <c r="U27" s="270"/>
      <c r="V27" s="38">
        <v>240</v>
      </c>
      <c r="W27" s="38">
        <f t="shared" si="3"/>
        <v>52.8</v>
      </c>
      <c r="X27" s="38">
        <f t="shared" si="4"/>
        <v>292.8</v>
      </c>
    </row>
    <row r="28" spans="1:24" ht="15" customHeight="1" x14ac:dyDescent="0.35">
      <c r="A28" s="56" t="s">
        <v>4352</v>
      </c>
      <c r="B28" s="2">
        <v>24</v>
      </c>
      <c r="C28" s="58">
        <v>102018856</v>
      </c>
      <c r="D28" s="58" t="s">
        <v>4236</v>
      </c>
      <c r="E28" s="59" t="s">
        <v>4291</v>
      </c>
      <c r="F28" s="66">
        <v>6</v>
      </c>
      <c r="G28" s="66" t="s">
        <v>0</v>
      </c>
      <c r="H28" s="67">
        <v>43070</v>
      </c>
      <c r="I28" s="62" t="s">
        <v>958</v>
      </c>
      <c r="J28" s="63" t="s">
        <v>1917</v>
      </c>
      <c r="K28" s="63" t="s">
        <v>961</v>
      </c>
      <c r="L28" s="64" t="s">
        <v>950</v>
      </c>
      <c r="M28" s="35">
        <v>206.82</v>
      </c>
      <c r="N28" s="65">
        <f t="shared" si="0"/>
        <v>34.47</v>
      </c>
      <c r="O28" s="36">
        <v>206.82</v>
      </c>
      <c r="P28" s="65">
        <v>150</v>
      </c>
      <c r="Q28" s="65">
        <f t="shared" si="1"/>
        <v>33</v>
      </c>
      <c r="R28" s="65">
        <f t="shared" si="2"/>
        <v>183</v>
      </c>
      <c r="S28" s="268"/>
      <c r="T28" s="64">
        <v>1</v>
      </c>
      <c r="U28" s="270"/>
      <c r="V28" s="38">
        <v>172</v>
      </c>
      <c r="W28" s="38">
        <f t="shared" si="3"/>
        <v>37.840000000000003</v>
      </c>
      <c r="X28" s="38">
        <f t="shared" si="4"/>
        <v>209.84</v>
      </c>
    </row>
    <row r="29" spans="1:24" ht="15" customHeight="1" x14ac:dyDescent="0.35">
      <c r="A29" s="56" t="s">
        <v>4353</v>
      </c>
      <c r="B29" s="2">
        <v>25</v>
      </c>
      <c r="C29" s="58">
        <v>102018868</v>
      </c>
      <c r="D29" s="58" t="s">
        <v>4237</v>
      </c>
      <c r="E29" s="59" t="s">
        <v>4291</v>
      </c>
      <c r="F29" s="66">
        <v>3</v>
      </c>
      <c r="G29" s="66" t="s">
        <v>0</v>
      </c>
      <c r="H29" s="67">
        <v>43070</v>
      </c>
      <c r="I29" s="62" t="s">
        <v>958</v>
      </c>
      <c r="J29" s="63" t="s">
        <v>1917</v>
      </c>
      <c r="K29" s="63" t="s">
        <v>961</v>
      </c>
      <c r="L29" s="64" t="s">
        <v>950</v>
      </c>
      <c r="M29" s="35">
        <v>2931.18</v>
      </c>
      <c r="N29" s="65">
        <f t="shared" si="0"/>
        <v>977.06</v>
      </c>
      <c r="O29" s="36">
        <v>2931.18</v>
      </c>
      <c r="P29" s="65">
        <v>2120</v>
      </c>
      <c r="Q29" s="65">
        <f t="shared" si="1"/>
        <v>466.4</v>
      </c>
      <c r="R29" s="65">
        <f t="shared" si="2"/>
        <v>2586.4</v>
      </c>
      <c r="S29" s="268"/>
      <c r="T29" s="64">
        <v>1</v>
      </c>
      <c r="U29" s="270"/>
      <c r="V29" s="38">
        <v>2438</v>
      </c>
      <c r="W29" s="38">
        <f t="shared" si="3"/>
        <v>536.36</v>
      </c>
      <c r="X29" s="38">
        <f t="shared" si="4"/>
        <v>2974.36</v>
      </c>
    </row>
    <row r="30" spans="1:24" ht="52.5" customHeight="1" x14ac:dyDescent="0.35">
      <c r="A30" s="56" t="s">
        <v>4354</v>
      </c>
      <c r="B30" s="2">
        <v>26</v>
      </c>
      <c r="C30" s="58">
        <v>102012950</v>
      </c>
      <c r="D30" s="58" t="s">
        <v>4088</v>
      </c>
      <c r="E30" s="59" t="s">
        <v>4291</v>
      </c>
      <c r="F30" s="66">
        <v>1</v>
      </c>
      <c r="G30" s="66" t="s">
        <v>0</v>
      </c>
      <c r="H30" s="67">
        <v>43040</v>
      </c>
      <c r="I30" s="62" t="s">
        <v>958</v>
      </c>
      <c r="J30" s="68" t="s">
        <v>4297</v>
      </c>
      <c r="K30" s="63" t="s">
        <v>961</v>
      </c>
      <c r="L30" s="64" t="s">
        <v>950</v>
      </c>
      <c r="M30" s="35">
        <v>118537.9</v>
      </c>
      <c r="N30" s="65">
        <f t="shared" si="0"/>
        <v>118537.9</v>
      </c>
      <c r="O30" s="36">
        <v>118537.9</v>
      </c>
      <c r="P30" s="65">
        <v>86110</v>
      </c>
      <c r="Q30" s="65">
        <f t="shared" si="1"/>
        <v>18944.2</v>
      </c>
      <c r="R30" s="65">
        <f t="shared" si="2"/>
        <v>105054.2</v>
      </c>
      <c r="S30" s="268"/>
      <c r="T30" s="64">
        <v>1</v>
      </c>
      <c r="U30" s="270"/>
      <c r="V30" s="38">
        <v>98868</v>
      </c>
      <c r="W30" s="38">
        <f t="shared" si="3"/>
        <v>21750.959999999999</v>
      </c>
      <c r="X30" s="38">
        <f t="shared" si="4"/>
        <v>120618.96</v>
      </c>
    </row>
    <row r="31" spans="1:24" ht="59.15" customHeight="1" x14ac:dyDescent="0.35">
      <c r="A31" s="56" t="s">
        <v>4355</v>
      </c>
      <c r="B31" s="2">
        <v>27</v>
      </c>
      <c r="C31" s="58">
        <v>102011831</v>
      </c>
      <c r="D31" s="58" t="s">
        <v>4089</v>
      </c>
      <c r="E31" s="59" t="s">
        <v>4291</v>
      </c>
      <c r="F31" s="66">
        <v>1</v>
      </c>
      <c r="G31" s="66" t="s">
        <v>0</v>
      </c>
      <c r="H31" s="67">
        <v>43070</v>
      </c>
      <c r="I31" s="62" t="s">
        <v>958</v>
      </c>
      <c r="J31" s="68" t="s">
        <v>4296</v>
      </c>
      <c r="K31" s="63" t="s">
        <v>961</v>
      </c>
      <c r="L31" s="64" t="s">
        <v>950</v>
      </c>
      <c r="M31" s="35">
        <v>6625.17</v>
      </c>
      <c r="N31" s="65">
        <f t="shared" si="0"/>
        <v>6625.17</v>
      </c>
      <c r="O31" s="36">
        <v>6625.17</v>
      </c>
      <c r="P31" s="65">
        <v>4800</v>
      </c>
      <c r="Q31" s="65">
        <f t="shared" si="1"/>
        <v>1056</v>
      </c>
      <c r="R31" s="65">
        <f t="shared" si="2"/>
        <v>5856</v>
      </c>
      <c r="S31" s="268"/>
      <c r="T31" s="64">
        <v>1</v>
      </c>
      <c r="U31" s="270"/>
      <c r="V31" s="38">
        <v>5511</v>
      </c>
      <c r="W31" s="38">
        <f t="shared" si="3"/>
        <v>1212.42</v>
      </c>
      <c r="X31" s="38">
        <f t="shared" si="4"/>
        <v>6723.42</v>
      </c>
    </row>
    <row r="32" spans="1:24" ht="18.649999999999999" customHeight="1" x14ac:dyDescent="0.35">
      <c r="A32" s="56" t="s">
        <v>4356</v>
      </c>
      <c r="B32" s="2">
        <v>28</v>
      </c>
      <c r="C32" s="58">
        <v>102020001</v>
      </c>
      <c r="D32" s="58" t="s">
        <v>4238</v>
      </c>
      <c r="E32" s="59" t="s">
        <v>4291</v>
      </c>
      <c r="F32" s="66">
        <v>1</v>
      </c>
      <c r="G32" s="66" t="s">
        <v>0</v>
      </c>
      <c r="H32" s="67">
        <v>43040</v>
      </c>
      <c r="I32" s="62" t="s">
        <v>958</v>
      </c>
      <c r="J32" s="63" t="s">
        <v>4295</v>
      </c>
      <c r="K32" s="63" t="s">
        <v>961</v>
      </c>
      <c r="L32" s="64" t="s">
        <v>950</v>
      </c>
      <c r="M32" s="35">
        <v>6610.38</v>
      </c>
      <c r="N32" s="65">
        <f t="shared" si="0"/>
        <v>6610.38</v>
      </c>
      <c r="O32" s="36">
        <v>6610.38</v>
      </c>
      <c r="P32" s="65">
        <v>4800</v>
      </c>
      <c r="Q32" s="65">
        <f t="shared" si="1"/>
        <v>1056</v>
      </c>
      <c r="R32" s="65">
        <f t="shared" si="2"/>
        <v>5856</v>
      </c>
      <c r="S32" s="268"/>
      <c r="T32" s="64">
        <v>1</v>
      </c>
      <c r="U32" s="270"/>
      <c r="V32" s="38">
        <v>5513</v>
      </c>
      <c r="W32" s="38">
        <f t="shared" si="3"/>
        <v>1212.8599999999999</v>
      </c>
      <c r="X32" s="38">
        <f t="shared" si="4"/>
        <v>6725.86</v>
      </c>
    </row>
    <row r="33" spans="1:24" ht="60" customHeight="1" x14ac:dyDescent="0.35">
      <c r="A33" s="56" t="s">
        <v>4357</v>
      </c>
      <c r="B33" s="2">
        <v>29</v>
      </c>
      <c r="C33" s="58">
        <v>102018883</v>
      </c>
      <c r="D33" s="58" t="s">
        <v>4239</v>
      </c>
      <c r="E33" s="59" t="s">
        <v>4291</v>
      </c>
      <c r="F33" s="66">
        <v>3</v>
      </c>
      <c r="G33" s="66" t="s">
        <v>0</v>
      </c>
      <c r="H33" s="67">
        <v>43040</v>
      </c>
      <c r="I33" s="62" t="s">
        <v>958</v>
      </c>
      <c r="J33" s="68" t="s">
        <v>4294</v>
      </c>
      <c r="K33" s="63" t="s">
        <v>961</v>
      </c>
      <c r="L33" s="64" t="s">
        <v>950</v>
      </c>
      <c r="M33" s="35">
        <v>1643.67</v>
      </c>
      <c r="N33" s="65">
        <f t="shared" si="0"/>
        <v>547.89</v>
      </c>
      <c r="O33" s="36">
        <v>1643.67</v>
      </c>
      <c r="P33" s="65">
        <v>1190</v>
      </c>
      <c r="Q33" s="65">
        <f t="shared" si="1"/>
        <v>261.8</v>
      </c>
      <c r="R33" s="65">
        <f t="shared" si="2"/>
        <v>1451.8</v>
      </c>
      <c r="S33" s="268"/>
      <c r="T33" s="64">
        <v>1</v>
      </c>
      <c r="U33" s="270"/>
      <c r="V33" s="38">
        <v>1371</v>
      </c>
      <c r="W33" s="38">
        <f t="shared" si="3"/>
        <v>301.62</v>
      </c>
      <c r="X33" s="38">
        <f t="shared" si="4"/>
        <v>1672.62</v>
      </c>
    </row>
    <row r="34" spans="1:24" ht="56.15" customHeight="1" x14ac:dyDescent="0.35">
      <c r="A34" s="56" t="s">
        <v>4358</v>
      </c>
      <c r="B34" s="2">
        <v>30</v>
      </c>
      <c r="C34" s="58">
        <v>102018759</v>
      </c>
      <c r="D34" s="58" t="s">
        <v>4240</v>
      </c>
      <c r="E34" s="59" t="s">
        <v>4291</v>
      </c>
      <c r="F34" s="66">
        <v>65</v>
      </c>
      <c r="G34" s="66" t="s">
        <v>0</v>
      </c>
      <c r="H34" s="67">
        <v>43040</v>
      </c>
      <c r="I34" s="62" t="s">
        <v>958</v>
      </c>
      <c r="J34" s="63" t="s">
        <v>4293</v>
      </c>
      <c r="K34" s="63" t="s">
        <v>961</v>
      </c>
      <c r="L34" s="64" t="s">
        <v>950</v>
      </c>
      <c r="M34" s="35">
        <v>50601.85</v>
      </c>
      <c r="N34" s="65">
        <f t="shared" si="0"/>
        <v>778.49</v>
      </c>
      <c r="O34" s="36">
        <v>50601.85</v>
      </c>
      <c r="P34" s="65">
        <v>36760</v>
      </c>
      <c r="Q34" s="65">
        <f t="shared" si="1"/>
        <v>8087.2</v>
      </c>
      <c r="R34" s="65">
        <f t="shared" si="2"/>
        <v>44847.199999999997</v>
      </c>
      <c r="S34" s="268"/>
      <c r="T34" s="64">
        <v>1</v>
      </c>
      <c r="U34" s="270"/>
      <c r="V34" s="38">
        <v>42205</v>
      </c>
      <c r="W34" s="38">
        <f t="shared" si="3"/>
        <v>9285.1</v>
      </c>
      <c r="X34" s="38">
        <f t="shared" si="4"/>
        <v>51490.1</v>
      </c>
    </row>
    <row r="35" spans="1:24" ht="15" customHeight="1" x14ac:dyDescent="0.35">
      <c r="A35" s="56" t="s">
        <v>4359</v>
      </c>
      <c r="B35" s="2">
        <v>31</v>
      </c>
      <c r="C35" s="58">
        <v>102017533</v>
      </c>
      <c r="D35" s="58" t="s">
        <v>4241</v>
      </c>
      <c r="E35" s="59" t="s">
        <v>4291</v>
      </c>
      <c r="F35" s="66">
        <v>2</v>
      </c>
      <c r="G35" s="66" t="s">
        <v>0</v>
      </c>
      <c r="H35" s="67">
        <v>43070</v>
      </c>
      <c r="I35" s="62" t="s">
        <v>958</v>
      </c>
      <c r="J35" s="63" t="s">
        <v>1917</v>
      </c>
      <c r="K35" s="63" t="s">
        <v>961</v>
      </c>
      <c r="L35" s="64" t="s">
        <v>950</v>
      </c>
      <c r="M35" s="35">
        <v>538.20000000000005</v>
      </c>
      <c r="N35" s="65">
        <f t="shared" si="0"/>
        <v>269.10000000000002</v>
      </c>
      <c r="O35" s="36">
        <v>538.20000000000005</v>
      </c>
      <c r="P35" s="65">
        <v>390</v>
      </c>
      <c r="Q35" s="65">
        <f t="shared" si="1"/>
        <v>85.8</v>
      </c>
      <c r="R35" s="65">
        <f t="shared" si="2"/>
        <v>475.8</v>
      </c>
      <c r="S35" s="268"/>
      <c r="T35" s="64">
        <v>1</v>
      </c>
      <c r="U35" s="270"/>
      <c r="V35" s="38">
        <v>448</v>
      </c>
      <c r="W35" s="38">
        <f t="shared" si="3"/>
        <v>98.56</v>
      </c>
      <c r="X35" s="38">
        <f t="shared" si="4"/>
        <v>546.55999999999995</v>
      </c>
    </row>
    <row r="36" spans="1:24" ht="15" customHeight="1" x14ac:dyDescent="0.35">
      <c r="A36" s="56" t="s">
        <v>4360</v>
      </c>
      <c r="B36" s="2">
        <v>32</v>
      </c>
      <c r="C36" s="58">
        <v>10111330</v>
      </c>
      <c r="D36" s="58" t="s">
        <v>4242</v>
      </c>
      <c r="E36" s="59" t="s">
        <v>4291</v>
      </c>
      <c r="F36" s="66">
        <v>880</v>
      </c>
      <c r="G36" s="66" t="s">
        <v>17</v>
      </c>
      <c r="H36" s="67">
        <v>43040</v>
      </c>
      <c r="I36" s="62" t="s">
        <v>958</v>
      </c>
      <c r="J36" s="63" t="s">
        <v>1917</v>
      </c>
      <c r="K36" s="63" t="s">
        <v>961</v>
      </c>
      <c r="L36" s="64" t="s">
        <v>950</v>
      </c>
      <c r="M36" s="35">
        <v>82033.600000000006</v>
      </c>
      <c r="N36" s="65">
        <f t="shared" si="0"/>
        <v>93.22</v>
      </c>
      <c r="O36" s="36">
        <v>82033.600000000006</v>
      </c>
      <c r="P36" s="65">
        <v>59590</v>
      </c>
      <c r="Q36" s="65">
        <f t="shared" si="1"/>
        <v>13109.8</v>
      </c>
      <c r="R36" s="65">
        <f t="shared" si="2"/>
        <v>72699.8</v>
      </c>
      <c r="S36" s="268"/>
      <c r="T36" s="64">
        <v>1</v>
      </c>
      <c r="U36" s="270"/>
      <c r="V36" s="38">
        <v>68421</v>
      </c>
      <c r="W36" s="38">
        <f t="shared" si="3"/>
        <v>15052.62</v>
      </c>
      <c r="X36" s="38">
        <f t="shared" si="4"/>
        <v>83473.62</v>
      </c>
    </row>
    <row r="37" spans="1:24" ht="15" customHeight="1" x14ac:dyDescent="0.35">
      <c r="A37" s="56" t="s">
        <v>4361</v>
      </c>
      <c r="B37" s="2">
        <v>33</v>
      </c>
      <c r="C37" s="58">
        <v>102011702</v>
      </c>
      <c r="D37" s="58" t="s">
        <v>4243</v>
      </c>
      <c r="E37" s="59" t="s">
        <v>4291</v>
      </c>
      <c r="F37" s="66">
        <v>100</v>
      </c>
      <c r="G37" s="66" t="s">
        <v>0</v>
      </c>
      <c r="H37" s="67">
        <v>43040</v>
      </c>
      <c r="I37" s="62" t="s">
        <v>958</v>
      </c>
      <c r="J37" s="63" t="s">
        <v>1917</v>
      </c>
      <c r="K37" s="63" t="s">
        <v>961</v>
      </c>
      <c r="L37" s="64" t="s">
        <v>950</v>
      </c>
      <c r="M37" s="35">
        <v>2644</v>
      </c>
      <c r="N37" s="65">
        <f t="shared" si="0"/>
        <v>26.44</v>
      </c>
      <c r="O37" s="36">
        <v>2644</v>
      </c>
      <c r="P37" s="65">
        <v>1920</v>
      </c>
      <c r="Q37" s="65">
        <f t="shared" si="1"/>
        <v>422.4</v>
      </c>
      <c r="R37" s="65">
        <f t="shared" si="2"/>
        <v>2342.4</v>
      </c>
      <c r="S37" s="268"/>
      <c r="T37" s="64">
        <v>1</v>
      </c>
      <c r="U37" s="270"/>
      <c r="V37" s="38">
        <v>2205</v>
      </c>
      <c r="W37" s="38">
        <f t="shared" si="3"/>
        <v>485.1</v>
      </c>
      <c r="X37" s="38">
        <f t="shared" si="4"/>
        <v>2690.1</v>
      </c>
    </row>
    <row r="38" spans="1:24" ht="15" customHeight="1" x14ac:dyDescent="0.35">
      <c r="A38" s="56" t="s">
        <v>4362</v>
      </c>
      <c r="B38" s="2">
        <v>34</v>
      </c>
      <c r="C38" s="58">
        <v>102019396</v>
      </c>
      <c r="D38" s="58" t="s">
        <v>4244</v>
      </c>
      <c r="E38" s="59" t="s">
        <v>4291</v>
      </c>
      <c r="F38" s="66">
        <v>50</v>
      </c>
      <c r="G38" s="66" t="s">
        <v>0</v>
      </c>
      <c r="H38" s="67">
        <v>43040</v>
      </c>
      <c r="I38" s="62" t="s">
        <v>958</v>
      </c>
      <c r="J38" s="63" t="s">
        <v>1917</v>
      </c>
      <c r="K38" s="63" t="s">
        <v>961</v>
      </c>
      <c r="L38" s="64" t="s">
        <v>950</v>
      </c>
      <c r="M38" s="35">
        <v>1794.5</v>
      </c>
      <c r="N38" s="65">
        <f t="shared" si="0"/>
        <v>35.89</v>
      </c>
      <c r="O38" s="36">
        <v>1794.5</v>
      </c>
      <c r="P38" s="65">
        <v>1300</v>
      </c>
      <c r="Q38" s="65">
        <f t="shared" si="1"/>
        <v>286</v>
      </c>
      <c r="R38" s="65">
        <f t="shared" si="2"/>
        <v>1586</v>
      </c>
      <c r="S38" s="268"/>
      <c r="T38" s="64">
        <v>1</v>
      </c>
      <c r="U38" s="270"/>
      <c r="V38" s="38">
        <v>1497</v>
      </c>
      <c r="W38" s="38">
        <f t="shared" si="3"/>
        <v>329.34</v>
      </c>
      <c r="X38" s="38">
        <f t="shared" si="4"/>
        <v>1826.34</v>
      </c>
    </row>
    <row r="39" spans="1:24" ht="15" customHeight="1" x14ac:dyDescent="0.35">
      <c r="A39" s="56" t="s">
        <v>4363</v>
      </c>
      <c r="B39" s="2">
        <v>35</v>
      </c>
      <c r="C39" s="58">
        <v>102019429</v>
      </c>
      <c r="D39" s="58" t="s">
        <v>4245</v>
      </c>
      <c r="E39" s="59" t="s">
        <v>4291</v>
      </c>
      <c r="F39" s="66">
        <v>178</v>
      </c>
      <c r="G39" s="66" t="s">
        <v>0</v>
      </c>
      <c r="H39" s="67">
        <v>43040</v>
      </c>
      <c r="I39" s="62" t="s">
        <v>958</v>
      </c>
      <c r="J39" s="63" t="s">
        <v>1917</v>
      </c>
      <c r="K39" s="63" t="s">
        <v>961</v>
      </c>
      <c r="L39" s="64" t="s">
        <v>950</v>
      </c>
      <c r="M39" s="35">
        <v>8691.74</v>
      </c>
      <c r="N39" s="65">
        <f t="shared" si="0"/>
        <v>48.83</v>
      </c>
      <c r="O39" s="36">
        <v>8691.74</v>
      </c>
      <c r="P39" s="65">
        <v>6310</v>
      </c>
      <c r="Q39" s="65">
        <f t="shared" si="1"/>
        <v>1388.2</v>
      </c>
      <c r="R39" s="65">
        <f t="shared" si="2"/>
        <v>7698.2</v>
      </c>
      <c r="S39" s="268"/>
      <c r="T39" s="64">
        <v>1</v>
      </c>
      <c r="U39" s="270"/>
      <c r="V39" s="38">
        <v>7249</v>
      </c>
      <c r="W39" s="38">
        <f t="shared" si="3"/>
        <v>1594.78</v>
      </c>
      <c r="X39" s="38">
        <f t="shared" si="4"/>
        <v>8843.7800000000007</v>
      </c>
    </row>
    <row r="40" spans="1:24" ht="15" customHeight="1" x14ac:dyDescent="0.35">
      <c r="A40" s="56" t="s">
        <v>4364</v>
      </c>
      <c r="B40" s="2">
        <v>36</v>
      </c>
      <c r="C40" s="58">
        <v>102019395</v>
      </c>
      <c r="D40" s="58" t="s">
        <v>4246</v>
      </c>
      <c r="E40" s="59" t="s">
        <v>4291</v>
      </c>
      <c r="F40" s="66">
        <v>114</v>
      </c>
      <c r="G40" s="66" t="s">
        <v>0</v>
      </c>
      <c r="H40" s="67">
        <v>43040</v>
      </c>
      <c r="I40" s="62" t="s">
        <v>958</v>
      </c>
      <c r="J40" s="63" t="s">
        <v>1917</v>
      </c>
      <c r="K40" s="63" t="s">
        <v>961</v>
      </c>
      <c r="L40" s="64" t="s">
        <v>950</v>
      </c>
      <c r="M40" s="35">
        <v>6868.5</v>
      </c>
      <c r="N40" s="65">
        <f t="shared" si="0"/>
        <v>60.25</v>
      </c>
      <c r="O40" s="36">
        <v>6868.5</v>
      </c>
      <c r="P40" s="65">
        <v>4990</v>
      </c>
      <c r="Q40" s="65">
        <f t="shared" si="1"/>
        <v>1097.8</v>
      </c>
      <c r="R40" s="65">
        <f t="shared" si="2"/>
        <v>6087.8</v>
      </c>
      <c r="S40" s="268"/>
      <c r="T40" s="64">
        <v>1</v>
      </c>
      <c r="U40" s="270"/>
      <c r="V40" s="38">
        <v>5729</v>
      </c>
      <c r="W40" s="38">
        <f t="shared" si="3"/>
        <v>1260.3800000000001</v>
      </c>
      <c r="X40" s="38">
        <f t="shared" si="4"/>
        <v>6989.38</v>
      </c>
    </row>
    <row r="41" spans="1:24" ht="26.15" customHeight="1" x14ac:dyDescent="0.35">
      <c r="A41" s="56" t="s">
        <v>4365</v>
      </c>
      <c r="B41" s="2">
        <v>37</v>
      </c>
      <c r="C41" s="58">
        <v>102011746</v>
      </c>
      <c r="D41" s="58" t="s">
        <v>4247</v>
      </c>
      <c r="E41" s="59" t="s">
        <v>4291</v>
      </c>
      <c r="F41" s="60">
        <v>1</v>
      </c>
      <c r="G41" s="60" t="s">
        <v>0</v>
      </c>
      <c r="H41" s="61">
        <v>42527</v>
      </c>
      <c r="I41" s="62" t="s">
        <v>958</v>
      </c>
      <c r="J41" s="63" t="s">
        <v>4292</v>
      </c>
      <c r="K41" s="63" t="s">
        <v>961</v>
      </c>
      <c r="L41" s="64" t="s">
        <v>950</v>
      </c>
      <c r="M41" s="35">
        <v>178644.25</v>
      </c>
      <c r="N41" s="65">
        <f t="shared" si="0"/>
        <v>178644.25</v>
      </c>
      <c r="O41" s="36">
        <v>178644.25</v>
      </c>
      <c r="P41" s="65">
        <v>134170</v>
      </c>
      <c r="Q41" s="65">
        <f t="shared" si="1"/>
        <v>29517.4</v>
      </c>
      <c r="R41" s="65">
        <f t="shared" si="2"/>
        <v>163687.4</v>
      </c>
      <c r="S41" s="268"/>
      <c r="T41" s="64">
        <v>1</v>
      </c>
      <c r="U41" s="270"/>
      <c r="V41" s="38">
        <v>154038</v>
      </c>
      <c r="W41" s="38">
        <f t="shared" si="3"/>
        <v>33888.36</v>
      </c>
      <c r="X41" s="38">
        <f t="shared" si="4"/>
        <v>187926.36</v>
      </c>
    </row>
    <row r="42" spans="1:24" ht="15" customHeight="1" x14ac:dyDescent="0.35">
      <c r="A42" s="56" t="s">
        <v>4366</v>
      </c>
      <c r="B42" s="2">
        <v>38</v>
      </c>
      <c r="C42" s="58">
        <v>102017498</v>
      </c>
      <c r="D42" s="58" t="s">
        <v>4248</v>
      </c>
      <c r="E42" s="59" t="s">
        <v>4291</v>
      </c>
      <c r="F42" s="66">
        <v>16</v>
      </c>
      <c r="G42" s="66" t="s">
        <v>0</v>
      </c>
      <c r="H42" s="67">
        <v>43070</v>
      </c>
      <c r="I42" s="62" t="s">
        <v>958</v>
      </c>
      <c r="J42" s="63" t="s">
        <v>1917</v>
      </c>
      <c r="K42" s="63" t="s">
        <v>961</v>
      </c>
      <c r="L42" s="64" t="s">
        <v>950</v>
      </c>
      <c r="M42" s="35">
        <v>201.76</v>
      </c>
      <c r="N42" s="65">
        <f t="shared" si="0"/>
        <v>12.61</v>
      </c>
      <c r="O42" s="36">
        <v>201.76</v>
      </c>
      <c r="P42" s="65">
        <v>150</v>
      </c>
      <c r="Q42" s="65">
        <f t="shared" si="1"/>
        <v>33</v>
      </c>
      <c r="R42" s="65">
        <f t="shared" si="2"/>
        <v>183</v>
      </c>
      <c r="S42" s="268"/>
      <c r="T42" s="64">
        <v>1</v>
      </c>
      <c r="U42" s="270"/>
      <c r="V42" s="38">
        <v>168</v>
      </c>
      <c r="W42" s="38">
        <f t="shared" si="3"/>
        <v>36.96</v>
      </c>
      <c r="X42" s="38">
        <f t="shared" si="4"/>
        <v>204.96</v>
      </c>
    </row>
    <row r="43" spans="1:24" ht="15" customHeight="1" x14ac:dyDescent="0.35">
      <c r="A43" s="56" t="s">
        <v>4367</v>
      </c>
      <c r="B43" s="2">
        <v>39</v>
      </c>
      <c r="C43" s="58">
        <v>102017486</v>
      </c>
      <c r="D43" s="58" t="s">
        <v>4249</v>
      </c>
      <c r="E43" s="59" t="s">
        <v>4291</v>
      </c>
      <c r="F43" s="66">
        <v>2</v>
      </c>
      <c r="G43" s="66" t="s">
        <v>0</v>
      </c>
      <c r="H43" s="67">
        <v>43040</v>
      </c>
      <c r="I43" s="62" t="s">
        <v>958</v>
      </c>
      <c r="J43" s="63" t="s">
        <v>1917</v>
      </c>
      <c r="K43" s="63" t="s">
        <v>961</v>
      </c>
      <c r="L43" s="64" t="s">
        <v>950</v>
      </c>
      <c r="M43" s="35">
        <v>236.14</v>
      </c>
      <c r="N43" s="65">
        <f t="shared" si="0"/>
        <v>118.07</v>
      </c>
      <c r="O43" s="36">
        <v>236.14</v>
      </c>
      <c r="P43" s="65">
        <v>170</v>
      </c>
      <c r="Q43" s="65">
        <f t="shared" si="1"/>
        <v>37.4</v>
      </c>
      <c r="R43" s="65">
        <f t="shared" si="2"/>
        <v>207.4</v>
      </c>
      <c r="S43" s="268"/>
      <c r="T43" s="64">
        <v>1</v>
      </c>
      <c r="U43" s="270"/>
      <c r="V43" s="38">
        <v>197</v>
      </c>
      <c r="W43" s="38">
        <f t="shared" si="3"/>
        <v>43.34</v>
      </c>
      <c r="X43" s="38">
        <f t="shared" si="4"/>
        <v>240.34</v>
      </c>
    </row>
    <row r="44" spans="1:24" ht="15" customHeight="1" x14ac:dyDescent="0.35">
      <c r="A44" s="56" t="s">
        <v>4368</v>
      </c>
      <c r="B44" s="2">
        <v>40</v>
      </c>
      <c r="C44" s="58">
        <v>102018941</v>
      </c>
      <c r="D44" s="58" t="s">
        <v>4250</v>
      </c>
      <c r="E44" s="59" t="s">
        <v>4291</v>
      </c>
      <c r="F44" s="66">
        <v>14</v>
      </c>
      <c r="G44" s="66" t="s">
        <v>0</v>
      </c>
      <c r="H44" s="67">
        <v>43040</v>
      </c>
      <c r="I44" s="62" t="s">
        <v>958</v>
      </c>
      <c r="J44" s="63" t="s">
        <v>1917</v>
      </c>
      <c r="K44" s="63" t="s">
        <v>961</v>
      </c>
      <c r="L44" s="64" t="s">
        <v>950</v>
      </c>
      <c r="M44" s="35">
        <v>1658.86</v>
      </c>
      <c r="N44" s="65">
        <f t="shared" si="0"/>
        <v>118.49</v>
      </c>
      <c r="O44" s="36">
        <v>1658.86</v>
      </c>
      <c r="P44" s="65">
        <v>1210</v>
      </c>
      <c r="Q44" s="65">
        <f t="shared" si="1"/>
        <v>266.2</v>
      </c>
      <c r="R44" s="65">
        <f t="shared" si="2"/>
        <v>1476.2</v>
      </c>
      <c r="S44" s="268"/>
      <c r="T44" s="64">
        <v>1</v>
      </c>
      <c r="U44" s="270"/>
      <c r="V44" s="38">
        <v>1384</v>
      </c>
      <c r="W44" s="38">
        <f t="shared" si="3"/>
        <v>304.48</v>
      </c>
      <c r="X44" s="38">
        <f t="shared" si="4"/>
        <v>1688.48</v>
      </c>
    </row>
    <row r="45" spans="1:24" ht="15" customHeight="1" x14ac:dyDescent="0.35">
      <c r="A45" s="56" t="s">
        <v>4369</v>
      </c>
      <c r="B45" s="2">
        <v>41</v>
      </c>
      <c r="C45" s="58">
        <v>102018925</v>
      </c>
      <c r="D45" s="58" t="s">
        <v>4251</v>
      </c>
      <c r="E45" s="59" t="s">
        <v>4291</v>
      </c>
      <c r="F45" s="66">
        <v>8</v>
      </c>
      <c r="G45" s="66" t="s">
        <v>0</v>
      </c>
      <c r="H45" s="67">
        <v>43040</v>
      </c>
      <c r="I45" s="62" t="s">
        <v>958</v>
      </c>
      <c r="J45" s="63" t="s">
        <v>1917</v>
      </c>
      <c r="K45" s="63" t="s">
        <v>961</v>
      </c>
      <c r="L45" s="64" t="s">
        <v>950</v>
      </c>
      <c r="M45" s="35">
        <v>176.96</v>
      </c>
      <c r="N45" s="65">
        <f t="shared" si="0"/>
        <v>22.12</v>
      </c>
      <c r="O45" s="36">
        <v>176.96</v>
      </c>
      <c r="P45" s="65">
        <v>130</v>
      </c>
      <c r="Q45" s="65">
        <f t="shared" si="1"/>
        <v>28.6</v>
      </c>
      <c r="R45" s="65">
        <f t="shared" si="2"/>
        <v>158.6</v>
      </c>
      <c r="S45" s="268"/>
      <c r="T45" s="64">
        <v>1</v>
      </c>
      <c r="U45" s="270"/>
      <c r="V45" s="38">
        <v>148</v>
      </c>
      <c r="W45" s="38">
        <f t="shared" si="3"/>
        <v>32.56</v>
      </c>
      <c r="X45" s="38">
        <f t="shared" si="4"/>
        <v>180.56</v>
      </c>
    </row>
    <row r="46" spans="1:24" ht="15" customHeight="1" x14ac:dyDescent="0.35">
      <c r="A46" s="56" t="s">
        <v>4370</v>
      </c>
      <c r="B46" s="2">
        <v>42</v>
      </c>
      <c r="C46" s="58">
        <v>102018834</v>
      </c>
      <c r="D46" s="58" t="s">
        <v>4252</v>
      </c>
      <c r="E46" s="59" t="s">
        <v>4291</v>
      </c>
      <c r="F46" s="66">
        <v>3</v>
      </c>
      <c r="G46" s="66" t="s">
        <v>0</v>
      </c>
      <c r="H46" s="67">
        <v>43040</v>
      </c>
      <c r="I46" s="62" t="s">
        <v>958</v>
      </c>
      <c r="J46" s="63" t="s">
        <v>1917</v>
      </c>
      <c r="K46" s="63" t="s">
        <v>961</v>
      </c>
      <c r="L46" s="64" t="s">
        <v>950</v>
      </c>
      <c r="M46" s="35">
        <v>347.49</v>
      </c>
      <c r="N46" s="65">
        <f t="shared" si="0"/>
        <v>115.83</v>
      </c>
      <c r="O46" s="36">
        <v>347.49</v>
      </c>
      <c r="P46" s="65">
        <v>250</v>
      </c>
      <c r="Q46" s="65">
        <f t="shared" si="1"/>
        <v>55</v>
      </c>
      <c r="R46" s="65">
        <f t="shared" si="2"/>
        <v>305</v>
      </c>
      <c r="S46" s="268"/>
      <c r="T46" s="64">
        <v>1</v>
      </c>
      <c r="U46" s="270"/>
      <c r="V46" s="38">
        <v>290</v>
      </c>
      <c r="W46" s="38">
        <f t="shared" si="3"/>
        <v>63.8</v>
      </c>
      <c r="X46" s="38">
        <f t="shared" si="4"/>
        <v>353.8</v>
      </c>
    </row>
    <row r="47" spans="1:24" ht="15" customHeight="1" x14ac:dyDescent="0.35">
      <c r="A47" s="56" t="s">
        <v>4371</v>
      </c>
      <c r="B47" s="2">
        <v>43</v>
      </c>
      <c r="C47" s="58">
        <v>102018870</v>
      </c>
      <c r="D47" s="58" t="s">
        <v>4253</v>
      </c>
      <c r="E47" s="59" t="s">
        <v>4291</v>
      </c>
      <c r="F47" s="66">
        <v>45</v>
      </c>
      <c r="G47" s="66" t="s">
        <v>0</v>
      </c>
      <c r="H47" s="67">
        <v>43070</v>
      </c>
      <c r="I47" s="62" t="s">
        <v>958</v>
      </c>
      <c r="J47" s="63" t="s">
        <v>1917</v>
      </c>
      <c r="K47" s="63" t="s">
        <v>961</v>
      </c>
      <c r="L47" s="64" t="s">
        <v>950</v>
      </c>
      <c r="M47" s="35">
        <v>1603.8</v>
      </c>
      <c r="N47" s="65">
        <f t="shared" si="0"/>
        <v>35.64</v>
      </c>
      <c r="O47" s="36">
        <v>1603.8</v>
      </c>
      <c r="P47" s="65">
        <v>1160</v>
      </c>
      <c r="Q47" s="65">
        <f t="shared" si="1"/>
        <v>255.2</v>
      </c>
      <c r="R47" s="65">
        <f t="shared" si="2"/>
        <v>1415.2</v>
      </c>
      <c r="S47" s="268"/>
      <c r="T47" s="64">
        <v>1</v>
      </c>
      <c r="U47" s="270"/>
      <c r="V47" s="38">
        <v>1334</v>
      </c>
      <c r="W47" s="38">
        <f t="shared" si="3"/>
        <v>293.48</v>
      </c>
      <c r="X47" s="38">
        <f t="shared" si="4"/>
        <v>1627.48</v>
      </c>
    </row>
    <row r="48" spans="1:24" ht="15" customHeight="1" x14ac:dyDescent="0.35">
      <c r="A48" s="56" t="s">
        <v>4372</v>
      </c>
      <c r="B48" s="2">
        <v>44</v>
      </c>
      <c r="C48" s="58">
        <v>102018840</v>
      </c>
      <c r="D48" s="58" t="s">
        <v>4254</v>
      </c>
      <c r="E48" s="59" t="s">
        <v>4291</v>
      </c>
      <c r="F48" s="66">
        <v>4</v>
      </c>
      <c r="G48" s="66" t="s">
        <v>0</v>
      </c>
      <c r="H48" s="67">
        <v>43070</v>
      </c>
      <c r="I48" s="62" t="s">
        <v>958</v>
      </c>
      <c r="J48" s="63" t="s">
        <v>1917</v>
      </c>
      <c r="K48" s="63" t="s">
        <v>961</v>
      </c>
      <c r="L48" s="64" t="s">
        <v>950</v>
      </c>
      <c r="M48" s="35">
        <v>504.28</v>
      </c>
      <c r="N48" s="65">
        <f t="shared" si="0"/>
        <v>126.07</v>
      </c>
      <c r="O48" s="36">
        <v>504.28</v>
      </c>
      <c r="P48" s="65">
        <v>370</v>
      </c>
      <c r="Q48" s="65">
        <f t="shared" si="1"/>
        <v>81.400000000000006</v>
      </c>
      <c r="R48" s="65">
        <f t="shared" si="2"/>
        <v>451.4</v>
      </c>
      <c r="S48" s="268"/>
      <c r="T48" s="64">
        <v>1</v>
      </c>
      <c r="U48" s="270"/>
      <c r="V48" s="38">
        <v>419</v>
      </c>
      <c r="W48" s="38">
        <f t="shared" si="3"/>
        <v>92.18</v>
      </c>
      <c r="X48" s="38">
        <f t="shared" si="4"/>
        <v>511.18</v>
      </c>
    </row>
    <row r="49" spans="1:24" ht="15" customHeight="1" x14ac:dyDescent="0.35">
      <c r="A49" s="56" t="s">
        <v>4373</v>
      </c>
      <c r="B49" s="2">
        <v>45</v>
      </c>
      <c r="C49" s="58">
        <v>102022267</v>
      </c>
      <c r="D49" s="58" t="s">
        <v>4255</v>
      </c>
      <c r="E49" s="59" t="s">
        <v>4291</v>
      </c>
      <c r="F49" s="66">
        <v>7</v>
      </c>
      <c r="G49" s="66" t="s">
        <v>0</v>
      </c>
      <c r="H49" s="67">
        <v>43040</v>
      </c>
      <c r="I49" s="62" t="s">
        <v>958</v>
      </c>
      <c r="J49" s="63" t="s">
        <v>1917</v>
      </c>
      <c r="K49" s="63" t="s">
        <v>961</v>
      </c>
      <c r="L49" s="64" t="s">
        <v>950</v>
      </c>
      <c r="M49" s="35">
        <v>10036.39</v>
      </c>
      <c r="N49" s="65">
        <f t="shared" si="0"/>
        <v>1433.77</v>
      </c>
      <c r="O49" s="36">
        <v>10036.39</v>
      </c>
      <c r="P49" s="65">
        <v>7290</v>
      </c>
      <c r="Q49" s="65">
        <f t="shared" si="1"/>
        <v>1603.8</v>
      </c>
      <c r="R49" s="65">
        <f t="shared" si="2"/>
        <v>8893.7999999999993</v>
      </c>
      <c r="S49" s="268"/>
      <c r="T49" s="64">
        <v>1</v>
      </c>
      <c r="U49" s="270"/>
      <c r="V49" s="38">
        <v>8371</v>
      </c>
      <c r="W49" s="38">
        <f t="shared" si="3"/>
        <v>1841.62</v>
      </c>
      <c r="X49" s="38">
        <f t="shared" si="4"/>
        <v>10212.620000000001</v>
      </c>
    </row>
    <row r="50" spans="1:24" ht="15" customHeight="1" x14ac:dyDescent="0.35">
      <c r="A50" s="56" t="s">
        <v>4374</v>
      </c>
      <c r="B50" s="2">
        <v>46</v>
      </c>
      <c r="C50" s="58">
        <v>102022217</v>
      </c>
      <c r="D50" s="58" t="s">
        <v>4256</v>
      </c>
      <c r="E50" s="59" t="s">
        <v>4291</v>
      </c>
      <c r="F50" s="66">
        <v>3</v>
      </c>
      <c r="G50" s="66" t="s">
        <v>0</v>
      </c>
      <c r="H50" s="67">
        <v>43040</v>
      </c>
      <c r="I50" s="62" t="s">
        <v>958</v>
      </c>
      <c r="J50" s="63" t="s">
        <v>1917</v>
      </c>
      <c r="K50" s="63" t="s">
        <v>961</v>
      </c>
      <c r="L50" s="64" t="s">
        <v>950</v>
      </c>
      <c r="M50" s="35">
        <v>1595.79</v>
      </c>
      <c r="N50" s="65">
        <f t="shared" si="0"/>
        <v>531.92999999999995</v>
      </c>
      <c r="O50" s="36">
        <v>1595.79</v>
      </c>
      <c r="P50" s="65">
        <v>1160</v>
      </c>
      <c r="Q50" s="65">
        <f t="shared" si="1"/>
        <v>255.2</v>
      </c>
      <c r="R50" s="65">
        <f t="shared" si="2"/>
        <v>1415.2</v>
      </c>
      <c r="S50" s="268"/>
      <c r="T50" s="64">
        <v>1</v>
      </c>
      <c r="U50" s="270"/>
      <c r="V50" s="38">
        <v>1331</v>
      </c>
      <c r="W50" s="38">
        <f t="shared" si="3"/>
        <v>292.82</v>
      </c>
      <c r="X50" s="38">
        <f t="shared" si="4"/>
        <v>1623.82</v>
      </c>
    </row>
    <row r="51" spans="1:24" ht="15" customHeight="1" x14ac:dyDescent="0.35">
      <c r="A51" s="56" t="s">
        <v>4375</v>
      </c>
      <c r="B51" s="2">
        <v>47</v>
      </c>
      <c r="C51" s="58">
        <v>102011785</v>
      </c>
      <c r="D51" s="58" t="s">
        <v>4257</v>
      </c>
      <c r="E51" s="59" t="s">
        <v>4291</v>
      </c>
      <c r="F51" s="66">
        <v>2</v>
      </c>
      <c r="G51" s="66" t="s">
        <v>0</v>
      </c>
      <c r="H51" s="67">
        <v>42527</v>
      </c>
      <c r="I51" s="62" t="s">
        <v>958</v>
      </c>
      <c r="J51" s="63" t="s">
        <v>1917</v>
      </c>
      <c r="K51" s="63" t="s">
        <v>961</v>
      </c>
      <c r="L51" s="64" t="s">
        <v>950</v>
      </c>
      <c r="M51" s="35">
        <v>38458.14</v>
      </c>
      <c r="N51" s="65">
        <f t="shared" si="0"/>
        <v>19229.07</v>
      </c>
      <c r="O51" s="36">
        <v>38458.14</v>
      </c>
      <c r="P51" s="65">
        <v>28880</v>
      </c>
      <c r="Q51" s="65">
        <f t="shared" si="1"/>
        <v>6353.6</v>
      </c>
      <c r="R51" s="65">
        <f t="shared" si="2"/>
        <v>35233.599999999999</v>
      </c>
      <c r="S51" s="268"/>
      <c r="T51" s="64">
        <v>1</v>
      </c>
      <c r="U51" s="270"/>
      <c r="V51" s="38">
        <v>33161</v>
      </c>
      <c r="W51" s="38">
        <f t="shared" si="3"/>
        <v>7295.42</v>
      </c>
      <c r="X51" s="38">
        <f t="shared" si="4"/>
        <v>40456.42</v>
      </c>
    </row>
    <row r="52" spans="1:24" ht="15" customHeight="1" x14ac:dyDescent="0.35">
      <c r="A52" s="56" t="s">
        <v>4376</v>
      </c>
      <c r="B52" s="2">
        <v>48</v>
      </c>
      <c r="C52" s="58">
        <v>102018878</v>
      </c>
      <c r="D52" s="58" t="s">
        <v>4258</v>
      </c>
      <c r="E52" s="59" t="s">
        <v>4291</v>
      </c>
      <c r="F52" s="66">
        <v>78</v>
      </c>
      <c r="G52" s="66" t="s">
        <v>0</v>
      </c>
      <c r="H52" s="67">
        <v>43070</v>
      </c>
      <c r="I52" s="62" t="s">
        <v>958</v>
      </c>
      <c r="J52" s="63" t="s">
        <v>1917</v>
      </c>
      <c r="K52" s="63" t="s">
        <v>961</v>
      </c>
      <c r="L52" s="64" t="s">
        <v>950</v>
      </c>
      <c r="M52" s="35">
        <v>14656.2</v>
      </c>
      <c r="N52" s="65">
        <f t="shared" si="0"/>
        <v>187.9</v>
      </c>
      <c r="O52" s="36">
        <v>14656.2</v>
      </c>
      <c r="P52" s="65">
        <v>10620</v>
      </c>
      <c r="Q52" s="65">
        <f t="shared" si="1"/>
        <v>2336.4</v>
      </c>
      <c r="R52" s="65">
        <f t="shared" si="2"/>
        <v>12956.4</v>
      </c>
      <c r="S52" s="268"/>
      <c r="T52" s="64">
        <v>1</v>
      </c>
      <c r="U52" s="270"/>
      <c r="V52" s="38">
        <v>12192</v>
      </c>
      <c r="W52" s="38">
        <f t="shared" si="3"/>
        <v>2682.24</v>
      </c>
      <c r="X52" s="38">
        <f t="shared" si="4"/>
        <v>14874.24</v>
      </c>
    </row>
    <row r="53" spans="1:24" ht="15" customHeight="1" x14ac:dyDescent="0.35">
      <c r="A53" s="56" t="s">
        <v>4377</v>
      </c>
      <c r="B53" s="2">
        <v>49</v>
      </c>
      <c r="C53" s="58">
        <v>102011730</v>
      </c>
      <c r="D53" s="58" t="s">
        <v>4259</v>
      </c>
      <c r="E53" s="59" t="s">
        <v>4291</v>
      </c>
      <c r="F53" s="66">
        <v>2</v>
      </c>
      <c r="G53" s="66" t="s">
        <v>0</v>
      </c>
      <c r="H53" s="67">
        <v>42527</v>
      </c>
      <c r="I53" s="62" t="s">
        <v>958</v>
      </c>
      <c r="J53" s="63" t="s">
        <v>1917</v>
      </c>
      <c r="K53" s="63" t="s">
        <v>961</v>
      </c>
      <c r="L53" s="64" t="s">
        <v>950</v>
      </c>
      <c r="M53" s="35">
        <v>4962.34</v>
      </c>
      <c r="N53" s="65">
        <f t="shared" si="0"/>
        <v>2481.17</v>
      </c>
      <c r="O53" s="36">
        <v>4962.34</v>
      </c>
      <c r="P53" s="65">
        <v>3730</v>
      </c>
      <c r="Q53" s="65">
        <f t="shared" si="1"/>
        <v>820.6</v>
      </c>
      <c r="R53" s="65">
        <f t="shared" si="2"/>
        <v>4550.6000000000004</v>
      </c>
      <c r="S53" s="268"/>
      <c r="T53" s="64">
        <v>1</v>
      </c>
      <c r="U53" s="270"/>
      <c r="V53" s="38">
        <v>4279</v>
      </c>
      <c r="W53" s="38">
        <f t="shared" si="3"/>
        <v>941.38</v>
      </c>
      <c r="X53" s="38">
        <f t="shared" si="4"/>
        <v>5220.38</v>
      </c>
    </row>
    <row r="54" spans="1:24" ht="15" customHeight="1" x14ac:dyDescent="0.35">
      <c r="A54" s="56" t="s">
        <v>4378</v>
      </c>
      <c r="B54" s="2">
        <v>50</v>
      </c>
      <c r="C54" s="58">
        <v>102011832</v>
      </c>
      <c r="D54" s="58" t="s">
        <v>4260</v>
      </c>
      <c r="E54" s="59" t="s">
        <v>4291</v>
      </c>
      <c r="F54" s="66">
        <v>2</v>
      </c>
      <c r="G54" s="66" t="s">
        <v>0</v>
      </c>
      <c r="H54" s="67">
        <v>42534</v>
      </c>
      <c r="I54" s="62" t="s">
        <v>958</v>
      </c>
      <c r="J54" s="63" t="s">
        <v>1917</v>
      </c>
      <c r="K54" s="63" t="s">
        <v>961</v>
      </c>
      <c r="L54" s="64" t="s">
        <v>950</v>
      </c>
      <c r="M54" s="35">
        <v>206433.36</v>
      </c>
      <c r="N54" s="65">
        <f t="shared" si="0"/>
        <v>103216.68</v>
      </c>
      <c r="O54" s="36">
        <v>206433.36</v>
      </c>
      <c r="P54" s="65">
        <v>155040</v>
      </c>
      <c r="Q54" s="65">
        <f t="shared" si="1"/>
        <v>34108.800000000003</v>
      </c>
      <c r="R54" s="65">
        <f t="shared" si="2"/>
        <v>189148.79999999999</v>
      </c>
      <c r="S54" s="269"/>
      <c r="T54" s="64">
        <v>1</v>
      </c>
      <c r="U54" s="270"/>
      <c r="V54" s="38">
        <v>178000</v>
      </c>
      <c r="W54" s="38">
        <f t="shared" si="3"/>
        <v>39160</v>
      </c>
      <c r="X54" s="38">
        <f t="shared" si="4"/>
        <v>217160</v>
      </c>
    </row>
    <row r="55" spans="1:24" ht="15" customHeight="1" x14ac:dyDescent="0.35">
      <c r="A55" s="56"/>
      <c r="B55" s="15"/>
      <c r="C55" s="11"/>
      <c r="D55" s="3"/>
      <c r="E55" s="59"/>
      <c r="F55" s="14"/>
      <c r="G55" s="64"/>
      <c r="H55" s="5"/>
      <c r="I55" s="4"/>
      <c r="J55" s="6"/>
      <c r="K55" s="63"/>
      <c r="L55" s="69"/>
      <c r="M55" s="70"/>
      <c r="N55" s="70"/>
      <c r="O55" s="71">
        <f>SUM(O5:O54)</f>
        <v>944578.87</v>
      </c>
      <c r="P55" s="71">
        <f t="shared" ref="P55:R55" si="5">SUM(P5:P54)</f>
        <v>696640</v>
      </c>
      <c r="Q55" s="71">
        <f t="shared" si="5"/>
        <v>153260.79999999999</v>
      </c>
      <c r="R55" s="71">
        <f t="shared" si="5"/>
        <v>849900.8</v>
      </c>
      <c r="S55" s="72">
        <f>R55/100*10</f>
        <v>84990.080000000002</v>
      </c>
      <c r="T55" s="73">
        <v>1</v>
      </c>
      <c r="U55" s="271"/>
      <c r="V55" s="38"/>
      <c r="W55" s="38"/>
      <c r="X55" s="38"/>
    </row>
    <row r="56" spans="1:24" ht="15" customHeight="1" x14ac:dyDescent="0.35">
      <c r="A56" s="56" t="s">
        <v>2310</v>
      </c>
      <c r="B56" s="2">
        <v>51</v>
      </c>
      <c r="C56" s="74">
        <v>102000241</v>
      </c>
      <c r="D56" s="74" t="s">
        <v>517</v>
      </c>
      <c r="E56" s="59" t="s">
        <v>2167</v>
      </c>
      <c r="F56" s="75">
        <v>8</v>
      </c>
      <c r="G56" s="75" t="s">
        <v>0</v>
      </c>
      <c r="H56" s="61">
        <v>42265</v>
      </c>
      <c r="I56" s="4" t="s">
        <v>957</v>
      </c>
      <c r="J56" s="63" t="s">
        <v>1917</v>
      </c>
      <c r="K56" s="63" t="s">
        <v>961</v>
      </c>
      <c r="L56" s="63" t="s">
        <v>950</v>
      </c>
      <c r="M56" s="76">
        <f t="shared" ref="M56:M118" si="6">O56</f>
        <v>224689.84</v>
      </c>
      <c r="N56" s="76">
        <f>O56/F56</f>
        <v>28086.23</v>
      </c>
      <c r="O56" s="76">
        <v>224689.84</v>
      </c>
      <c r="P56" s="65">
        <v>343920</v>
      </c>
      <c r="Q56" s="65">
        <f t="shared" si="1"/>
        <v>75662.399999999994</v>
      </c>
      <c r="R56" s="65">
        <f t="shared" si="2"/>
        <v>419582.4</v>
      </c>
      <c r="S56" s="267"/>
      <c r="T56" s="64">
        <v>2</v>
      </c>
      <c r="U56" s="270" t="s">
        <v>2302</v>
      </c>
      <c r="V56" s="38">
        <v>369810</v>
      </c>
      <c r="W56" s="38">
        <f t="shared" si="3"/>
        <v>81358.2</v>
      </c>
      <c r="X56" s="38">
        <f t="shared" si="4"/>
        <v>451168.2</v>
      </c>
    </row>
    <row r="57" spans="1:24" ht="15" customHeight="1" x14ac:dyDescent="0.35">
      <c r="A57" s="56" t="s">
        <v>2311</v>
      </c>
      <c r="B57" s="2">
        <v>52</v>
      </c>
      <c r="C57" s="74">
        <v>10127574</v>
      </c>
      <c r="D57" s="74" t="s">
        <v>234</v>
      </c>
      <c r="E57" s="59" t="s">
        <v>2167</v>
      </c>
      <c r="F57" s="75">
        <v>1</v>
      </c>
      <c r="G57" s="75" t="s">
        <v>0</v>
      </c>
      <c r="H57" s="61">
        <v>41388</v>
      </c>
      <c r="I57" s="4" t="s">
        <v>957</v>
      </c>
      <c r="J57" s="63" t="s">
        <v>1917</v>
      </c>
      <c r="K57" s="63" t="s">
        <v>961</v>
      </c>
      <c r="L57" s="63" t="s">
        <v>950</v>
      </c>
      <c r="M57" s="76">
        <f t="shared" si="6"/>
        <v>13769.31</v>
      </c>
      <c r="N57" s="76">
        <f>O57/F57</f>
        <v>13769.31</v>
      </c>
      <c r="O57" s="76">
        <v>13769.31</v>
      </c>
      <c r="P57" s="65">
        <v>22730</v>
      </c>
      <c r="Q57" s="65">
        <f t="shared" si="1"/>
        <v>5000.6000000000004</v>
      </c>
      <c r="R57" s="65">
        <f t="shared" si="2"/>
        <v>27730.6</v>
      </c>
      <c r="S57" s="272"/>
      <c r="T57" s="64">
        <v>2</v>
      </c>
      <c r="U57" s="270"/>
      <c r="V57" s="38">
        <v>24440</v>
      </c>
      <c r="W57" s="38">
        <f t="shared" si="3"/>
        <v>5376.8</v>
      </c>
      <c r="X57" s="38">
        <f t="shared" si="4"/>
        <v>29816.799999999999</v>
      </c>
    </row>
    <row r="58" spans="1:24" ht="15" customHeight="1" x14ac:dyDescent="0.35">
      <c r="A58" s="56" t="s">
        <v>2312</v>
      </c>
      <c r="B58" s="2">
        <v>53</v>
      </c>
      <c r="C58" s="74">
        <v>102002439</v>
      </c>
      <c r="D58" s="74" t="s">
        <v>234</v>
      </c>
      <c r="E58" s="59" t="s">
        <v>2167</v>
      </c>
      <c r="F58" s="75">
        <v>10</v>
      </c>
      <c r="G58" s="75" t="s">
        <v>0</v>
      </c>
      <c r="H58" s="61">
        <v>41388</v>
      </c>
      <c r="I58" s="4" t="s">
        <v>957</v>
      </c>
      <c r="J58" s="63" t="s">
        <v>1917</v>
      </c>
      <c r="K58" s="63" t="s">
        <v>961</v>
      </c>
      <c r="L58" s="63" t="s">
        <v>950</v>
      </c>
      <c r="M58" s="76">
        <f t="shared" si="6"/>
        <v>242033.9</v>
      </c>
      <c r="N58" s="76">
        <f>O58/F58</f>
        <v>24203.39</v>
      </c>
      <c r="O58" s="76">
        <v>242033.9</v>
      </c>
      <c r="P58" s="65">
        <v>399530</v>
      </c>
      <c r="Q58" s="65">
        <f t="shared" si="1"/>
        <v>87896.6</v>
      </c>
      <c r="R58" s="65">
        <f t="shared" si="2"/>
        <v>487426.6</v>
      </c>
      <c r="S58" s="272"/>
      <c r="T58" s="64">
        <v>2</v>
      </c>
      <c r="U58" s="270"/>
      <c r="V58" s="38">
        <v>429606</v>
      </c>
      <c r="W58" s="38">
        <f t="shared" si="3"/>
        <v>94513.32</v>
      </c>
      <c r="X58" s="38">
        <f t="shared" si="4"/>
        <v>524119.32</v>
      </c>
    </row>
    <row r="59" spans="1:24" ht="15" customHeight="1" x14ac:dyDescent="0.35">
      <c r="A59" s="56" t="s">
        <v>2313</v>
      </c>
      <c r="B59" s="2">
        <v>54</v>
      </c>
      <c r="C59" s="77">
        <v>102001523</v>
      </c>
      <c r="D59" s="74" t="s">
        <v>1890</v>
      </c>
      <c r="E59" s="59" t="s">
        <v>2167</v>
      </c>
      <c r="F59" s="75">
        <v>1</v>
      </c>
      <c r="G59" s="64" t="s">
        <v>0</v>
      </c>
      <c r="H59" s="78">
        <v>2015</v>
      </c>
      <c r="I59" s="4" t="s">
        <v>957</v>
      </c>
      <c r="J59" s="63" t="s">
        <v>1917</v>
      </c>
      <c r="K59" s="63" t="s">
        <v>961</v>
      </c>
      <c r="L59" s="69" t="s">
        <v>950</v>
      </c>
      <c r="M59" s="70">
        <f t="shared" si="6"/>
        <v>20149.84</v>
      </c>
      <c r="N59" s="70">
        <f>O59/F59</f>
        <v>20149.84</v>
      </c>
      <c r="O59" s="70">
        <v>20149.84</v>
      </c>
      <c r="P59" s="65">
        <v>30550</v>
      </c>
      <c r="Q59" s="65">
        <f t="shared" si="1"/>
        <v>6721</v>
      </c>
      <c r="R59" s="65">
        <f t="shared" si="2"/>
        <v>37271</v>
      </c>
      <c r="S59" s="272"/>
      <c r="T59" s="64">
        <v>2</v>
      </c>
      <c r="U59" s="270"/>
      <c r="V59" s="38">
        <v>32850</v>
      </c>
      <c r="W59" s="38">
        <f t="shared" si="3"/>
        <v>7227</v>
      </c>
      <c r="X59" s="38">
        <f t="shared" si="4"/>
        <v>40077</v>
      </c>
    </row>
    <row r="60" spans="1:24" ht="15" customHeight="1" x14ac:dyDescent="0.35">
      <c r="A60" s="56" t="s">
        <v>2314</v>
      </c>
      <c r="B60" s="2">
        <v>55</v>
      </c>
      <c r="C60" s="11">
        <v>102001719</v>
      </c>
      <c r="D60" s="3" t="s">
        <v>1885</v>
      </c>
      <c r="E60" s="59" t="s">
        <v>2167</v>
      </c>
      <c r="F60" s="14">
        <v>2</v>
      </c>
      <c r="G60" s="64" t="s">
        <v>0</v>
      </c>
      <c r="H60" s="5">
        <v>41183</v>
      </c>
      <c r="I60" s="4" t="s">
        <v>957</v>
      </c>
      <c r="J60" s="63" t="s">
        <v>1917</v>
      </c>
      <c r="K60" s="63" t="s">
        <v>961</v>
      </c>
      <c r="L60" s="69" t="s">
        <v>950</v>
      </c>
      <c r="M60" s="70">
        <f t="shared" si="6"/>
        <v>81184.27</v>
      </c>
      <c r="N60" s="70">
        <f>O60/F60</f>
        <v>40592.14</v>
      </c>
      <c r="O60" s="70">
        <v>81184.27</v>
      </c>
      <c r="P60" s="65">
        <v>134970</v>
      </c>
      <c r="Q60" s="65">
        <f t="shared" si="1"/>
        <v>29693.4</v>
      </c>
      <c r="R60" s="65">
        <f t="shared" si="2"/>
        <v>164663.4</v>
      </c>
      <c r="S60" s="272"/>
      <c r="T60" s="64">
        <v>2</v>
      </c>
      <c r="U60" s="270"/>
      <c r="V60" s="38">
        <v>145125</v>
      </c>
      <c r="W60" s="38">
        <f t="shared" si="3"/>
        <v>31927.5</v>
      </c>
      <c r="X60" s="38">
        <f t="shared" si="4"/>
        <v>177052.5</v>
      </c>
    </row>
    <row r="61" spans="1:24" ht="18" customHeight="1" x14ac:dyDescent="0.35">
      <c r="A61" s="56"/>
      <c r="B61" s="15"/>
      <c r="C61" s="59"/>
      <c r="D61" s="59"/>
      <c r="E61" s="59"/>
      <c r="F61" s="79"/>
      <c r="G61" s="75"/>
      <c r="H61" s="80"/>
      <c r="I61" s="59"/>
      <c r="J61" s="63"/>
      <c r="K61" s="63"/>
      <c r="L61" s="63"/>
      <c r="M61" s="76"/>
      <c r="N61" s="76"/>
      <c r="O61" s="81">
        <f>SUM(O56:O60)</f>
        <v>581827.16</v>
      </c>
      <c r="P61" s="81">
        <f t="shared" ref="P61:R61" si="7">SUM(P56:P60)</f>
        <v>931700</v>
      </c>
      <c r="Q61" s="81">
        <f t="shared" si="7"/>
        <v>204974</v>
      </c>
      <c r="R61" s="81">
        <f t="shared" si="7"/>
        <v>1136674</v>
      </c>
      <c r="S61" s="72">
        <f>R61/100*10</f>
        <v>113667.4</v>
      </c>
      <c r="T61" s="73">
        <v>2</v>
      </c>
      <c r="U61" s="271"/>
      <c r="V61" s="38"/>
      <c r="W61" s="38"/>
      <c r="X61" s="38"/>
    </row>
    <row r="62" spans="1:24" ht="18" customHeight="1" x14ac:dyDescent="0.35">
      <c r="A62" s="56" t="s">
        <v>2309</v>
      </c>
      <c r="B62" s="2">
        <v>56</v>
      </c>
      <c r="C62" s="11">
        <v>102001436</v>
      </c>
      <c r="D62" s="3" t="s">
        <v>1374</v>
      </c>
      <c r="E62" s="59" t="s">
        <v>2167</v>
      </c>
      <c r="F62" s="14">
        <v>1</v>
      </c>
      <c r="G62" s="64" t="s">
        <v>0</v>
      </c>
      <c r="H62" s="5">
        <v>41091</v>
      </c>
      <c r="I62" s="4" t="s">
        <v>957</v>
      </c>
      <c r="J62" s="6" t="s">
        <v>1362</v>
      </c>
      <c r="K62" s="63" t="s">
        <v>961</v>
      </c>
      <c r="L62" s="69" t="s">
        <v>950</v>
      </c>
      <c r="M62" s="70">
        <f>O62</f>
        <v>393669.49</v>
      </c>
      <c r="N62" s="70">
        <f>O62/F62</f>
        <v>393669.49</v>
      </c>
      <c r="O62" s="70">
        <v>393669.49</v>
      </c>
      <c r="P62" s="65">
        <v>667770</v>
      </c>
      <c r="Q62" s="65">
        <f t="shared" si="1"/>
        <v>146909.4</v>
      </c>
      <c r="R62" s="65">
        <f t="shared" si="2"/>
        <v>814679.4</v>
      </c>
      <c r="S62" s="82"/>
      <c r="T62" s="83">
        <v>3</v>
      </c>
      <c r="U62" s="273" t="s">
        <v>2302</v>
      </c>
      <c r="V62" s="38">
        <v>718037</v>
      </c>
      <c r="W62" s="38">
        <f t="shared" si="3"/>
        <v>157968.14000000001</v>
      </c>
      <c r="X62" s="38">
        <f t="shared" si="4"/>
        <v>876005.14</v>
      </c>
    </row>
    <row r="63" spans="1:24" ht="48.75" customHeight="1" x14ac:dyDescent="0.35">
      <c r="A63" s="56" t="s">
        <v>2315</v>
      </c>
      <c r="B63" s="2">
        <v>57</v>
      </c>
      <c r="C63" s="84">
        <v>10054089</v>
      </c>
      <c r="D63" s="85" t="s">
        <v>489</v>
      </c>
      <c r="E63" s="74" t="s">
        <v>4176</v>
      </c>
      <c r="F63" s="86">
        <v>1</v>
      </c>
      <c r="G63" s="87" t="s">
        <v>0</v>
      </c>
      <c r="H63" s="61">
        <v>42004</v>
      </c>
      <c r="I63" s="62" t="s">
        <v>958</v>
      </c>
      <c r="J63" s="63" t="s">
        <v>1917</v>
      </c>
      <c r="K63" s="88" t="s">
        <v>1977</v>
      </c>
      <c r="L63" s="88" t="s">
        <v>845</v>
      </c>
      <c r="M63" s="76">
        <f t="shared" si="6"/>
        <v>18606.61</v>
      </c>
      <c r="N63" s="76">
        <f>O63/F63</f>
        <v>18606.61</v>
      </c>
      <c r="O63" s="76">
        <v>18606.61</v>
      </c>
      <c r="P63" s="65">
        <v>18450</v>
      </c>
      <c r="Q63" s="65">
        <f t="shared" si="1"/>
        <v>4059</v>
      </c>
      <c r="R63" s="65">
        <f t="shared" si="2"/>
        <v>22509</v>
      </c>
      <c r="S63" s="267"/>
      <c r="T63" s="64">
        <v>3</v>
      </c>
      <c r="U63" s="274"/>
      <c r="V63" s="38">
        <v>19842</v>
      </c>
      <c r="W63" s="38">
        <f t="shared" si="3"/>
        <v>4365.24</v>
      </c>
      <c r="X63" s="38">
        <f t="shared" si="4"/>
        <v>24207.24</v>
      </c>
    </row>
    <row r="64" spans="1:24" ht="15" customHeight="1" x14ac:dyDescent="0.35">
      <c r="A64" s="56" t="s">
        <v>2316</v>
      </c>
      <c r="B64" s="2">
        <v>58</v>
      </c>
      <c r="C64" s="89">
        <v>10000274</v>
      </c>
      <c r="D64" s="90" t="s">
        <v>1321</v>
      </c>
      <c r="E64" s="74" t="s">
        <v>1319</v>
      </c>
      <c r="F64" s="91">
        <f>7-2</f>
        <v>5</v>
      </c>
      <c r="G64" s="64" t="s">
        <v>0</v>
      </c>
      <c r="H64" s="64">
        <v>2013</v>
      </c>
      <c r="I64" s="92" t="s">
        <v>1318</v>
      </c>
      <c r="J64" s="63" t="s">
        <v>1917</v>
      </c>
      <c r="K64" s="93" t="s">
        <v>1323</v>
      </c>
      <c r="L64" s="88" t="s">
        <v>845</v>
      </c>
      <c r="M64" s="76">
        <f t="shared" si="6"/>
        <v>13793.3</v>
      </c>
      <c r="N64" s="76">
        <f>O64/F64</f>
        <v>2758.66</v>
      </c>
      <c r="O64" s="76">
        <f>19310.62/7*5</f>
        <v>13793.3</v>
      </c>
      <c r="P64" s="65">
        <v>13440</v>
      </c>
      <c r="Q64" s="65">
        <f t="shared" si="1"/>
        <v>2956.8</v>
      </c>
      <c r="R64" s="65">
        <f t="shared" si="2"/>
        <v>16396.8</v>
      </c>
      <c r="S64" s="276"/>
      <c r="T64" s="64">
        <v>3</v>
      </c>
      <c r="U64" s="274"/>
      <c r="V64" s="38">
        <v>14456</v>
      </c>
      <c r="W64" s="38">
        <f t="shared" si="3"/>
        <v>3180.32</v>
      </c>
      <c r="X64" s="38">
        <f t="shared" si="4"/>
        <v>17636.32</v>
      </c>
    </row>
    <row r="65" spans="1:24" ht="18" customHeight="1" x14ac:dyDescent="0.35">
      <c r="A65" s="56"/>
      <c r="B65" s="15"/>
      <c r="C65" s="89"/>
      <c r="D65" s="90"/>
      <c r="E65" s="74"/>
      <c r="F65" s="91"/>
      <c r="G65" s="64"/>
      <c r="H65" s="64"/>
      <c r="I65" s="92"/>
      <c r="J65" s="63"/>
      <c r="K65" s="93"/>
      <c r="L65" s="88"/>
      <c r="M65" s="76"/>
      <c r="N65" s="76"/>
      <c r="O65" s="81">
        <f>SUM(O62:O64)</f>
        <v>426069.4</v>
      </c>
      <c r="P65" s="81">
        <f t="shared" ref="P65:R65" si="8">SUM(P62:P64)</f>
        <v>699660</v>
      </c>
      <c r="Q65" s="81">
        <f t="shared" si="8"/>
        <v>153925.20000000001</v>
      </c>
      <c r="R65" s="81">
        <f t="shared" si="8"/>
        <v>853585.2</v>
      </c>
      <c r="S65" s="72">
        <f>R65/100*10</f>
        <v>85358.52</v>
      </c>
      <c r="T65" s="73">
        <v>3</v>
      </c>
      <c r="U65" s="275"/>
      <c r="V65" s="38"/>
      <c r="W65" s="38"/>
      <c r="X65" s="38"/>
    </row>
    <row r="66" spans="1:24" ht="29.25" customHeight="1" x14ac:dyDescent="0.35">
      <c r="A66" s="56" t="s">
        <v>2317</v>
      </c>
      <c r="B66" s="2">
        <v>59</v>
      </c>
      <c r="C66" s="39">
        <v>102001244</v>
      </c>
      <c r="D66" s="40" t="s">
        <v>1312</v>
      </c>
      <c r="E66" s="40" t="s">
        <v>4177</v>
      </c>
      <c r="F66" s="41">
        <v>1</v>
      </c>
      <c r="G66" s="64" t="s">
        <v>0</v>
      </c>
      <c r="H66" s="42" t="s">
        <v>494</v>
      </c>
      <c r="I66" s="94" t="s">
        <v>1316</v>
      </c>
      <c r="J66" s="63" t="s">
        <v>1917</v>
      </c>
      <c r="K66" s="63" t="s">
        <v>961</v>
      </c>
      <c r="L66" s="69" t="s">
        <v>950</v>
      </c>
      <c r="M66" s="70">
        <f t="shared" si="6"/>
        <v>47740</v>
      </c>
      <c r="N66" s="70">
        <f t="shared" ref="N66:N84" si="9">O66/F66</f>
        <v>47740</v>
      </c>
      <c r="O66" s="70">
        <v>47740</v>
      </c>
      <c r="P66" s="65">
        <v>77460</v>
      </c>
      <c r="Q66" s="65">
        <f t="shared" si="1"/>
        <v>17041.2</v>
      </c>
      <c r="R66" s="65">
        <f t="shared" si="2"/>
        <v>94501.2</v>
      </c>
      <c r="S66" s="267"/>
      <c r="T66" s="64">
        <v>4</v>
      </c>
      <c r="U66" s="270" t="s">
        <v>2253</v>
      </c>
      <c r="V66" s="38">
        <v>86544</v>
      </c>
      <c r="W66" s="38">
        <f t="shared" si="3"/>
        <v>19039.68</v>
      </c>
      <c r="X66" s="38">
        <f t="shared" si="4"/>
        <v>105583.67999999999</v>
      </c>
    </row>
    <row r="67" spans="1:24" ht="35.5" customHeight="1" x14ac:dyDescent="0.35">
      <c r="A67" s="56" t="s">
        <v>2318</v>
      </c>
      <c r="B67" s="2">
        <v>60</v>
      </c>
      <c r="C67" s="39">
        <v>10026610</v>
      </c>
      <c r="D67" s="40" t="s">
        <v>1313</v>
      </c>
      <c r="E67" s="40" t="s">
        <v>2172</v>
      </c>
      <c r="F67" s="41">
        <v>1</v>
      </c>
      <c r="G67" s="64" t="s">
        <v>0</v>
      </c>
      <c r="H67" s="42" t="s">
        <v>494</v>
      </c>
      <c r="I67" s="94" t="s">
        <v>1316</v>
      </c>
      <c r="J67" s="63" t="s">
        <v>1917</v>
      </c>
      <c r="K67" s="63" t="s">
        <v>961</v>
      </c>
      <c r="L67" s="69" t="s">
        <v>950</v>
      </c>
      <c r="M67" s="70">
        <f t="shared" si="6"/>
        <v>16700</v>
      </c>
      <c r="N67" s="70">
        <f t="shared" si="9"/>
        <v>16700</v>
      </c>
      <c r="O67" s="70">
        <v>16700</v>
      </c>
      <c r="P67" s="65">
        <v>27100</v>
      </c>
      <c r="Q67" s="65">
        <f t="shared" si="1"/>
        <v>5962</v>
      </c>
      <c r="R67" s="65">
        <f t="shared" si="2"/>
        <v>33062</v>
      </c>
      <c r="S67" s="272"/>
      <c r="T67" s="64">
        <v>4</v>
      </c>
      <c r="U67" s="270"/>
      <c r="V67" s="38">
        <v>30274</v>
      </c>
      <c r="W67" s="38">
        <f t="shared" si="3"/>
        <v>6660.28</v>
      </c>
      <c r="X67" s="38">
        <f t="shared" si="4"/>
        <v>36934.28</v>
      </c>
    </row>
    <row r="68" spans="1:24" ht="15" customHeight="1" x14ac:dyDescent="0.35">
      <c r="A68" s="56" t="s">
        <v>2319</v>
      </c>
      <c r="B68" s="2">
        <v>61</v>
      </c>
      <c r="C68" s="74">
        <v>10128689</v>
      </c>
      <c r="D68" s="74" t="s">
        <v>518</v>
      </c>
      <c r="E68" s="59" t="s">
        <v>2167</v>
      </c>
      <c r="F68" s="75">
        <v>1</v>
      </c>
      <c r="G68" s="75" t="s">
        <v>0</v>
      </c>
      <c r="H68" s="95">
        <v>41456</v>
      </c>
      <c r="I68" s="3" t="s">
        <v>957</v>
      </c>
      <c r="J68" s="63" t="s">
        <v>1917</v>
      </c>
      <c r="K68" s="63" t="s">
        <v>961</v>
      </c>
      <c r="L68" s="63" t="s">
        <v>950</v>
      </c>
      <c r="M68" s="76">
        <f t="shared" si="6"/>
        <v>38037.449999999997</v>
      </c>
      <c r="N68" s="76">
        <f t="shared" si="9"/>
        <v>38037.449999999997</v>
      </c>
      <c r="O68" s="76">
        <v>38037.449999999997</v>
      </c>
      <c r="P68" s="65">
        <v>60650</v>
      </c>
      <c r="Q68" s="65">
        <f t="shared" si="1"/>
        <v>13343</v>
      </c>
      <c r="R68" s="65">
        <f t="shared" si="2"/>
        <v>73993</v>
      </c>
      <c r="S68" s="272"/>
      <c r="T68" s="64">
        <v>4</v>
      </c>
      <c r="U68" s="270"/>
      <c r="V68" s="38">
        <v>67770</v>
      </c>
      <c r="W68" s="38">
        <f t="shared" si="3"/>
        <v>14909.4</v>
      </c>
      <c r="X68" s="38">
        <f t="shared" si="4"/>
        <v>82679.399999999994</v>
      </c>
    </row>
    <row r="69" spans="1:24" ht="15" customHeight="1" x14ac:dyDescent="0.35">
      <c r="A69" s="56" t="s">
        <v>2320</v>
      </c>
      <c r="B69" s="2">
        <v>62</v>
      </c>
      <c r="C69" s="77">
        <v>102001344</v>
      </c>
      <c r="D69" s="74" t="s">
        <v>1424</v>
      </c>
      <c r="E69" s="59" t="s">
        <v>2167</v>
      </c>
      <c r="F69" s="75">
        <v>5</v>
      </c>
      <c r="G69" s="64" t="s">
        <v>0</v>
      </c>
      <c r="H69" s="78">
        <v>41891</v>
      </c>
      <c r="I69" s="4" t="s">
        <v>957</v>
      </c>
      <c r="J69" s="63" t="s">
        <v>1917</v>
      </c>
      <c r="K69" s="63" t="s">
        <v>961</v>
      </c>
      <c r="L69" s="69" t="s">
        <v>950</v>
      </c>
      <c r="M69" s="70">
        <f t="shared" si="6"/>
        <v>2188182.0499999998</v>
      </c>
      <c r="N69" s="70">
        <f t="shared" si="9"/>
        <v>437636.41</v>
      </c>
      <c r="O69" s="70">
        <v>2188182.0499999998</v>
      </c>
      <c r="P69" s="65">
        <v>3569180</v>
      </c>
      <c r="Q69" s="65">
        <f t="shared" si="1"/>
        <v>785219.6</v>
      </c>
      <c r="R69" s="65">
        <f t="shared" si="2"/>
        <v>4354399.5999999996</v>
      </c>
      <c r="S69" s="272"/>
      <c r="T69" s="64">
        <v>4</v>
      </c>
      <c r="U69" s="270"/>
      <c r="V69" s="38">
        <v>3987907</v>
      </c>
      <c r="W69" s="38">
        <f t="shared" si="3"/>
        <v>877339.54</v>
      </c>
      <c r="X69" s="38">
        <f t="shared" si="4"/>
        <v>4865246.54</v>
      </c>
    </row>
    <row r="70" spans="1:24" ht="15" customHeight="1" x14ac:dyDescent="0.35">
      <c r="A70" s="56" t="s">
        <v>2321</v>
      </c>
      <c r="B70" s="2">
        <v>63</v>
      </c>
      <c r="C70" s="77">
        <v>10130301</v>
      </c>
      <c r="D70" s="74" t="s">
        <v>1425</v>
      </c>
      <c r="E70" s="59" t="s">
        <v>2167</v>
      </c>
      <c r="F70" s="75">
        <v>3</v>
      </c>
      <c r="G70" s="64" t="s">
        <v>0</v>
      </c>
      <c r="H70" s="78">
        <v>40511</v>
      </c>
      <c r="I70" s="4" t="s">
        <v>957</v>
      </c>
      <c r="J70" s="63" t="s">
        <v>1917</v>
      </c>
      <c r="K70" s="63" t="s">
        <v>961</v>
      </c>
      <c r="L70" s="69" t="s">
        <v>950</v>
      </c>
      <c r="M70" s="70">
        <f t="shared" si="6"/>
        <v>2467.0500000000002</v>
      </c>
      <c r="N70" s="70">
        <f t="shared" si="9"/>
        <v>822.35</v>
      </c>
      <c r="O70" s="70">
        <v>2467.0500000000002</v>
      </c>
      <c r="P70" s="65">
        <v>4340</v>
      </c>
      <c r="Q70" s="65">
        <f t="shared" ref="Q70:Q132" si="10">P70*0.22</f>
        <v>954.8</v>
      </c>
      <c r="R70" s="65">
        <f t="shared" ref="R70:R132" si="11">P70+Q70</f>
        <v>5294.8</v>
      </c>
      <c r="S70" s="272"/>
      <c r="T70" s="64">
        <v>4</v>
      </c>
      <c r="U70" s="270"/>
      <c r="V70" s="38">
        <v>4851</v>
      </c>
      <c r="W70" s="38">
        <f t="shared" ref="W70:W132" si="12">V70*0.22</f>
        <v>1067.22</v>
      </c>
      <c r="X70" s="38">
        <f t="shared" si="4"/>
        <v>5918.22</v>
      </c>
    </row>
    <row r="71" spans="1:24" ht="15" customHeight="1" x14ac:dyDescent="0.35">
      <c r="A71" s="56" t="s">
        <v>2322</v>
      </c>
      <c r="B71" s="2">
        <v>64</v>
      </c>
      <c r="C71" s="77">
        <v>10101085</v>
      </c>
      <c r="D71" s="74" t="s">
        <v>1016</v>
      </c>
      <c r="E71" s="59" t="s">
        <v>2167</v>
      </c>
      <c r="F71" s="75">
        <v>3</v>
      </c>
      <c r="G71" s="64" t="s">
        <v>0</v>
      </c>
      <c r="H71" s="78">
        <v>41470</v>
      </c>
      <c r="I71" s="4" t="s">
        <v>957</v>
      </c>
      <c r="J71" s="63" t="s">
        <v>1917</v>
      </c>
      <c r="K71" s="63" t="s">
        <v>961</v>
      </c>
      <c r="L71" s="69" t="s">
        <v>950</v>
      </c>
      <c r="M71" s="70">
        <f t="shared" si="6"/>
        <v>48875.59</v>
      </c>
      <c r="N71" s="70">
        <f t="shared" si="9"/>
        <v>16291.86</v>
      </c>
      <c r="O71" s="70">
        <v>48875.59</v>
      </c>
      <c r="P71" s="65">
        <v>77940</v>
      </c>
      <c r="Q71" s="65">
        <f t="shared" si="10"/>
        <v>17146.8</v>
      </c>
      <c r="R71" s="65">
        <f t="shared" si="11"/>
        <v>95086.8</v>
      </c>
      <c r="S71" s="272"/>
      <c r="T71" s="64">
        <v>4</v>
      </c>
      <c r="U71" s="270"/>
      <c r="V71" s="38">
        <v>87080</v>
      </c>
      <c r="W71" s="38">
        <f t="shared" si="12"/>
        <v>19157.599999999999</v>
      </c>
      <c r="X71" s="38">
        <f t="shared" si="4"/>
        <v>106237.6</v>
      </c>
    </row>
    <row r="72" spans="1:24" ht="15" customHeight="1" x14ac:dyDescent="0.35">
      <c r="A72" s="56" t="s">
        <v>2323</v>
      </c>
      <c r="B72" s="2">
        <v>65</v>
      </c>
      <c r="C72" s="77">
        <v>102000855</v>
      </c>
      <c r="D72" s="74" t="s">
        <v>1426</v>
      </c>
      <c r="E72" s="59" t="s">
        <v>2167</v>
      </c>
      <c r="F72" s="75">
        <v>5</v>
      </c>
      <c r="G72" s="64" t="s">
        <v>0</v>
      </c>
      <c r="H72" s="78">
        <v>41891</v>
      </c>
      <c r="I72" s="4" t="s">
        <v>957</v>
      </c>
      <c r="J72" s="63" t="s">
        <v>1917</v>
      </c>
      <c r="K72" s="63" t="s">
        <v>961</v>
      </c>
      <c r="L72" s="69" t="s">
        <v>950</v>
      </c>
      <c r="M72" s="70">
        <f t="shared" si="6"/>
        <v>275353.84999999998</v>
      </c>
      <c r="N72" s="70">
        <f t="shared" si="9"/>
        <v>55070.77</v>
      </c>
      <c r="O72" s="70">
        <v>275353.84999999998</v>
      </c>
      <c r="P72" s="65">
        <v>449130</v>
      </c>
      <c r="Q72" s="65">
        <f t="shared" si="10"/>
        <v>98808.6</v>
      </c>
      <c r="R72" s="65">
        <f t="shared" si="11"/>
        <v>547938.6</v>
      </c>
      <c r="S72" s="272"/>
      <c r="T72" s="64">
        <v>4</v>
      </c>
      <c r="U72" s="270"/>
      <c r="V72" s="38">
        <v>501825</v>
      </c>
      <c r="W72" s="38">
        <f t="shared" si="12"/>
        <v>110401.5</v>
      </c>
      <c r="X72" s="38">
        <f t="shared" ref="X72:X134" si="13">V72+W72</f>
        <v>612226.5</v>
      </c>
    </row>
    <row r="73" spans="1:24" ht="15" customHeight="1" x14ac:dyDescent="0.35">
      <c r="A73" s="56" t="s">
        <v>2324</v>
      </c>
      <c r="B73" s="2">
        <v>66</v>
      </c>
      <c r="C73" s="77">
        <v>10043067</v>
      </c>
      <c r="D73" s="74" t="s">
        <v>1427</v>
      </c>
      <c r="E73" s="59" t="s">
        <v>2167</v>
      </c>
      <c r="F73" s="75">
        <v>1</v>
      </c>
      <c r="G73" s="64" t="s">
        <v>0</v>
      </c>
      <c r="H73" s="78">
        <v>41316</v>
      </c>
      <c r="I73" s="4" t="s">
        <v>957</v>
      </c>
      <c r="J73" s="42" t="s">
        <v>2232</v>
      </c>
      <c r="K73" s="63" t="s">
        <v>961</v>
      </c>
      <c r="L73" s="69" t="s">
        <v>950</v>
      </c>
      <c r="M73" s="70">
        <f t="shared" si="6"/>
        <v>6805.74</v>
      </c>
      <c r="N73" s="70">
        <f t="shared" si="9"/>
        <v>6805.74</v>
      </c>
      <c r="O73" s="70">
        <v>6805.74</v>
      </c>
      <c r="P73" s="65">
        <v>10920</v>
      </c>
      <c r="Q73" s="65">
        <f t="shared" si="10"/>
        <v>2402.4</v>
      </c>
      <c r="R73" s="65">
        <f t="shared" si="11"/>
        <v>13322.4</v>
      </c>
      <c r="S73" s="272"/>
      <c r="T73" s="64">
        <v>4</v>
      </c>
      <c r="U73" s="270"/>
      <c r="V73" s="38">
        <v>12201</v>
      </c>
      <c r="W73" s="38">
        <f t="shared" si="12"/>
        <v>2684.22</v>
      </c>
      <c r="X73" s="38">
        <f t="shared" si="13"/>
        <v>14885.22</v>
      </c>
    </row>
    <row r="74" spans="1:24" ht="56.25" customHeight="1" x14ac:dyDescent="0.35">
      <c r="A74" s="56" t="s">
        <v>2325</v>
      </c>
      <c r="B74" s="2">
        <v>67</v>
      </c>
      <c r="C74" s="77">
        <v>10014422</v>
      </c>
      <c r="D74" s="74" t="s">
        <v>1854</v>
      </c>
      <c r="E74" s="59" t="s">
        <v>2167</v>
      </c>
      <c r="F74" s="75">
        <v>1</v>
      </c>
      <c r="G74" s="64" t="s">
        <v>0</v>
      </c>
      <c r="H74" s="78">
        <v>41402</v>
      </c>
      <c r="I74" s="4" t="s">
        <v>957</v>
      </c>
      <c r="J74" s="63" t="s">
        <v>4162</v>
      </c>
      <c r="K74" s="63" t="s">
        <v>961</v>
      </c>
      <c r="L74" s="69" t="s">
        <v>950</v>
      </c>
      <c r="M74" s="70">
        <f t="shared" si="6"/>
        <v>3384.04</v>
      </c>
      <c r="N74" s="70">
        <f t="shared" si="9"/>
        <v>3384.04</v>
      </c>
      <c r="O74" s="70">
        <v>3384.04</v>
      </c>
      <c r="P74" s="65">
        <v>5390</v>
      </c>
      <c r="Q74" s="65">
        <f t="shared" si="10"/>
        <v>1185.8</v>
      </c>
      <c r="R74" s="65">
        <f t="shared" si="11"/>
        <v>6575.8</v>
      </c>
      <c r="S74" s="272"/>
      <c r="T74" s="64">
        <v>4</v>
      </c>
      <c r="U74" s="270"/>
      <c r="V74" s="38">
        <v>6024</v>
      </c>
      <c r="W74" s="38">
        <f t="shared" si="12"/>
        <v>1325.28</v>
      </c>
      <c r="X74" s="38">
        <f t="shared" si="13"/>
        <v>7349.28</v>
      </c>
    </row>
    <row r="75" spans="1:24" ht="15" customHeight="1" x14ac:dyDescent="0.35">
      <c r="A75" s="56" t="s">
        <v>2326</v>
      </c>
      <c r="B75" s="2">
        <v>68</v>
      </c>
      <c r="C75" s="77">
        <v>10116894</v>
      </c>
      <c r="D75" s="74" t="s">
        <v>1855</v>
      </c>
      <c r="E75" s="59" t="s">
        <v>2167</v>
      </c>
      <c r="F75" s="75">
        <v>5</v>
      </c>
      <c r="G75" s="64" t="s">
        <v>0</v>
      </c>
      <c r="H75" s="78">
        <v>42004</v>
      </c>
      <c r="I75" s="4" t="s">
        <v>957</v>
      </c>
      <c r="J75" s="63" t="s">
        <v>1917</v>
      </c>
      <c r="K75" s="63" t="s">
        <v>961</v>
      </c>
      <c r="L75" s="69" t="s">
        <v>950</v>
      </c>
      <c r="M75" s="70">
        <f t="shared" si="6"/>
        <v>82982</v>
      </c>
      <c r="N75" s="96">
        <f t="shared" si="9"/>
        <v>16596.400000000001</v>
      </c>
      <c r="O75" s="70">
        <v>82982</v>
      </c>
      <c r="P75" s="65">
        <v>134640</v>
      </c>
      <c r="Q75" s="65">
        <f t="shared" si="10"/>
        <v>29620.799999999999</v>
      </c>
      <c r="R75" s="65">
        <f t="shared" si="11"/>
        <v>164260.79999999999</v>
      </c>
      <c r="S75" s="272"/>
      <c r="T75" s="64">
        <v>4</v>
      </c>
      <c r="U75" s="270"/>
      <c r="V75" s="38">
        <v>150432</v>
      </c>
      <c r="W75" s="38">
        <f t="shared" si="12"/>
        <v>33095.040000000001</v>
      </c>
      <c r="X75" s="38">
        <f t="shared" si="13"/>
        <v>183527.04000000001</v>
      </c>
    </row>
    <row r="76" spans="1:24" ht="15" customHeight="1" x14ac:dyDescent="0.35">
      <c r="A76" s="56" t="s">
        <v>2327</v>
      </c>
      <c r="B76" s="2">
        <v>69</v>
      </c>
      <c r="C76" s="77">
        <v>10023227</v>
      </c>
      <c r="D76" s="74" t="s">
        <v>1856</v>
      </c>
      <c r="E76" s="59" t="s">
        <v>2167</v>
      </c>
      <c r="F76" s="75">
        <v>10</v>
      </c>
      <c r="G76" s="64" t="s">
        <v>0</v>
      </c>
      <c r="H76" s="78">
        <v>42004</v>
      </c>
      <c r="I76" s="4" t="s">
        <v>957</v>
      </c>
      <c r="J76" s="63" t="s">
        <v>1917</v>
      </c>
      <c r="K76" s="63" t="s">
        <v>961</v>
      </c>
      <c r="L76" s="69" t="s">
        <v>950</v>
      </c>
      <c r="M76" s="97">
        <f t="shared" si="6"/>
        <v>70485.2</v>
      </c>
      <c r="N76" s="97">
        <f t="shared" si="9"/>
        <v>7048.52</v>
      </c>
      <c r="O76" s="70">
        <v>70485.2</v>
      </c>
      <c r="P76" s="65">
        <v>114360</v>
      </c>
      <c r="Q76" s="65">
        <f t="shared" si="10"/>
        <v>25159.200000000001</v>
      </c>
      <c r="R76" s="65">
        <f t="shared" si="11"/>
        <v>139519.20000000001</v>
      </c>
      <c r="S76" s="272"/>
      <c r="T76" s="64">
        <v>4</v>
      </c>
      <c r="U76" s="270"/>
      <c r="V76" s="38">
        <v>127778</v>
      </c>
      <c r="W76" s="38">
        <f t="shared" si="12"/>
        <v>28111.16</v>
      </c>
      <c r="X76" s="38">
        <f t="shared" si="13"/>
        <v>155889.16</v>
      </c>
    </row>
    <row r="77" spans="1:24" ht="15" customHeight="1" x14ac:dyDescent="0.35">
      <c r="A77" s="56" t="s">
        <v>2328</v>
      </c>
      <c r="B77" s="2">
        <v>70</v>
      </c>
      <c r="C77" s="77">
        <v>102001024</v>
      </c>
      <c r="D77" s="74" t="s">
        <v>1894</v>
      </c>
      <c r="E77" s="59" t="s">
        <v>2167</v>
      </c>
      <c r="F77" s="75">
        <v>1</v>
      </c>
      <c r="G77" s="64" t="s">
        <v>0</v>
      </c>
      <c r="H77" s="78">
        <v>41891</v>
      </c>
      <c r="I77" s="4" t="s">
        <v>957</v>
      </c>
      <c r="J77" s="63" t="s">
        <v>1917</v>
      </c>
      <c r="K77" s="63" t="s">
        <v>961</v>
      </c>
      <c r="L77" s="69" t="s">
        <v>950</v>
      </c>
      <c r="M77" s="97">
        <f t="shared" si="6"/>
        <v>182690.83</v>
      </c>
      <c r="N77" s="97">
        <f t="shared" si="9"/>
        <v>182690.83</v>
      </c>
      <c r="O77" s="70">
        <v>182690.83</v>
      </c>
      <c r="P77" s="65">
        <v>297990</v>
      </c>
      <c r="Q77" s="65">
        <f t="shared" si="10"/>
        <v>65557.8</v>
      </c>
      <c r="R77" s="65">
        <f t="shared" si="11"/>
        <v>363547.8</v>
      </c>
      <c r="S77" s="272"/>
      <c r="T77" s="64">
        <v>4</v>
      </c>
      <c r="U77" s="270"/>
      <c r="V77" s="38">
        <v>332949</v>
      </c>
      <c r="W77" s="38">
        <f t="shared" si="12"/>
        <v>73248.78</v>
      </c>
      <c r="X77" s="38">
        <f t="shared" si="13"/>
        <v>406197.78</v>
      </c>
    </row>
    <row r="78" spans="1:24" ht="15" customHeight="1" x14ac:dyDescent="0.35">
      <c r="A78" s="56" t="s">
        <v>2329</v>
      </c>
      <c r="B78" s="2">
        <v>71</v>
      </c>
      <c r="C78" s="77">
        <v>102001539</v>
      </c>
      <c r="D78" s="74" t="s">
        <v>1895</v>
      </c>
      <c r="E78" s="59" t="s">
        <v>2167</v>
      </c>
      <c r="F78" s="75">
        <v>4</v>
      </c>
      <c r="G78" s="64" t="s">
        <v>0</v>
      </c>
      <c r="H78" s="64">
        <v>2015</v>
      </c>
      <c r="I78" s="4" t="s">
        <v>957</v>
      </c>
      <c r="J78" s="63" t="s">
        <v>1917</v>
      </c>
      <c r="K78" s="63" t="s">
        <v>961</v>
      </c>
      <c r="L78" s="69" t="s">
        <v>950</v>
      </c>
      <c r="M78" s="97">
        <f t="shared" si="6"/>
        <v>116537.92</v>
      </c>
      <c r="N78" s="97">
        <f t="shared" si="9"/>
        <v>29134.48</v>
      </c>
      <c r="O78" s="70">
        <v>116537.92</v>
      </c>
      <c r="P78" s="65">
        <v>170040</v>
      </c>
      <c r="Q78" s="65">
        <f t="shared" si="10"/>
        <v>37408.800000000003</v>
      </c>
      <c r="R78" s="65">
        <f t="shared" si="11"/>
        <v>207448.8</v>
      </c>
      <c r="S78" s="272"/>
      <c r="T78" s="64">
        <v>4</v>
      </c>
      <c r="U78" s="270"/>
      <c r="V78" s="38">
        <v>189990</v>
      </c>
      <c r="W78" s="38">
        <f t="shared" si="12"/>
        <v>41797.800000000003</v>
      </c>
      <c r="X78" s="38">
        <f t="shared" si="13"/>
        <v>231787.8</v>
      </c>
    </row>
    <row r="79" spans="1:24" ht="15" customHeight="1" x14ac:dyDescent="0.35">
      <c r="A79" s="56" t="s">
        <v>2330</v>
      </c>
      <c r="B79" s="2">
        <v>72</v>
      </c>
      <c r="C79" s="11">
        <v>10138855</v>
      </c>
      <c r="D79" s="3" t="s">
        <v>1886</v>
      </c>
      <c r="E79" s="59" t="s">
        <v>2167</v>
      </c>
      <c r="F79" s="14">
        <v>3</v>
      </c>
      <c r="G79" s="64" t="s">
        <v>0</v>
      </c>
      <c r="H79" s="5">
        <v>41365</v>
      </c>
      <c r="I79" s="4" t="s">
        <v>957</v>
      </c>
      <c r="J79" s="63" t="s">
        <v>1917</v>
      </c>
      <c r="K79" s="63" t="s">
        <v>961</v>
      </c>
      <c r="L79" s="69" t="s">
        <v>950</v>
      </c>
      <c r="M79" s="97">
        <f t="shared" si="6"/>
        <v>73304.25</v>
      </c>
      <c r="N79" s="97">
        <f t="shared" si="9"/>
        <v>24434.75</v>
      </c>
      <c r="O79" s="70">
        <v>73304.25</v>
      </c>
      <c r="P79" s="65">
        <v>116450</v>
      </c>
      <c r="Q79" s="65">
        <f t="shared" si="10"/>
        <v>25619</v>
      </c>
      <c r="R79" s="65">
        <f t="shared" si="11"/>
        <v>142069</v>
      </c>
      <c r="S79" s="272"/>
      <c r="T79" s="64">
        <v>4</v>
      </c>
      <c r="U79" s="270"/>
      <c r="V79" s="38">
        <v>130114</v>
      </c>
      <c r="W79" s="38">
        <f t="shared" si="12"/>
        <v>28625.08</v>
      </c>
      <c r="X79" s="38">
        <f t="shared" si="13"/>
        <v>158739.07999999999</v>
      </c>
    </row>
    <row r="80" spans="1:24" ht="15" customHeight="1" x14ac:dyDescent="0.35">
      <c r="A80" s="56" t="s">
        <v>2331</v>
      </c>
      <c r="B80" s="2">
        <v>73</v>
      </c>
      <c r="C80" s="11">
        <v>102001131</v>
      </c>
      <c r="D80" s="3" t="s">
        <v>1887</v>
      </c>
      <c r="E80" s="59" t="s">
        <v>2167</v>
      </c>
      <c r="F80" s="14">
        <f>8-3</f>
        <v>5</v>
      </c>
      <c r="G80" s="64" t="s">
        <v>0</v>
      </c>
      <c r="H80" s="5">
        <v>41395</v>
      </c>
      <c r="I80" s="4" t="s">
        <v>957</v>
      </c>
      <c r="J80" s="6" t="s">
        <v>1927</v>
      </c>
      <c r="K80" s="63" t="s">
        <v>961</v>
      </c>
      <c r="L80" s="69" t="s">
        <v>950</v>
      </c>
      <c r="M80" s="97">
        <f t="shared" si="6"/>
        <v>1190000</v>
      </c>
      <c r="N80" s="97">
        <f t="shared" si="9"/>
        <v>238000</v>
      </c>
      <c r="O80" s="70">
        <f>1904000/8*5</f>
        <v>1190000</v>
      </c>
      <c r="P80" s="65">
        <v>1895980</v>
      </c>
      <c r="Q80" s="65">
        <f t="shared" si="10"/>
        <v>417115.6</v>
      </c>
      <c r="R80" s="65">
        <f t="shared" si="11"/>
        <v>2313095.6</v>
      </c>
      <c r="S80" s="272"/>
      <c r="T80" s="64">
        <v>4</v>
      </c>
      <c r="U80" s="270"/>
      <c r="V80" s="38">
        <v>2118412</v>
      </c>
      <c r="W80" s="38">
        <f t="shared" si="12"/>
        <v>466050.64</v>
      </c>
      <c r="X80" s="38">
        <f t="shared" si="13"/>
        <v>2584462.64</v>
      </c>
    </row>
    <row r="81" spans="1:24" ht="15" customHeight="1" x14ac:dyDescent="0.35">
      <c r="A81" s="56" t="s">
        <v>2332</v>
      </c>
      <c r="B81" s="2">
        <v>74</v>
      </c>
      <c r="C81" s="11">
        <v>102001016</v>
      </c>
      <c r="D81" s="3" t="s">
        <v>1888</v>
      </c>
      <c r="E81" s="59" t="s">
        <v>2167</v>
      </c>
      <c r="F81" s="14">
        <v>7</v>
      </c>
      <c r="G81" s="64" t="s">
        <v>0</v>
      </c>
      <c r="H81" s="5">
        <v>41426</v>
      </c>
      <c r="I81" s="4" t="s">
        <v>957</v>
      </c>
      <c r="J81" s="63" t="s">
        <v>1917</v>
      </c>
      <c r="K81" s="63" t="s">
        <v>961</v>
      </c>
      <c r="L81" s="69" t="s">
        <v>950</v>
      </c>
      <c r="M81" s="97">
        <f t="shared" si="6"/>
        <v>3290000</v>
      </c>
      <c r="N81" s="97">
        <f t="shared" si="9"/>
        <v>470000</v>
      </c>
      <c r="O81" s="70">
        <v>3290000</v>
      </c>
      <c r="P81" s="65">
        <v>5237450</v>
      </c>
      <c r="Q81" s="65">
        <f t="shared" si="10"/>
        <v>1152239</v>
      </c>
      <c r="R81" s="65">
        <f t="shared" si="11"/>
        <v>6389689</v>
      </c>
      <c r="S81" s="272"/>
      <c r="T81" s="64">
        <v>4</v>
      </c>
      <c r="U81" s="270"/>
      <c r="V81" s="38">
        <v>5851903</v>
      </c>
      <c r="W81" s="38">
        <f t="shared" si="12"/>
        <v>1287418.6599999999</v>
      </c>
      <c r="X81" s="38">
        <f t="shared" si="13"/>
        <v>7139321.6600000001</v>
      </c>
    </row>
    <row r="82" spans="1:24" ht="15" customHeight="1" x14ac:dyDescent="0.35">
      <c r="A82" s="56" t="s">
        <v>2333</v>
      </c>
      <c r="B82" s="2">
        <v>75</v>
      </c>
      <c r="C82" s="77">
        <v>102000936</v>
      </c>
      <c r="D82" s="74" t="s">
        <v>1891</v>
      </c>
      <c r="E82" s="59" t="s">
        <v>2167</v>
      </c>
      <c r="F82" s="75">
        <v>3</v>
      </c>
      <c r="G82" s="64" t="s">
        <v>0</v>
      </c>
      <c r="H82" s="78">
        <v>41891</v>
      </c>
      <c r="I82" s="4" t="s">
        <v>957</v>
      </c>
      <c r="J82" s="63" t="s">
        <v>1917</v>
      </c>
      <c r="K82" s="63" t="s">
        <v>961</v>
      </c>
      <c r="L82" s="69" t="s">
        <v>950</v>
      </c>
      <c r="M82" s="98">
        <f t="shared" si="6"/>
        <v>135797.94</v>
      </c>
      <c r="N82" s="98">
        <f t="shared" si="9"/>
        <v>45265.98</v>
      </c>
      <c r="O82" s="99">
        <v>135797.94</v>
      </c>
      <c r="P82" s="65">
        <v>221500</v>
      </c>
      <c r="Q82" s="65">
        <f t="shared" si="10"/>
        <v>48730</v>
      </c>
      <c r="R82" s="65">
        <f t="shared" si="11"/>
        <v>270230</v>
      </c>
      <c r="S82" s="272"/>
      <c r="T82" s="64">
        <v>4</v>
      </c>
      <c r="U82" s="270"/>
      <c r="V82" s="38">
        <v>247488</v>
      </c>
      <c r="W82" s="38">
        <f t="shared" si="12"/>
        <v>54447.360000000001</v>
      </c>
      <c r="X82" s="38">
        <f t="shared" si="13"/>
        <v>301935.35999999999</v>
      </c>
    </row>
    <row r="83" spans="1:24" ht="15" customHeight="1" x14ac:dyDescent="0.35">
      <c r="A83" s="56" t="s">
        <v>2334</v>
      </c>
      <c r="B83" s="2">
        <v>76</v>
      </c>
      <c r="C83" s="77">
        <v>10124618</v>
      </c>
      <c r="D83" s="74" t="s">
        <v>1892</v>
      </c>
      <c r="E83" s="59" t="s">
        <v>2167</v>
      </c>
      <c r="F83" s="75">
        <v>16</v>
      </c>
      <c r="G83" s="64" t="s">
        <v>0</v>
      </c>
      <c r="H83" s="78">
        <v>41414</v>
      </c>
      <c r="I83" s="4" t="s">
        <v>957</v>
      </c>
      <c r="J83" s="6" t="s">
        <v>1927</v>
      </c>
      <c r="K83" s="63" t="s">
        <v>961</v>
      </c>
      <c r="L83" s="69" t="s">
        <v>950</v>
      </c>
      <c r="M83" s="98">
        <f t="shared" si="6"/>
        <v>317742.15999999997</v>
      </c>
      <c r="N83" s="98">
        <f t="shared" si="9"/>
        <v>19858.89</v>
      </c>
      <c r="O83" s="99">
        <v>317742.15999999997</v>
      </c>
      <c r="P83" s="65">
        <v>506250</v>
      </c>
      <c r="Q83" s="65">
        <f t="shared" si="10"/>
        <v>111375</v>
      </c>
      <c r="R83" s="65">
        <f t="shared" si="11"/>
        <v>617625</v>
      </c>
      <c r="S83" s="272"/>
      <c r="T83" s="64">
        <v>4</v>
      </c>
      <c r="U83" s="270"/>
      <c r="V83" s="38">
        <v>565638</v>
      </c>
      <c r="W83" s="38">
        <f t="shared" si="12"/>
        <v>124440.36</v>
      </c>
      <c r="X83" s="38">
        <f t="shared" si="13"/>
        <v>690078.36</v>
      </c>
    </row>
    <row r="84" spans="1:24" ht="15" customHeight="1" x14ac:dyDescent="0.35">
      <c r="A84" s="56" t="s">
        <v>2335</v>
      </c>
      <c r="B84" s="2">
        <v>77</v>
      </c>
      <c r="C84" s="77">
        <v>102000603</v>
      </c>
      <c r="D84" s="74" t="s">
        <v>1893</v>
      </c>
      <c r="E84" s="59" t="s">
        <v>2167</v>
      </c>
      <c r="F84" s="75">
        <v>2</v>
      </c>
      <c r="G84" s="64" t="s">
        <v>0</v>
      </c>
      <c r="H84" s="78">
        <v>41891</v>
      </c>
      <c r="I84" s="4" t="s">
        <v>957</v>
      </c>
      <c r="J84" s="63" t="s">
        <v>1917</v>
      </c>
      <c r="K84" s="63" t="s">
        <v>961</v>
      </c>
      <c r="L84" s="69" t="s">
        <v>950</v>
      </c>
      <c r="M84" s="98">
        <f t="shared" si="6"/>
        <v>230879.5</v>
      </c>
      <c r="N84" s="98">
        <f t="shared" si="9"/>
        <v>115439.75</v>
      </c>
      <c r="O84" s="99">
        <v>230879.5</v>
      </c>
      <c r="P84" s="65">
        <v>376590</v>
      </c>
      <c r="Q84" s="65">
        <f t="shared" si="10"/>
        <v>82849.8</v>
      </c>
      <c r="R84" s="65">
        <f t="shared" si="11"/>
        <v>459439.8</v>
      </c>
      <c r="S84" s="276"/>
      <c r="T84" s="64">
        <v>4</v>
      </c>
      <c r="U84" s="270"/>
      <c r="V84" s="38">
        <v>420772</v>
      </c>
      <c r="W84" s="38">
        <f t="shared" si="12"/>
        <v>92569.84</v>
      </c>
      <c r="X84" s="38">
        <f t="shared" si="13"/>
        <v>513341.84</v>
      </c>
    </row>
    <row r="85" spans="1:24" ht="18" customHeight="1" x14ac:dyDescent="0.35">
      <c r="A85" s="56"/>
      <c r="B85" s="15"/>
      <c r="C85" s="77"/>
      <c r="D85" s="74"/>
      <c r="E85" s="74"/>
      <c r="F85" s="75"/>
      <c r="G85" s="64"/>
      <c r="H85" s="78"/>
      <c r="I85" s="4"/>
      <c r="J85" s="63"/>
      <c r="K85" s="63"/>
      <c r="L85" s="69"/>
      <c r="M85" s="98"/>
      <c r="N85" s="98"/>
      <c r="O85" s="100">
        <f>SUM(O66:O84)</f>
        <v>8317965.5700000003</v>
      </c>
      <c r="P85" s="100">
        <f t="shared" ref="P85:R85" si="14">SUM(P66:P84)</f>
        <v>13353360</v>
      </c>
      <c r="Q85" s="100">
        <f t="shared" si="14"/>
        <v>2937739.2</v>
      </c>
      <c r="R85" s="100">
        <f t="shared" si="14"/>
        <v>16291099.199999999</v>
      </c>
      <c r="S85" s="72">
        <f>R85/100*10</f>
        <v>1629109.92</v>
      </c>
      <c r="T85" s="73">
        <v>4</v>
      </c>
      <c r="U85" s="271"/>
      <c r="V85" s="38"/>
      <c r="W85" s="38"/>
      <c r="X85" s="38"/>
    </row>
    <row r="86" spans="1:24" ht="15" customHeight="1" x14ac:dyDescent="0.35">
      <c r="A86" s="56" t="s">
        <v>2336</v>
      </c>
      <c r="B86" s="2">
        <v>78</v>
      </c>
      <c r="C86" s="77">
        <v>10135434</v>
      </c>
      <c r="D86" s="74" t="s">
        <v>145</v>
      </c>
      <c r="E86" s="74" t="s">
        <v>2164</v>
      </c>
      <c r="F86" s="75">
        <v>1</v>
      </c>
      <c r="G86" s="64" t="s">
        <v>0</v>
      </c>
      <c r="H86" s="101" t="s">
        <v>2145</v>
      </c>
      <c r="I86" s="61" t="s">
        <v>2158</v>
      </c>
      <c r="J86" s="63" t="s">
        <v>1917</v>
      </c>
      <c r="K86" s="61" t="s">
        <v>961</v>
      </c>
      <c r="L86" s="69" t="s">
        <v>2093</v>
      </c>
      <c r="M86" s="97">
        <f t="shared" si="6"/>
        <v>23546.46</v>
      </c>
      <c r="N86" s="97">
        <f t="shared" ref="N86:N109" si="15">O86/F86</f>
        <v>23546.46</v>
      </c>
      <c r="O86" s="70">
        <v>23546.46</v>
      </c>
      <c r="P86" s="65">
        <v>25310</v>
      </c>
      <c r="Q86" s="65">
        <f t="shared" si="10"/>
        <v>5568.2</v>
      </c>
      <c r="R86" s="65">
        <f t="shared" si="11"/>
        <v>30878.2</v>
      </c>
      <c r="S86" s="272"/>
      <c r="T86" s="64">
        <v>5</v>
      </c>
      <c r="U86" s="274" t="s">
        <v>2253</v>
      </c>
      <c r="V86" s="38">
        <v>28275</v>
      </c>
      <c r="W86" s="38">
        <f t="shared" si="12"/>
        <v>6220.5</v>
      </c>
      <c r="X86" s="38">
        <f t="shared" si="13"/>
        <v>34495.5</v>
      </c>
    </row>
    <row r="87" spans="1:24" ht="15" customHeight="1" x14ac:dyDescent="0.35">
      <c r="A87" s="56" t="s">
        <v>2337</v>
      </c>
      <c r="B87" s="2">
        <v>79</v>
      </c>
      <c r="C87" s="77">
        <v>102002483</v>
      </c>
      <c r="D87" s="74" t="s">
        <v>146</v>
      </c>
      <c r="E87" s="74" t="s">
        <v>2160</v>
      </c>
      <c r="F87" s="75">
        <v>1</v>
      </c>
      <c r="G87" s="64" t="s">
        <v>0</v>
      </c>
      <c r="H87" s="101" t="s">
        <v>2145</v>
      </c>
      <c r="I87" s="61" t="s">
        <v>2158</v>
      </c>
      <c r="J87" s="63" t="s">
        <v>1917</v>
      </c>
      <c r="K87" s="61" t="s">
        <v>961</v>
      </c>
      <c r="L87" s="69" t="s">
        <v>2093</v>
      </c>
      <c r="M87" s="97">
        <f t="shared" si="6"/>
        <v>28999.14</v>
      </c>
      <c r="N87" s="97">
        <f t="shared" si="15"/>
        <v>28999.14</v>
      </c>
      <c r="O87" s="70">
        <v>28999.14</v>
      </c>
      <c r="P87" s="65">
        <v>31170</v>
      </c>
      <c r="Q87" s="65">
        <f t="shared" si="10"/>
        <v>6857.4</v>
      </c>
      <c r="R87" s="65">
        <f t="shared" si="11"/>
        <v>38027.4</v>
      </c>
      <c r="S87" s="272"/>
      <c r="T87" s="64">
        <v>5</v>
      </c>
      <c r="U87" s="274"/>
      <c r="V87" s="38">
        <v>34823</v>
      </c>
      <c r="W87" s="38">
        <f t="shared" si="12"/>
        <v>7661.06</v>
      </c>
      <c r="X87" s="38">
        <f t="shared" si="13"/>
        <v>42484.06</v>
      </c>
    </row>
    <row r="88" spans="1:24" ht="15" customHeight="1" x14ac:dyDescent="0.35">
      <c r="A88" s="56" t="s">
        <v>2338</v>
      </c>
      <c r="B88" s="2">
        <v>80</v>
      </c>
      <c r="C88" s="77">
        <v>10135434</v>
      </c>
      <c r="D88" s="74" t="s">
        <v>145</v>
      </c>
      <c r="E88" s="74" t="s">
        <v>686</v>
      </c>
      <c r="F88" s="75">
        <v>1</v>
      </c>
      <c r="G88" s="64" t="s">
        <v>0</v>
      </c>
      <c r="H88" s="101" t="s">
        <v>2145</v>
      </c>
      <c r="I88" s="61" t="s">
        <v>976</v>
      </c>
      <c r="J88" s="63" t="s">
        <v>1917</v>
      </c>
      <c r="K88" s="63" t="s">
        <v>1926</v>
      </c>
      <c r="L88" s="64" t="s">
        <v>845</v>
      </c>
      <c r="M88" s="102">
        <f t="shared" si="6"/>
        <v>24527.65</v>
      </c>
      <c r="N88" s="102">
        <f t="shared" si="15"/>
        <v>24527.65</v>
      </c>
      <c r="O88" s="65">
        <v>24527.65</v>
      </c>
      <c r="P88" s="65">
        <v>26360</v>
      </c>
      <c r="Q88" s="65">
        <f t="shared" si="10"/>
        <v>5799.2</v>
      </c>
      <c r="R88" s="65">
        <f t="shared" si="11"/>
        <v>32159.200000000001</v>
      </c>
      <c r="S88" s="272"/>
      <c r="T88" s="64">
        <v>5</v>
      </c>
      <c r="U88" s="274"/>
      <c r="V88" s="38">
        <v>29453</v>
      </c>
      <c r="W88" s="38">
        <f t="shared" si="12"/>
        <v>6479.66</v>
      </c>
      <c r="X88" s="38">
        <f t="shared" si="13"/>
        <v>35932.660000000003</v>
      </c>
    </row>
    <row r="89" spans="1:24" ht="15" customHeight="1" x14ac:dyDescent="0.35">
      <c r="A89" s="56" t="s">
        <v>2339</v>
      </c>
      <c r="B89" s="2">
        <v>81</v>
      </c>
      <c r="C89" s="77">
        <v>102001553</v>
      </c>
      <c r="D89" s="74" t="s">
        <v>319</v>
      </c>
      <c r="E89" s="74" t="s">
        <v>2151</v>
      </c>
      <c r="F89" s="75">
        <v>1</v>
      </c>
      <c r="G89" s="64" t="s">
        <v>0</v>
      </c>
      <c r="H89" s="61">
        <v>42824</v>
      </c>
      <c r="I89" s="61" t="s">
        <v>972</v>
      </c>
      <c r="J89" s="63" t="s">
        <v>1917</v>
      </c>
      <c r="K89" s="61" t="s">
        <v>961</v>
      </c>
      <c r="L89" s="61" t="s">
        <v>845</v>
      </c>
      <c r="M89" s="102">
        <f t="shared" si="6"/>
        <v>119148.3</v>
      </c>
      <c r="N89" s="102">
        <f t="shared" si="15"/>
        <v>119148.3</v>
      </c>
      <c r="O89" s="65">
        <v>119148.3</v>
      </c>
      <c r="P89" s="65">
        <v>96730</v>
      </c>
      <c r="Q89" s="65">
        <f t="shared" si="10"/>
        <v>21280.6</v>
      </c>
      <c r="R89" s="65">
        <f t="shared" si="11"/>
        <v>118010.6</v>
      </c>
      <c r="S89" s="272"/>
      <c r="T89" s="64">
        <v>5</v>
      </c>
      <c r="U89" s="274"/>
      <c r="V89" s="38">
        <v>108073</v>
      </c>
      <c r="W89" s="38">
        <f t="shared" si="12"/>
        <v>23776.06</v>
      </c>
      <c r="X89" s="38">
        <f t="shared" si="13"/>
        <v>131849.06</v>
      </c>
    </row>
    <row r="90" spans="1:24" ht="15" customHeight="1" x14ac:dyDescent="0.35">
      <c r="A90" s="56" t="s">
        <v>2340</v>
      </c>
      <c r="B90" s="2">
        <v>82</v>
      </c>
      <c r="C90" s="77">
        <v>10043068</v>
      </c>
      <c r="D90" s="74" t="s">
        <v>41</v>
      </c>
      <c r="E90" s="59" t="s">
        <v>1979</v>
      </c>
      <c r="F90" s="75">
        <v>1</v>
      </c>
      <c r="G90" s="64" t="s">
        <v>0</v>
      </c>
      <c r="H90" s="61">
        <v>41375</v>
      </c>
      <c r="I90" s="61" t="s">
        <v>971</v>
      </c>
      <c r="J90" s="61" t="s">
        <v>959</v>
      </c>
      <c r="K90" s="88" t="s">
        <v>41</v>
      </c>
      <c r="L90" s="88" t="s">
        <v>845</v>
      </c>
      <c r="M90" s="104">
        <f t="shared" si="6"/>
        <v>6141.21</v>
      </c>
      <c r="N90" s="104">
        <f t="shared" si="15"/>
        <v>6141.21</v>
      </c>
      <c r="O90" s="76">
        <v>6141.21</v>
      </c>
      <c r="P90" s="65">
        <v>5740</v>
      </c>
      <c r="Q90" s="65">
        <f t="shared" si="10"/>
        <v>1262.8</v>
      </c>
      <c r="R90" s="65">
        <f t="shared" si="11"/>
        <v>7002.8</v>
      </c>
      <c r="S90" s="272"/>
      <c r="T90" s="64">
        <v>5</v>
      </c>
      <c r="U90" s="274"/>
      <c r="V90" s="38">
        <v>6412</v>
      </c>
      <c r="W90" s="38">
        <f t="shared" si="12"/>
        <v>1410.64</v>
      </c>
      <c r="X90" s="38">
        <f t="shared" si="13"/>
        <v>7822.64</v>
      </c>
    </row>
    <row r="91" spans="1:24" ht="15" customHeight="1" x14ac:dyDescent="0.35">
      <c r="A91" s="56" t="s">
        <v>2341</v>
      </c>
      <c r="B91" s="2">
        <v>83</v>
      </c>
      <c r="C91" s="74">
        <v>10014422</v>
      </c>
      <c r="D91" s="74" t="s">
        <v>1854</v>
      </c>
      <c r="E91" s="74" t="s">
        <v>2175</v>
      </c>
      <c r="F91" s="75">
        <v>1</v>
      </c>
      <c r="G91" s="64" t="s">
        <v>0</v>
      </c>
      <c r="H91" s="64">
        <v>2014</v>
      </c>
      <c r="I91" s="105" t="s">
        <v>971</v>
      </c>
      <c r="J91" s="63" t="s">
        <v>1917</v>
      </c>
      <c r="K91" s="63" t="s">
        <v>961</v>
      </c>
      <c r="L91" s="61" t="s">
        <v>845</v>
      </c>
      <c r="M91" s="102">
        <f t="shared" si="6"/>
        <v>1572.88</v>
      </c>
      <c r="N91" s="102">
        <f t="shared" si="15"/>
        <v>1572.88</v>
      </c>
      <c r="O91" s="65">
        <v>1572.88</v>
      </c>
      <c r="P91" s="65">
        <v>1470</v>
      </c>
      <c r="Q91" s="65">
        <f t="shared" si="10"/>
        <v>323.39999999999998</v>
      </c>
      <c r="R91" s="65">
        <f t="shared" si="11"/>
        <v>1793.4</v>
      </c>
      <c r="S91" s="272"/>
      <c r="T91" s="64">
        <v>5</v>
      </c>
      <c r="U91" s="274"/>
      <c r="V91" s="38">
        <v>1647</v>
      </c>
      <c r="W91" s="38">
        <f t="shared" si="12"/>
        <v>362.34</v>
      </c>
      <c r="X91" s="38">
        <f t="shared" si="13"/>
        <v>2009.34</v>
      </c>
    </row>
    <row r="92" spans="1:24" ht="15" customHeight="1" x14ac:dyDescent="0.35">
      <c r="A92" s="56" t="s">
        <v>2342</v>
      </c>
      <c r="B92" s="2">
        <v>84</v>
      </c>
      <c r="C92" s="89">
        <v>102000978</v>
      </c>
      <c r="D92" s="106" t="s">
        <v>584</v>
      </c>
      <c r="E92" s="74" t="s">
        <v>2184</v>
      </c>
      <c r="F92" s="75">
        <v>1</v>
      </c>
      <c r="G92" s="64" t="s">
        <v>0</v>
      </c>
      <c r="H92" s="61">
        <v>42004</v>
      </c>
      <c r="I92" s="107" t="s">
        <v>976</v>
      </c>
      <c r="J92" s="63" t="s">
        <v>1917</v>
      </c>
      <c r="K92" s="108" t="s">
        <v>741</v>
      </c>
      <c r="L92" s="64" t="s">
        <v>845</v>
      </c>
      <c r="M92" s="102">
        <f t="shared" si="6"/>
        <v>491904</v>
      </c>
      <c r="N92" s="102">
        <f t="shared" si="15"/>
        <v>491904</v>
      </c>
      <c r="O92" s="65">
        <v>491904</v>
      </c>
      <c r="P92" s="65">
        <v>469470</v>
      </c>
      <c r="Q92" s="65">
        <f t="shared" si="10"/>
        <v>103283.4</v>
      </c>
      <c r="R92" s="65">
        <f t="shared" si="11"/>
        <v>572753.4</v>
      </c>
      <c r="S92" s="272"/>
      <c r="T92" s="64">
        <v>5</v>
      </c>
      <c r="U92" s="274"/>
      <c r="V92" s="38">
        <v>524551</v>
      </c>
      <c r="W92" s="38">
        <f t="shared" si="12"/>
        <v>115401.22</v>
      </c>
      <c r="X92" s="38">
        <f t="shared" si="13"/>
        <v>639952.22</v>
      </c>
    </row>
    <row r="93" spans="1:24" ht="15" customHeight="1" x14ac:dyDescent="0.35">
      <c r="A93" s="56" t="s">
        <v>2343</v>
      </c>
      <c r="B93" s="2">
        <v>85</v>
      </c>
      <c r="C93" s="89">
        <v>102000795</v>
      </c>
      <c r="D93" s="106" t="s">
        <v>586</v>
      </c>
      <c r="E93" s="74" t="s">
        <v>2184</v>
      </c>
      <c r="F93" s="75">
        <v>1</v>
      </c>
      <c r="G93" s="64" t="s">
        <v>0</v>
      </c>
      <c r="H93" s="61">
        <v>42004</v>
      </c>
      <c r="I93" s="107" t="s">
        <v>976</v>
      </c>
      <c r="J93" s="63" t="s">
        <v>1917</v>
      </c>
      <c r="K93" s="108" t="s">
        <v>742</v>
      </c>
      <c r="L93" s="64" t="s">
        <v>845</v>
      </c>
      <c r="M93" s="102">
        <f t="shared" si="6"/>
        <v>505960</v>
      </c>
      <c r="N93" s="102">
        <f t="shared" si="15"/>
        <v>505960</v>
      </c>
      <c r="O93" s="65">
        <v>505960</v>
      </c>
      <c r="P93" s="65">
        <v>482890</v>
      </c>
      <c r="Q93" s="65">
        <f t="shared" si="10"/>
        <v>106235.8</v>
      </c>
      <c r="R93" s="65">
        <f t="shared" si="11"/>
        <v>589125.80000000005</v>
      </c>
      <c r="S93" s="272"/>
      <c r="T93" s="64">
        <v>5</v>
      </c>
      <c r="U93" s="274"/>
      <c r="V93" s="38">
        <v>539540</v>
      </c>
      <c r="W93" s="38">
        <f t="shared" si="12"/>
        <v>118698.8</v>
      </c>
      <c r="X93" s="38">
        <f t="shared" si="13"/>
        <v>658238.80000000005</v>
      </c>
    </row>
    <row r="94" spans="1:24" ht="15" customHeight="1" x14ac:dyDescent="0.35">
      <c r="A94" s="56" t="s">
        <v>2344</v>
      </c>
      <c r="B94" s="2">
        <v>86</v>
      </c>
      <c r="C94" s="89">
        <v>102001048</v>
      </c>
      <c r="D94" s="106" t="s">
        <v>587</v>
      </c>
      <c r="E94" s="74" t="s">
        <v>2184</v>
      </c>
      <c r="F94" s="75">
        <v>1</v>
      </c>
      <c r="G94" s="64" t="s">
        <v>0</v>
      </c>
      <c r="H94" s="61">
        <v>42004</v>
      </c>
      <c r="I94" s="107" t="s">
        <v>976</v>
      </c>
      <c r="J94" s="63" t="s">
        <v>1917</v>
      </c>
      <c r="K94" s="108" t="s">
        <v>743</v>
      </c>
      <c r="L94" s="64" t="s">
        <v>845</v>
      </c>
      <c r="M94" s="102">
        <f t="shared" si="6"/>
        <v>273280</v>
      </c>
      <c r="N94" s="102">
        <f t="shared" si="15"/>
        <v>273280</v>
      </c>
      <c r="O94" s="65">
        <v>273280</v>
      </c>
      <c r="P94" s="65">
        <v>260820</v>
      </c>
      <c r="Q94" s="65">
        <f t="shared" si="10"/>
        <v>57380.4</v>
      </c>
      <c r="R94" s="65">
        <f t="shared" si="11"/>
        <v>318200.40000000002</v>
      </c>
      <c r="S94" s="272"/>
      <c r="T94" s="64">
        <v>5</v>
      </c>
      <c r="U94" s="274"/>
      <c r="V94" s="38">
        <v>291417</v>
      </c>
      <c r="W94" s="38">
        <f t="shared" si="12"/>
        <v>64111.74</v>
      </c>
      <c r="X94" s="38">
        <f t="shared" si="13"/>
        <v>355528.74</v>
      </c>
    </row>
    <row r="95" spans="1:24" ht="15" customHeight="1" x14ac:dyDescent="0.35">
      <c r="A95" s="56" t="s">
        <v>2345</v>
      </c>
      <c r="B95" s="2">
        <v>87</v>
      </c>
      <c r="C95" s="89">
        <v>102001084</v>
      </c>
      <c r="D95" s="106" t="s">
        <v>581</v>
      </c>
      <c r="E95" s="74" t="s">
        <v>686</v>
      </c>
      <c r="F95" s="75">
        <v>1</v>
      </c>
      <c r="G95" s="64" t="s">
        <v>0</v>
      </c>
      <c r="H95" s="61">
        <v>42004</v>
      </c>
      <c r="I95" s="107" t="s">
        <v>976</v>
      </c>
      <c r="J95" s="63" t="s">
        <v>1917</v>
      </c>
      <c r="K95" s="108" t="s">
        <v>803</v>
      </c>
      <c r="L95" s="64" t="s">
        <v>845</v>
      </c>
      <c r="M95" s="102">
        <f t="shared" si="6"/>
        <v>73050</v>
      </c>
      <c r="N95" s="102">
        <f t="shared" si="15"/>
        <v>73050</v>
      </c>
      <c r="O95" s="65">
        <v>73050</v>
      </c>
      <c r="P95" s="65">
        <v>69720</v>
      </c>
      <c r="Q95" s="65">
        <f t="shared" si="10"/>
        <v>15338.4</v>
      </c>
      <c r="R95" s="65">
        <f t="shared" si="11"/>
        <v>85058.4</v>
      </c>
      <c r="S95" s="272"/>
      <c r="T95" s="64">
        <v>5</v>
      </c>
      <c r="U95" s="274"/>
      <c r="V95" s="38">
        <v>77898</v>
      </c>
      <c r="W95" s="38">
        <f t="shared" si="12"/>
        <v>17137.560000000001</v>
      </c>
      <c r="X95" s="38">
        <f t="shared" si="13"/>
        <v>95035.56</v>
      </c>
    </row>
    <row r="96" spans="1:24" ht="15" customHeight="1" x14ac:dyDescent="0.35">
      <c r="A96" s="56" t="s">
        <v>2346</v>
      </c>
      <c r="B96" s="2">
        <v>88</v>
      </c>
      <c r="C96" s="89">
        <v>10105838</v>
      </c>
      <c r="D96" s="90" t="s">
        <v>582</v>
      </c>
      <c r="E96" s="74" t="s">
        <v>686</v>
      </c>
      <c r="F96" s="75">
        <v>1</v>
      </c>
      <c r="G96" s="64" t="s">
        <v>0</v>
      </c>
      <c r="H96" s="61">
        <v>42004</v>
      </c>
      <c r="I96" s="107" t="s">
        <v>976</v>
      </c>
      <c r="J96" s="63" t="s">
        <v>1917</v>
      </c>
      <c r="K96" s="108" t="s">
        <v>804</v>
      </c>
      <c r="L96" s="64" t="s">
        <v>845</v>
      </c>
      <c r="M96" s="102">
        <f t="shared" si="6"/>
        <v>12777.7</v>
      </c>
      <c r="N96" s="102">
        <f t="shared" si="15"/>
        <v>12777.7</v>
      </c>
      <c r="O96" s="65">
        <v>12777.7</v>
      </c>
      <c r="P96" s="65">
        <v>12200</v>
      </c>
      <c r="Q96" s="65">
        <f t="shared" si="10"/>
        <v>2684</v>
      </c>
      <c r="R96" s="65">
        <f t="shared" si="11"/>
        <v>14884</v>
      </c>
      <c r="S96" s="272"/>
      <c r="T96" s="64">
        <v>5</v>
      </c>
      <c r="U96" s="274"/>
      <c r="V96" s="38">
        <v>13626</v>
      </c>
      <c r="W96" s="38">
        <f t="shared" si="12"/>
        <v>2997.72</v>
      </c>
      <c r="X96" s="38">
        <f t="shared" si="13"/>
        <v>16623.72</v>
      </c>
    </row>
    <row r="97" spans="1:24" ht="15" customHeight="1" x14ac:dyDescent="0.35">
      <c r="A97" s="56" t="s">
        <v>2347</v>
      </c>
      <c r="B97" s="2">
        <v>89</v>
      </c>
      <c r="C97" s="89">
        <v>10105837</v>
      </c>
      <c r="D97" s="90" t="s">
        <v>583</v>
      </c>
      <c r="E97" s="74" t="s">
        <v>686</v>
      </c>
      <c r="F97" s="75">
        <v>1</v>
      </c>
      <c r="G97" s="64" t="s">
        <v>0</v>
      </c>
      <c r="H97" s="61">
        <v>42004</v>
      </c>
      <c r="I97" s="107" t="s">
        <v>976</v>
      </c>
      <c r="J97" s="63" t="s">
        <v>1917</v>
      </c>
      <c r="K97" s="108" t="s">
        <v>805</v>
      </c>
      <c r="L97" s="64" t="s">
        <v>845</v>
      </c>
      <c r="M97" s="102">
        <f t="shared" si="6"/>
        <v>12870.25</v>
      </c>
      <c r="N97" s="102">
        <f t="shared" si="15"/>
        <v>12870.25</v>
      </c>
      <c r="O97" s="65">
        <v>12870.25</v>
      </c>
      <c r="P97" s="65">
        <v>12280</v>
      </c>
      <c r="Q97" s="65">
        <f t="shared" si="10"/>
        <v>2701.6</v>
      </c>
      <c r="R97" s="65">
        <f t="shared" si="11"/>
        <v>14981.6</v>
      </c>
      <c r="S97" s="272"/>
      <c r="T97" s="64">
        <v>5</v>
      </c>
      <c r="U97" s="274"/>
      <c r="V97" s="38">
        <v>13724</v>
      </c>
      <c r="W97" s="38">
        <f t="shared" si="12"/>
        <v>3019.28</v>
      </c>
      <c r="X97" s="38">
        <f t="shared" si="13"/>
        <v>16743.28</v>
      </c>
    </row>
    <row r="98" spans="1:24" ht="15" customHeight="1" x14ac:dyDescent="0.35">
      <c r="A98" s="56" t="s">
        <v>2348</v>
      </c>
      <c r="B98" s="2">
        <v>90</v>
      </c>
      <c r="C98" s="89">
        <v>10090466</v>
      </c>
      <c r="D98" s="90" t="s">
        <v>585</v>
      </c>
      <c r="E98" s="74" t="s">
        <v>686</v>
      </c>
      <c r="F98" s="75">
        <v>1</v>
      </c>
      <c r="G98" s="64" t="s">
        <v>0</v>
      </c>
      <c r="H98" s="61">
        <v>42004</v>
      </c>
      <c r="I98" s="107" t="s">
        <v>976</v>
      </c>
      <c r="J98" s="63" t="s">
        <v>1917</v>
      </c>
      <c r="K98" s="108" t="s">
        <v>637</v>
      </c>
      <c r="L98" s="64" t="s">
        <v>845</v>
      </c>
      <c r="M98" s="102">
        <f t="shared" si="6"/>
        <v>13596.11</v>
      </c>
      <c r="N98" s="102">
        <f t="shared" si="15"/>
        <v>13596.11</v>
      </c>
      <c r="O98" s="65">
        <v>13596.11</v>
      </c>
      <c r="P98" s="65">
        <v>12980</v>
      </c>
      <c r="Q98" s="65">
        <f t="shared" si="10"/>
        <v>2855.6</v>
      </c>
      <c r="R98" s="65">
        <f t="shared" si="11"/>
        <v>15835.6</v>
      </c>
      <c r="S98" s="272"/>
      <c r="T98" s="64">
        <v>5</v>
      </c>
      <c r="U98" s="274"/>
      <c r="V98" s="38">
        <v>14498</v>
      </c>
      <c r="W98" s="38">
        <f t="shared" si="12"/>
        <v>3189.56</v>
      </c>
      <c r="X98" s="38">
        <f t="shared" si="13"/>
        <v>17687.560000000001</v>
      </c>
    </row>
    <row r="99" spans="1:24" ht="15" customHeight="1" x14ac:dyDescent="0.35">
      <c r="A99" s="56" t="s">
        <v>2349</v>
      </c>
      <c r="B99" s="2">
        <v>91</v>
      </c>
      <c r="C99" s="89">
        <v>10018119</v>
      </c>
      <c r="D99" s="90" t="s">
        <v>588</v>
      </c>
      <c r="E99" s="74" t="s">
        <v>686</v>
      </c>
      <c r="F99" s="75">
        <v>1</v>
      </c>
      <c r="G99" s="64" t="s">
        <v>0</v>
      </c>
      <c r="H99" s="61">
        <v>42004</v>
      </c>
      <c r="I99" s="107" t="s">
        <v>976</v>
      </c>
      <c r="J99" s="63" t="s">
        <v>1917</v>
      </c>
      <c r="K99" s="108" t="s">
        <v>806</v>
      </c>
      <c r="L99" s="64" t="s">
        <v>845</v>
      </c>
      <c r="M99" s="102">
        <f t="shared" si="6"/>
        <v>4230.99</v>
      </c>
      <c r="N99" s="102">
        <f t="shared" si="15"/>
        <v>4230.99</v>
      </c>
      <c r="O99" s="65">
        <v>4230.99</v>
      </c>
      <c r="P99" s="65">
        <v>4040</v>
      </c>
      <c r="Q99" s="65">
        <f t="shared" si="10"/>
        <v>888.8</v>
      </c>
      <c r="R99" s="65">
        <f t="shared" si="11"/>
        <v>4928.8</v>
      </c>
      <c r="S99" s="272"/>
      <c r="T99" s="64">
        <v>5</v>
      </c>
      <c r="U99" s="274"/>
      <c r="V99" s="38">
        <v>4512</v>
      </c>
      <c r="W99" s="38">
        <f t="shared" si="12"/>
        <v>992.64</v>
      </c>
      <c r="X99" s="38">
        <f t="shared" si="13"/>
        <v>5504.64</v>
      </c>
    </row>
    <row r="100" spans="1:24" ht="15" customHeight="1" x14ac:dyDescent="0.35">
      <c r="A100" s="56" t="s">
        <v>2350</v>
      </c>
      <c r="B100" s="2">
        <v>92</v>
      </c>
      <c r="C100" s="109">
        <v>102001048</v>
      </c>
      <c r="D100" s="110" t="s">
        <v>901</v>
      </c>
      <c r="E100" s="74" t="s">
        <v>2151</v>
      </c>
      <c r="F100" s="91">
        <v>1</v>
      </c>
      <c r="G100" s="64" t="s">
        <v>0</v>
      </c>
      <c r="H100" s="111" t="s">
        <v>2145</v>
      </c>
      <c r="I100" s="63" t="s">
        <v>972</v>
      </c>
      <c r="J100" s="63" t="s">
        <v>1917</v>
      </c>
      <c r="K100" s="63" t="s">
        <v>961</v>
      </c>
      <c r="L100" s="61" t="s">
        <v>845</v>
      </c>
      <c r="M100" s="102">
        <f t="shared" si="6"/>
        <v>273280</v>
      </c>
      <c r="N100" s="102">
        <f t="shared" si="15"/>
        <v>273280</v>
      </c>
      <c r="O100" s="65">
        <v>273280</v>
      </c>
      <c r="P100" s="65">
        <v>260820</v>
      </c>
      <c r="Q100" s="65">
        <f t="shared" si="10"/>
        <v>57380.4</v>
      </c>
      <c r="R100" s="65">
        <f t="shared" si="11"/>
        <v>318200.40000000002</v>
      </c>
      <c r="S100" s="272"/>
      <c r="T100" s="64">
        <v>5</v>
      </c>
      <c r="U100" s="274"/>
      <c r="V100" s="38">
        <v>291417</v>
      </c>
      <c r="W100" s="38">
        <f t="shared" si="12"/>
        <v>64111.74</v>
      </c>
      <c r="X100" s="38">
        <f t="shared" si="13"/>
        <v>355528.74</v>
      </c>
    </row>
    <row r="101" spans="1:24" ht="16.5" customHeight="1" x14ac:dyDescent="0.35">
      <c r="A101" s="56" t="s">
        <v>2351</v>
      </c>
      <c r="B101" s="2">
        <v>93</v>
      </c>
      <c r="C101" s="109">
        <v>102001516</v>
      </c>
      <c r="D101" s="110" t="s">
        <v>902</v>
      </c>
      <c r="E101" s="74" t="s">
        <v>2147</v>
      </c>
      <c r="F101" s="91">
        <v>1</v>
      </c>
      <c r="G101" s="64" t="s">
        <v>0</v>
      </c>
      <c r="H101" s="111" t="s">
        <v>2145</v>
      </c>
      <c r="I101" s="63" t="s">
        <v>972</v>
      </c>
      <c r="J101" s="112" t="s">
        <v>959</v>
      </c>
      <c r="K101" s="63" t="s">
        <v>961</v>
      </c>
      <c r="L101" s="61" t="s">
        <v>845</v>
      </c>
      <c r="M101" s="102">
        <f t="shared" si="6"/>
        <v>55760</v>
      </c>
      <c r="N101" s="102">
        <f t="shared" si="15"/>
        <v>55760</v>
      </c>
      <c r="O101" s="65">
        <v>55760</v>
      </c>
      <c r="P101" s="65">
        <v>59930</v>
      </c>
      <c r="Q101" s="65">
        <f t="shared" si="10"/>
        <v>13184.6</v>
      </c>
      <c r="R101" s="65">
        <f t="shared" si="11"/>
        <v>73114.600000000006</v>
      </c>
      <c r="S101" s="272"/>
      <c r="T101" s="64">
        <v>5</v>
      </c>
      <c r="U101" s="274"/>
      <c r="V101" s="38">
        <v>66957</v>
      </c>
      <c r="W101" s="38">
        <f t="shared" si="12"/>
        <v>14730.54</v>
      </c>
      <c r="X101" s="38">
        <f t="shared" si="13"/>
        <v>81687.539999999994</v>
      </c>
    </row>
    <row r="102" spans="1:24" ht="15" customHeight="1" x14ac:dyDescent="0.35">
      <c r="A102" s="56" t="s">
        <v>2352</v>
      </c>
      <c r="B102" s="2">
        <v>94</v>
      </c>
      <c r="C102" s="77">
        <v>10090852</v>
      </c>
      <c r="D102" s="74" t="s">
        <v>1254</v>
      </c>
      <c r="E102" s="74" t="s">
        <v>2159</v>
      </c>
      <c r="F102" s="75">
        <v>1</v>
      </c>
      <c r="G102" s="64" t="s">
        <v>0</v>
      </c>
      <c r="H102" s="64">
        <v>2014</v>
      </c>
      <c r="I102" s="61" t="s">
        <v>2158</v>
      </c>
      <c r="J102" s="63" t="s">
        <v>1917</v>
      </c>
      <c r="K102" s="101" t="s">
        <v>961</v>
      </c>
      <c r="L102" s="88" t="s">
        <v>845</v>
      </c>
      <c r="M102" s="104">
        <f t="shared" si="6"/>
        <v>1939.06</v>
      </c>
      <c r="N102" s="104">
        <f t="shared" si="15"/>
        <v>1939.06</v>
      </c>
      <c r="O102" s="76">
        <v>1939.06</v>
      </c>
      <c r="P102" s="65">
        <v>1840</v>
      </c>
      <c r="Q102" s="65">
        <f t="shared" si="10"/>
        <v>404.8</v>
      </c>
      <c r="R102" s="65">
        <f t="shared" si="11"/>
        <v>2244.8000000000002</v>
      </c>
      <c r="S102" s="272"/>
      <c r="T102" s="64">
        <v>5</v>
      </c>
      <c r="U102" s="274"/>
      <c r="V102" s="38">
        <v>2061</v>
      </c>
      <c r="W102" s="38">
        <f t="shared" si="12"/>
        <v>453.42</v>
      </c>
      <c r="X102" s="38">
        <f t="shared" si="13"/>
        <v>2514.42</v>
      </c>
    </row>
    <row r="103" spans="1:24" ht="15" customHeight="1" x14ac:dyDescent="0.35">
      <c r="A103" s="56" t="s">
        <v>2353</v>
      </c>
      <c r="B103" s="2">
        <v>95</v>
      </c>
      <c r="C103" s="77">
        <v>10007268</v>
      </c>
      <c r="D103" s="74" t="s">
        <v>35</v>
      </c>
      <c r="E103" s="59" t="s">
        <v>2167</v>
      </c>
      <c r="F103" s="75">
        <f>2-1</f>
        <v>1</v>
      </c>
      <c r="G103" s="64" t="s">
        <v>0</v>
      </c>
      <c r="H103" s="61">
        <v>41962</v>
      </c>
      <c r="I103" s="4" t="s">
        <v>957</v>
      </c>
      <c r="J103" s="63" t="s">
        <v>1917</v>
      </c>
      <c r="K103" s="61" t="s">
        <v>2004</v>
      </c>
      <c r="L103" s="61" t="s">
        <v>2097</v>
      </c>
      <c r="M103" s="102">
        <f t="shared" si="6"/>
        <v>877.71</v>
      </c>
      <c r="N103" s="102">
        <f t="shared" si="15"/>
        <v>877.71</v>
      </c>
      <c r="O103" s="65">
        <f>1755.42/2*1</f>
        <v>877.71</v>
      </c>
      <c r="P103" s="65">
        <v>1220</v>
      </c>
      <c r="Q103" s="65">
        <f t="shared" si="10"/>
        <v>268.39999999999998</v>
      </c>
      <c r="R103" s="65">
        <f t="shared" si="11"/>
        <v>1488.4</v>
      </c>
      <c r="S103" s="272"/>
      <c r="T103" s="64">
        <v>5</v>
      </c>
      <c r="U103" s="274"/>
      <c r="V103" s="38">
        <v>1368</v>
      </c>
      <c r="W103" s="38">
        <f t="shared" si="12"/>
        <v>300.95999999999998</v>
      </c>
      <c r="X103" s="38">
        <f t="shared" si="13"/>
        <v>1668.96</v>
      </c>
    </row>
    <row r="104" spans="1:24" ht="15" customHeight="1" x14ac:dyDescent="0.35">
      <c r="A104" s="56" t="s">
        <v>2354</v>
      </c>
      <c r="B104" s="2">
        <v>96</v>
      </c>
      <c r="C104" s="109">
        <v>102001186</v>
      </c>
      <c r="D104" s="110" t="s">
        <v>896</v>
      </c>
      <c r="E104" s="74" t="s">
        <v>2147</v>
      </c>
      <c r="F104" s="91">
        <v>1</v>
      </c>
      <c r="G104" s="64" t="s">
        <v>0</v>
      </c>
      <c r="H104" s="111" t="s">
        <v>2145</v>
      </c>
      <c r="I104" s="63" t="s">
        <v>972</v>
      </c>
      <c r="J104" s="63" t="s">
        <v>1917</v>
      </c>
      <c r="K104" s="63" t="s">
        <v>961</v>
      </c>
      <c r="L104" s="61" t="s">
        <v>845</v>
      </c>
      <c r="M104" s="65">
        <f t="shared" si="6"/>
        <v>459032</v>
      </c>
      <c r="N104" s="113">
        <f t="shared" si="15"/>
        <v>459032</v>
      </c>
      <c r="O104" s="65">
        <v>459032</v>
      </c>
      <c r="P104" s="65">
        <v>493330</v>
      </c>
      <c r="Q104" s="65">
        <f t="shared" si="10"/>
        <v>108532.6</v>
      </c>
      <c r="R104" s="65">
        <f t="shared" si="11"/>
        <v>601862.6</v>
      </c>
      <c r="S104" s="272"/>
      <c r="T104" s="64">
        <v>5</v>
      </c>
      <c r="U104" s="274"/>
      <c r="V104" s="38">
        <v>551211</v>
      </c>
      <c r="W104" s="38">
        <f t="shared" si="12"/>
        <v>121266.42</v>
      </c>
      <c r="X104" s="38">
        <f t="shared" si="13"/>
        <v>672477.42</v>
      </c>
    </row>
    <row r="105" spans="1:24" ht="15" customHeight="1" x14ac:dyDescent="0.35">
      <c r="A105" s="56" t="s">
        <v>2355</v>
      </c>
      <c r="B105" s="2">
        <v>97</v>
      </c>
      <c r="C105" s="109">
        <v>102001328</v>
      </c>
      <c r="D105" s="110" t="s">
        <v>897</v>
      </c>
      <c r="E105" s="74" t="s">
        <v>2147</v>
      </c>
      <c r="F105" s="114">
        <v>2</v>
      </c>
      <c r="G105" s="64" t="s">
        <v>0</v>
      </c>
      <c r="H105" s="111" t="s">
        <v>2145</v>
      </c>
      <c r="I105" s="63" t="s">
        <v>972</v>
      </c>
      <c r="J105" s="112" t="s">
        <v>959</v>
      </c>
      <c r="K105" s="63" t="s">
        <v>961</v>
      </c>
      <c r="L105" s="61" t="s">
        <v>845</v>
      </c>
      <c r="M105" s="102">
        <f t="shared" si="6"/>
        <v>289833.59999999998</v>
      </c>
      <c r="N105" s="102">
        <f t="shared" si="15"/>
        <v>144916.79999999999</v>
      </c>
      <c r="O105" s="65">
        <v>289833.59999999998</v>
      </c>
      <c r="P105" s="65">
        <v>311490</v>
      </c>
      <c r="Q105" s="65">
        <f t="shared" si="10"/>
        <v>68527.8</v>
      </c>
      <c r="R105" s="65">
        <f t="shared" si="11"/>
        <v>380017.8</v>
      </c>
      <c r="S105" s="272"/>
      <c r="T105" s="64">
        <v>5</v>
      </c>
      <c r="U105" s="274"/>
      <c r="V105" s="38">
        <v>348036</v>
      </c>
      <c r="W105" s="38">
        <f t="shared" si="12"/>
        <v>76567.92</v>
      </c>
      <c r="X105" s="38">
        <f t="shared" si="13"/>
        <v>424603.92</v>
      </c>
    </row>
    <row r="106" spans="1:24" ht="15" customHeight="1" x14ac:dyDescent="0.35">
      <c r="A106" s="56" t="s">
        <v>2356</v>
      </c>
      <c r="B106" s="2">
        <v>98</v>
      </c>
      <c r="C106" s="109">
        <v>102001279</v>
      </c>
      <c r="D106" s="110" t="s">
        <v>898</v>
      </c>
      <c r="E106" s="74" t="s">
        <v>2147</v>
      </c>
      <c r="F106" s="91">
        <v>1</v>
      </c>
      <c r="G106" s="64" t="s">
        <v>0</v>
      </c>
      <c r="H106" s="111" t="s">
        <v>2145</v>
      </c>
      <c r="I106" s="63" t="s">
        <v>972</v>
      </c>
      <c r="J106" s="112" t="s">
        <v>959</v>
      </c>
      <c r="K106" s="63" t="s">
        <v>961</v>
      </c>
      <c r="L106" s="61" t="s">
        <v>845</v>
      </c>
      <c r="M106" s="102">
        <f t="shared" si="6"/>
        <v>224448</v>
      </c>
      <c r="N106" s="102">
        <f t="shared" si="15"/>
        <v>224448</v>
      </c>
      <c r="O106" s="65">
        <v>224448</v>
      </c>
      <c r="P106" s="65">
        <v>241220</v>
      </c>
      <c r="Q106" s="65">
        <f t="shared" si="10"/>
        <v>53068.4</v>
      </c>
      <c r="R106" s="65">
        <f t="shared" si="11"/>
        <v>294288.40000000002</v>
      </c>
      <c r="S106" s="272"/>
      <c r="T106" s="64">
        <v>5</v>
      </c>
      <c r="U106" s="274"/>
      <c r="V106" s="38">
        <v>269520</v>
      </c>
      <c r="W106" s="38">
        <f t="shared" si="12"/>
        <v>59294.400000000001</v>
      </c>
      <c r="X106" s="38">
        <f t="shared" si="13"/>
        <v>328814.40000000002</v>
      </c>
    </row>
    <row r="107" spans="1:24" ht="15" customHeight="1" x14ac:dyDescent="0.35">
      <c r="A107" s="56" t="s">
        <v>2357</v>
      </c>
      <c r="B107" s="2">
        <v>99</v>
      </c>
      <c r="C107" s="109">
        <v>102001374</v>
      </c>
      <c r="D107" s="110" t="s">
        <v>899</v>
      </c>
      <c r="E107" s="74" t="s">
        <v>2147</v>
      </c>
      <c r="F107" s="114">
        <v>2</v>
      </c>
      <c r="G107" s="64" t="s">
        <v>0</v>
      </c>
      <c r="H107" s="111" t="s">
        <v>2145</v>
      </c>
      <c r="I107" s="63" t="s">
        <v>972</v>
      </c>
      <c r="J107" s="63" t="s">
        <v>1917</v>
      </c>
      <c r="K107" s="63" t="s">
        <v>961</v>
      </c>
      <c r="L107" s="61" t="s">
        <v>845</v>
      </c>
      <c r="M107" s="102">
        <f t="shared" si="6"/>
        <v>130144</v>
      </c>
      <c r="N107" s="102">
        <f t="shared" si="15"/>
        <v>65072</v>
      </c>
      <c r="O107" s="65">
        <v>130144</v>
      </c>
      <c r="P107" s="65">
        <v>139870</v>
      </c>
      <c r="Q107" s="65">
        <f t="shared" si="10"/>
        <v>30771.4</v>
      </c>
      <c r="R107" s="65">
        <f t="shared" si="11"/>
        <v>170641.4</v>
      </c>
      <c r="S107" s="272"/>
      <c r="T107" s="64">
        <v>5</v>
      </c>
      <c r="U107" s="274"/>
      <c r="V107" s="38">
        <v>156278</v>
      </c>
      <c r="W107" s="38">
        <f t="shared" si="12"/>
        <v>34381.160000000003</v>
      </c>
      <c r="X107" s="38">
        <f t="shared" si="13"/>
        <v>190659.16</v>
      </c>
    </row>
    <row r="108" spans="1:24" ht="15" customHeight="1" x14ac:dyDescent="0.35">
      <c r="A108" s="56" t="s">
        <v>2358</v>
      </c>
      <c r="B108" s="2">
        <v>100</v>
      </c>
      <c r="C108" s="109">
        <v>102000961</v>
      </c>
      <c r="D108" s="110" t="s">
        <v>900</v>
      </c>
      <c r="E108" s="74" t="s">
        <v>2147</v>
      </c>
      <c r="F108" s="114">
        <v>2</v>
      </c>
      <c r="G108" s="64" t="s">
        <v>0</v>
      </c>
      <c r="H108" s="111" t="s">
        <v>2145</v>
      </c>
      <c r="I108" s="63" t="s">
        <v>972</v>
      </c>
      <c r="J108" s="112" t="s">
        <v>959</v>
      </c>
      <c r="K108" s="63" t="s">
        <v>961</v>
      </c>
      <c r="L108" s="61" t="s">
        <v>845</v>
      </c>
      <c r="M108" s="102">
        <f t="shared" si="6"/>
        <v>132966.39999999999</v>
      </c>
      <c r="N108" s="102">
        <f t="shared" si="15"/>
        <v>66483.199999999997</v>
      </c>
      <c r="O108" s="65">
        <v>132966.39999999999</v>
      </c>
      <c r="P108" s="65">
        <v>142900</v>
      </c>
      <c r="Q108" s="65">
        <f t="shared" si="10"/>
        <v>31438</v>
      </c>
      <c r="R108" s="65">
        <f t="shared" si="11"/>
        <v>174338</v>
      </c>
      <c r="S108" s="272"/>
      <c r="T108" s="64">
        <v>5</v>
      </c>
      <c r="U108" s="274"/>
      <c r="V108" s="38">
        <v>159668</v>
      </c>
      <c r="W108" s="38">
        <f t="shared" si="12"/>
        <v>35126.959999999999</v>
      </c>
      <c r="X108" s="38">
        <f t="shared" si="13"/>
        <v>194794.96</v>
      </c>
    </row>
    <row r="109" spans="1:24" ht="37.5" customHeight="1" x14ac:dyDescent="0.35">
      <c r="A109" s="56" t="s">
        <v>2359</v>
      </c>
      <c r="B109" s="2">
        <v>101</v>
      </c>
      <c r="C109" s="77">
        <v>10008919</v>
      </c>
      <c r="D109" s="74" t="s">
        <v>63</v>
      </c>
      <c r="E109" s="59" t="s">
        <v>2167</v>
      </c>
      <c r="F109" s="75">
        <v>4</v>
      </c>
      <c r="G109" s="64" t="s">
        <v>0</v>
      </c>
      <c r="H109" s="101">
        <v>2014</v>
      </c>
      <c r="I109" s="4" t="s">
        <v>957</v>
      </c>
      <c r="J109" s="108" t="s">
        <v>2236</v>
      </c>
      <c r="K109" s="101" t="s">
        <v>2009</v>
      </c>
      <c r="L109" s="115" t="s">
        <v>1919</v>
      </c>
      <c r="M109" s="116">
        <f t="shared" si="6"/>
        <v>28952.16</v>
      </c>
      <c r="N109" s="116">
        <f t="shared" si="15"/>
        <v>7238.04</v>
      </c>
      <c r="O109" s="117">
        <v>28952.16</v>
      </c>
      <c r="P109" s="65">
        <v>27540</v>
      </c>
      <c r="Q109" s="65">
        <f t="shared" si="10"/>
        <v>6058.8</v>
      </c>
      <c r="R109" s="65">
        <f t="shared" si="11"/>
        <v>33598.800000000003</v>
      </c>
      <c r="S109" s="276"/>
      <c r="T109" s="64">
        <v>5</v>
      </c>
      <c r="U109" s="274"/>
      <c r="V109" s="38">
        <v>30773</v>
      </c>
      <c r="W109" s="38">
        <f t="shared" si="12"/>
        <v>6770.06</v>
      </c>
      <c r="X109" s="38">
        <f t="shared" si="13"/>
        <v>37543.06</v>
      </c>
    </row>
    <row r="110" spans="1:24" ht="18" customHeight="1" x14ac:dyDescent="0.35">
      <c r="A110" s="56"/>
      <c r="B110" s="15"/>
      <c r="C110" s="77"/>
      <c r="D110" s="74"/>
      <c r="E110" s="74"/>
      <c r="F110" s="75"/>
      <c r="G110" s="64"/>
      <c r="H110" s="61"/>
      <c r="I110" s="4"/>
      <c r="J110" s="61"/>
      <c r="K110" s="61"/>
      <c r="L110" s="88"/>
      <c r="M110" s="116"/>
      <c r="N110" s="116"/>
      <c r="O110" s="118">
        <f>SUM(O86:O109)</f>
        <v>3188837.62</v>
      </c>
      <c r="P110" s="118">
        <f>SUM(P86:P109)</f>
        <v>3191340</v>
      </c>
      <c r="Q110" s="118">
        <f>SUM(Q86:Q109)</f>
        <v>702094.8</v>
      </c>
      <c r="R110" s="118">
        <f>SUM(R86:R109)</f>
        <v>3893434.8</v>
      </c>
      <c r="S110" s="72">
        <f>R110/100*10</f>
        <v>389343.48</v>
      </c>
      <c r="T110" s="73">
        <v>5</v>
      </c>
      <c r="U110" s="275"/>
      <c r="V110" s="38"/>
      <c r="W110" s="38"/>
      <c r="X110" s="38"/>
    </row>
    <row r="111" spans="1:24" ht="52.5" customHeight="1" x14ac:dyDescent="0.35">
      <c r="A111" s="56" t="s">
        <v>2360</v>
      </c>
      <c r="B111" s="2">
        <v>102</v>
      </c>
      <c r="C111" s="77">
        <v>10142941</v>
      </c>
      <c r="D111" s="59" t="s">
        <v>688</v>
      </c>
      <c r="E111" s="59" t="s">
        <v>2178</v>
      </c>
      <c r="F111" s="75">
        <v>6</v>
      </c>
      <c r="G111" s="64" t="s">
        <v>0</v>
      </c>
      <c r="H111" s="119">
        <v>42004</v>
      </c>
      <c r="I111" s="119" t="s">
        <v>975</v>
      </c>
      <c r="J111" s="120" t="s">
        <v>974</v>
      </c>
      <c r="K111" s="121" t="s">
        <v>973</v>
      </c>
      <c r="L111" s="119" t="s">
        <v>950</v>
      </c>
      <c r="M111" s="122">
        <f t="shared" si="6"/>
        <v>7350833.8799999999</v>
      </c>
      <c r="N111" s="122">
        <f t="shared" ref="N111:N116" si="16">O111/F111</f>
        <v>1225138.98</v>
      </c>
      <c r="O111" s="123">
        <v>7350833.8799999999</v>
      </c>
      <c r="P111" s="65">
        <v>12219760</v>
      </c>
      <c r="Q111" s="65">
        <f t="shared" si="10"/>
        <v>2688347.2</v>
      </c>
      <c r="R111" s="65">
        <f t="shared" si="11"/>
        <v>14908107.199999999</v>
      </c>
      <c r="S111" s="267"/>
      <c r="T111" s="64">
        <v>6</v>
      </c>
      <c r="U111" s="273" t="s">
        <v>2303</v>
      </c>
      <c r="V111" s="38">
        <v>13325799</v>
      </c>
      <c r="W111" s="38">
        <f t="shared" si="12"/>
        <v>2931675.78</v>
      </c>
      <c r="X111" s="38">
        <f t="shared" si="13"/>
        <v>16257474.779999999</v>
      </c>
    </row>
    <row r="112" spans="1:24" ht="29.15" customHeight="1" x14ac:dyDescent="0.35">
      <c r="A112" s="56" t="s">
        <v>2361</v>
      </c>
      <c r="B112" s="2">
        <v>103</v>
      </c>
      <c r="C112" s="77">
        <v>10142940</v>
      </c>
      <c r="D112" s="74" t="s">
        <v>487</v>
      </c>
      <c r="E112" s="59" t="s">
        <v>2178</v>
      </c>
      <c r="F112" s="75">
        <v>2</v>
      </c>
      <c r="G112" s="64" t="s">
        <v>0</v>
      </c>
      <c r="H112" s="61" t="s">
        <v>501</v>
      </c>
      <c r="I112" s="61" t="s">
        <v>975</v>
      </c>
      <c r="J112" s="63" t="s">
        <v>1917</v>
      </c>
      <c r="K112" s="63" t="s">
        <v>487</v>
      </c>
      <c r="L112" s="61" t="s">
        <v>950</v>
      </c>
      <c r="M112" s="102">
        <f t="shared" si="6"/>
        <v>1195606.78</v>
      </c>
      <c r="N112" s="102">
        <f t="shared" si="16"/>
        <v>597803.39</v>
      </c>
      <c r="O112" s="65">
        <v>1195606.78</v>
      </c>
      <c r="P112" s="65">
        <v>1987530</v>
      </c>
      <c r="Q112" s="65">
        <f t="shared" si="10"/>
        <v>437256.6</v>
      </c>
      <c r="R112" s="65">
        <f t="shared" si="11"/>
        <v>2424786.6</v>
      </c>
      <c r="S112" s="272"/>
      <c r="T112" s="64">
        <v>6</v>
      </c>
      <c r="U112" s="270"/>
      <c r="V112" s="38">
        <v>2167430</v>
      </c>
      <c r="W112" s="38">
        <f t="shared" si="12"/>
        <v>476834.6</v>
      </c>
      <c r="X112" s="38">
        <f t="shared" si="13"/>
        <v>2644264.6</v>
      </c>
    </row>
    <row r="113" spans="1:24" ht="35.15" customHeight="1" x14ac:dyDescent="0.35">
      <c r="A113" s="56" t="s">
        <v>2362</v>
      </c>
      <c r="B113" s="2">
        <v>104</v>
      </c>
      <c r="C113" s="39">
        <v>102001342</v>
      </c>
      <c r="D113" s="40" t="s">
        <v>1314</v>
      </c>
      <c r="E113" s="40" t="s">
        <v>4177</v>
      </c>
      <c r="F113" s="75">
        <v>1</v>
      </c>
      <c r="G113" s="64" t="s">
        <v>0</v>
      </c>
      <c r="H113" s="42" t="s">
        <v>494</v>
      </c>
      <c r="I113" s="94" t="s">
        <v>1316</v>
      </c>
      <c r="J113" s="63" t="s">
        <v>1917</v>
      </c>
      <c r="K113" s="63" t="s">
        <v>961</v>
      </c>
      <c r="L113" s="69" t="s">
        <v>950</v>
      </c>
      <c r="M113" s="97">
        <f t="shared" si="6"/>
        <v>67694.59</v>
      </c>
      <c r="N113" s="97">
        <f t="shared" si="16"/>
        <v>67694.59</v>
      </c>
      <c r="O113" s="70">
        <v>67694.59</v>
      </c>
      <c r="P113" s="65">
        <v>112530</v>
      </c>
      <c r="Q113" s="65">
        <f t="shared" si="10"/>
        <v>24756.6</v>
      </c>
      <c r="R113" s="65">
        <f t="shared" si="11"/>
        <v>137286.6</v>
      </c>
      <c r="S113" s="272"/>
      <c r="T113" s="64">
        <v>6</v>
      </c>
      <c r="U113" s="270"/>
      <c r="V113" s="38">
        <v>122719</v>
      </c>
      <c r="W113" s="38">
        <f t="shared" si="12"/>
        <v>26998.18</v>
      </c>
      <c r="X113" s="38">
        <f t="shared" si="13"/>
        <v>149717.18</v>
      </c>
    </row>
    <row r="114" spans="1:24" ht="15" customHeight="1" x14ac:dyDescent="0.35">
      <c r="A114" s="56" t="s">
        <v>2363</v>
      </c>
      <c r="B114" s="2">
        <v>105</v>
      </c>
      <c r="C114" s="77">
        <v>102001708</v>
      </c>
      <c r="D114" s="74" t="s">
        <v>1421</v>
      </c>
      <c r="E114" s="59" t="s">
        <v>2167</v>
      </c>
      <c r="F114" s="75">
        <v>1</v>
      </c>
      <c r="G114" s="64" t="s">
        <v>0</v>
      </c>
      <c r="H114" s="120">
        <v>2015</v>
      </c>
      <c r="I114" s="4" t="s">
        <v>957</v>
      </c>
      <c r="J114" s="63" t="s">
        <v>1917</v>
      </c>
      <c r="K114" s="63" t="s">
        <v>961</v>
      </c>
      <c r="L114" s="69" t="s">
        <v>950</v>
      </c>
      <c r="M114" s="97">
        <f t="shared" si="6"/>
        <v>974015.64</v>
      </c>
      <c r="N114" s="97">
        <f t="shared" si="16"/>
        <v>974015.64</v>
      </c>
      <c r="O114" s="70">
        <v>974015.64</v>
      </c>
      <c r="P114" s="65">
        <v>1456120</v>
      </c>
      <c r="Q114" s="65">
        <f t="shared" si="10"/>
        <v>320346.40000000002</v>
      </c>
      <c r="R114" s="65">
        <f t="shared" si="11"/>
        <v>1776466.4</v>
      </c>
      <c r="S114" s="272"/>
      <c r="T114" s="64">
        <v>6</v>
      </c>
      <c r="U114" s="270"/>
      <c r="V114" s="38">
        <v>1587922</v>
      </c>
      <c r="W114" s="38">
        <f t="shared" si="12"/>
        <v>349342.84</v>
      </c>
      <c r="X114" s="38">
        <f t="shared" si="13"/>
        <v>1937264.84</v>
      </c>
    </row>
    <row r="115" spans="1:24" ht="15" customHeight="1" x14ac:dyDescent="0.35">
      <c r="A115" s="56" t="s">
        <v>2364</v>
      </c>
      <c r="B115" s="2">
        <v>106</v>
      </c>
      <c r="C115" s="77">
        <v>102000872</v>
      </c>
      <c r="D115" s="74" t="s">
        <v>1422</v>
      </c>
      <c r="E115" s="59" t="s">
        <v>2167</v>
      </c>
      <c r="F115" s="75">
        <v>1</v>
      </c>
      <c r="G115" s="64" t="s">
        <v>0</v>
      </c>
      <c r="H115" s="78">
        <v>41891</v>
      </c>
      <c r="I115" s="4" t="s">
        <v>957</v>
      </c>
      <c r="J115" s="63" t="s">
        <v>1917</v>
      </c>
      <c r="K115" s="63" t="s">
        <v>961</v>
      </c>
      <c r="L115" s="69" t="s">
        <v>950</v>
      </c>
      <c r="M115" s="97">
        <f t="shared" si="6"/>
        <v>9945.35</v>
      </c>
      <c r="N115" s="97">
        <f t="shared" si="16"/>
        <v>9945.35</v>
      </c>
      <c r="O115" s="70">
        <v>9945.35</v>
      </c>
      <c r="P115" s="65">
        <v>16620</v>
      </c>
      <c r="Q115" s="65">
        <f t="shared" si="10"/>
        <v>3656.4</v>
      </c>
      <c r="R115" s="65">
        <f t="shared" si="11"/>
        <v>20276.400000000001</v>
      </c>
      <c r="S115" s="272"/>
      <c r="T115" s="64">
        <v>6</v>
      </c>
      <c r="U115" s="270"/>
      <c r="V115" s="38">
        <v>18125</v>
      </c>
      <c r="W115" s="38">
        <f t="shared" si="12"/>
        <v>3987.5</v>
      </c>
      <c r="X115" s="38">
        <f t="shared" si="13"/>
        <v>22112.5</v>
      </c>
    </row>
    <row r="116" spans="1:24" ht="15" customHeight="1" x14ac:dyDescent="0.35">
      <c r="A116" s="56" t="s">
        <v>2365</v>
      </c>
      <c r="B116" s="2">
        <v>107</v>
      </c>
      <c r="C116" s="11">
        <v>102001624</v>
      </c>
      <c r="D116" s="3" t="s">
        <v>32</v>
      </c>
      <c r="E116" s="59" t="s">
        <v>2167</v>
      </c>
      <c r="F116" s="14">
        <v>1</v>
      </c>
      <c r="G116" s="64" t="s">
        <v>0</v>
      </c>
      <c r="H116" s="5">
        <v>41395</v>
      </c>
      <c r="I116" s="4" t="s">
        <v>957</v>
      </c>
      <c r="J116" s="6" t="s">
        <v>1362</v>
      </c>
      <c r="K116" s="63" t="s">
        <v>961</v>
      </c>
      <c r="L116" s="69" t="s">
        <v>950</v>
      </c>
      <c r="M116" s="97">
        <f t="shared" si="6"/>
        <v>426513.62</v>
      </c>
      <c r="N116" s="97">
        <f t="shared" si="16"/>
        <v>426513.62</v>
      </c>
      <c r="O116" s="70">
        <v>426513.62</v>
      </c>
      <c r="P116" s="65">
        <v>696250</v>
      </c>
      <c r="Q116" s="65">
        <f t="shared" si="10"/>
        <v>153175</v>
      </c>
      <c r="R116" s="65">
        <f t="shared" si="11"/>
        <v>849425</v>
      </c>
      <c r="S116" s="276"/>
      <c r="T116" s="64">
        <v>6</v>
      </c>
      <c r="U116" s="270"/>
      <c r="V116" s="38">
        <v>759270</v>
      </c>
      <c r="W116" s="38">
        <f t="shared" si="12"/>
        <v>167039.4</v>
      </c>
      <c r="X116" s="38">
        <f t="shared" si="13"/>
        <v>926309.4</v>
      </c>
    </row>
    <row r="117" spans="1:24" ht="18" customHeight="1" x14ac:dyDescent="0.35">
      <c r="A117" s="56"/>
      <c r="B117" s="15"/>
      <c r="C117" s="11"/>
      <c r="D117" s="3"/>
      <c r="E117" s="59"/>
      <c r="F117" s="14"/>
      <c r="G117" s="64"/>
      <c r="H117" s="5"/>
      <c r="I117" s="4"/>
      <c r="J117" s="6"/>
      <c r="K117" s="63"/>
      <c r="L117" s="69"/>
      <c r="M117" s="97"/>
      <c r="N117" s="97"/>
      <c r="O117" s="71">
        <f>SUM(O111:O116)</f>
        <v>10024609.859999999</v>
      </c>
      <c r="P117" s="71">
        <f t="shared" ref="P117:R117" si="17">SUM(P111:P116)</f>
        <v>16488810</v>
      </c>
      <c r="Q117" s="71">
        <f t="shared" si="17"/>
        <v>3627538.2</v>
      </c>
      <c r="R117" s="71">
        <f t="shared" si="17"/>
        <v>20116348.199999999</v>
      </c>
      <c r="S117" s="72">
        <f>R117/100*10</f>
        <v>2011634.82</v>
      </c>
      <c r="T117" s="73">
        <v>6</v>
      </c>
      <c r="U117" s="271"/>
      <c r="V117" s="38"/>
      <c r="W117" s="38"/>
      <c r="X117" s="38"/>
    </row>
    <row r="118" spans="1:24" ht="15" customHeight="1" x14ac:dyDescent="0.35">
      <c r="A118" s="56" t="s">
        <v>2366</v>
      </c>
      <c r="B118" s="2">
        <v>108</v>
      </c>
      <c r="C118" s="77">
        <v>102000631</v>
      </c>
      <c r="D118" s="74" t="s">
        <v>1483</v>
      </c>
      <c r="E118" s="59" t="s">
        <v>2167</v>
      </c>
      <c r="F118" s="75">
        <v>1</v>
      </c>
      <c r="G118" s="64" t="s">
        <v>0</v>
      </c>
      <c r="H118" s="78">
        <v>41891</v>
      </c>
      <c r="I118" s="4" t="s">
        <v>957</v>
      </c>
      <c r="J118" s="63" t="s">
        <v>1917</v>
      </c>
      <c r="K118" s="63" t="s">
        <v>961</v>
      </c>
      <c r="L118" s="69" t="s">
        <v>950</v>
      </c>
      <c r="M118" s="97">
        <f t="shared" si="6"/>
        <v>138062.12</v>
      </c>
      <c r="N118" s="97">
        <f>O118/F118</f>
        <v>138062.12</v>
      </c>
      <c r="O118" s="70">
        <v>138062.12</v>
      </c>
      <c r="P118" s="65">
        <v>233490</v>
      </c>
      <c r="Q118" s="65">
        <f t="shared" si="10"/>
        <v>51367.8</v>
      </c>
      <c r="R118" s="65">
        <f t="shared" si="11"/>
        <v>284857.8</v>
      </c>
      <c r="S118" s="267"/>
      <c r="T118" s="64">
        <v>7</v>
      </c>
      <c r="U118" s="270" t="s">
        <v>2304</v>
      </c>
      <c r="V118" s="38">
        <v>251067</v>
      </c>
      <c r="W118" s="38">
        <f t="shared" si="12"/>
        <v>55234.74</v>
      </c>
      <c r="X118" s="38">
        <f t="shared" si="13"/>
        <v>306301.74</v>
      </c>
    </row>
    <row r="119" spans="1:24" ht="15" customHeight="1" x14ac:dyDescent="0.35">
      <c r="A119" s="56" t="s">
        <v>2367</v>
      </c>
      <c r="B119" s="2">
        <v>109</v>
      </c>
      <c r="C119" s="77">
        <v>10151836</v>
      </c>
      <c r="D119" s="74" t="s">
        <v>1734</v>
      </c>
      <c r="E119" s="59" t="s">
        <v>2167</v>
      </c>
      <c r="F119" s="75">
        <v>2</v>
      </c>
      <c r="G119" s="64" t="s">
        <v>0</v>
      </c>
      <c r="H119" s="78">
        <v>41789</v>
      </c>
      <c r="I119" s="4" t="s">
        <v>957</v>
      </c>
      <c r="J119" s="63" t="s">
        <v>1917</v>
      </c>
      <c r="K119" s="63" t="s">
        <v>961</v>
      </c>
      <c r="L119" s="69" t="s">
        <v>950</v>
      </c>
      <c r="M119" s="97">
        <f t="shared" ref="M119:M181" si="18">O119</f>
        <v>43375.28</v>
      </c>
      <c r="N119" s="97">
        <f>O119/F119</f>
        <v>21687.64</v>
      </c>
      <c r="O119" s="70">
        <v>43375.28</v>
      </c>
      <c r="P119" s="65">
        <v>74380</v>
      </c>
      <c r="Q119" s="65">
        <f t="shared" si="10"/>
        <v>16363.6</v>
      </c>
      <c r="R119" s="65">
        <f t="shared" si="11"/>
        <v>90743.6</v>
      </c>
      <c r="S119" s="272"/>
      <c r="T119" s="64">
        <v>7</v>
      </c>
      <c r="U119" s="270"/>
      <c r="V119" s="38">
        <v>79979</v>
      </c>
      <c r="W119" s="38">
        <f t="shared" si="12"/>
        <v>17595.38</v>
      </c>
      <c r="X119" s="38">
        <f t="shared" si="13"/>
        <v>97574.38</v>
      </c>
    </row>
    <row r="120" spans="1:24" ht="15" customHeight="1" x14ac:dyDescent="0.35">
      <c r="A120" s="56" t="s">
        <v>2368</v>
      </c>
      <c r="B120" s="2">
        <v>110</v>
      </c>
      <c r="C120" s="77">
        <v>10118246</v>
      </c>
      <c r="D120" s="74" t="s">
        <v>1733</v>
      </c>
      <c r="E120" s="74" t="s">
        <v>2167</v>
      </c>
      <c r="F120" s="75">
        <v>2</v>
      </c>
      <c r="G120" s="64" t="s">
        <v>0</v>
      </c>
      <c r="H120" s="78">
        <v>40909</v>
      </c>
      <c r="I120" s="4" t="s">
        <v>957</v>
      </c>
      <c r="J120" s="63" t="s">
        <v>1917</v>
      </c>
      <c r="K120" s="63" t="s">
        <v>961</v>
      </c>
      <c r="L120" s="69" t="s">
        <v>950</v>
      </c>
      <c r="M120" s="97">
        <f t="shared" si="18"/>
        <v>10896.83</v>
      </c>
      <c r="N120" s="97">
        <f>O120/F120</f>
        <v>5448.42</v>
      </c>
      <c r="O120" s="70">
        <v>10896.83</v>
      </c>
      <c r="P120" s="65">
        <v>19320</v>
      </c>
      <c r="Q120" s="65">
        <f t="shared" si="10"/>
        <v>4250.3999999999996</v>
      </c>
      <c r="R120" s="65">
        <f t="shared" si="11"/>
        <v>23570.400000000001</v>
      </c>
      <c r="S120" s="276"/>
      <c r="T120" s="64">
        <v>7</v>
      </c>
      <c r="U120" s="270"/>
      <c r="V120" s="38">
        <v>20772</v>
      </c>
      <c r="W120" s="38">
        <f t="shared" si="12"/>
        <v>4569.84</v>
      </c>
      <c r="X120" s="38">
        <f t="shared" si="13"/>
        <v>25341.84</v>
      </c>
    </row>
    <row r="121" spans="1:24" ht="15" customHeight="1" x14ac:dyDescent="0.35">
      <c r="A121" s="56"/>
      <c r="B121" s="15"/>
      <c r="C121" s="77"/>
      <c r="D121" s="74"/>
      <c r="E121" s="74"/>
      <c r="F121" s="75"/>
      <c r="G121" s="64"/>
      <c r="H121" s="78"/>
      <c r="I121" s="4"/>
      <c r="J121" s="63"/>
      <c r="K121" s="63"/>
      <c r="L121" s="69"/>
      <c r="M121" s="97"/>
      <c r="N121" s="97"/>
      <c r="O121" s="71">
        <f>SUM(O118:O120)</f>
        <v>192334.23</v>
      </c>
      <c r="P121" s="71">
        <f t="shared" ref="P121:R121" si="19">SUM(P118:P120)</f>
        <v>327190</v>
      </c>
      <c r="Q121" s="71">
        <f t="shared" si="19"/>
        <v>71981.8</v>
      </c>
      <c r="R121" s="71">
        <f t="shared" si="19"/>
        <v>399171.8</v>
      </c>
      <c r="S121" s="72">
        <f>R121/100*10</f>
        <v>39917.18</v>
      </c>
      <c r="T121" s="73">
        <v>7</v>
      </c>
      <c r="U121" s="271"/>
      <c r="V121" s="38"/>
      <c r="W121" s="38"/>
      <c r="X121" s="38"/>
    </row>
    <row r="122" spans="1:24" ht="47.25" customHeight="1" x14ac:dyDescent="0.35">
      <c r="A122" s="56" t="s">
        <v>2369</v>
      </c>
      <c r="B122" s="2">
        <v>111</v>
      </c>
      <c r="C122" s="109">
        <v>102000887</v>
      </c>
      <c r="D122" s="110" t="s">
        <v>903</v>
      </c>
      <c r="E122" s="74" t="s">
        <v>2147</v>
      </c>
      <c r="F122" s="91">
        <v>1</v>
      </c>
      <c r="G122" s="64" t="s">
        <v>0</v>
      </c>
      <c r="H122" s="124">
        <v>42004</v>
      </c>
      <c r="I122" s="63" t="s">
        <v>972</v>
      </c>
      <c r="J122" s="63" t="s">
        <v>1917</v>
      </c>
      <c r="K122" s="63" t="s">
        <v>961</v>
      </c>
      <c r="L122" s="61" t="s">
        <v>845</v>
      </c>
      <c r="M122" s="102">
        <f t="shared" si="18"/>
        <v>181676.17</v>
      </c>
      <c r="N122" s="102">
        <f>O122/F122</f>
        <v>181676.17</v>
      </c>
      <c r="O122" s="65">
        <v>181676.17</v>
      </c>
      <c r="P122" s="65">
        <v>177320</v>
      </c>
      <c r="Q122" s="65">
        <f t="shared" si="10"/>
        <v>39010.400000000001</v>
      </c>
      <c r="R122" s="65">
        <f t="shared" si="11"/>
        <v>216330.4</v>
      </c>
      <c r="S122" s="125"/>
      <c r="T122" s="64">
        <v>8</v>
      </c>
      <c r="U122" s="273" t="s">
        <v>2304</v>
      </c>
      <c r="V122" s="38">
        <v>177324</v>
      </c>
      <c r="W122" s="38">
        <f t="shared" si="12"/>
        <v>39011.279999999999</v>
      </c>
      <c r="X122" s="38">
        <f t="shared" si="13"/>
        <v>216335.28</v>
      </c>
    </row>
    <row r="123" spans="1:24" ht="15" customHeight="1" x14ac:dyDescent="0.35">
      <c r="A123" s="56"/>
      <c r="B123" s="15"/>
      <c r="C123" s="109"/>
      <c r="D123" s="110"/>
      <c r="E123" s="74"/>
      <c r="F123" s="91"/>
      <c r="G123" s="64"/>
      <c r="H123" s="124"/>
      <c r="I123" s="63"/>
      <c r="J123" s="63"/>
      <c r="K123" s="63"/>
      <c r="L123" s="61"/>
      <c r="M123" s="102"/>
      <c r="N123" s="102"/>
      <c r="O123" s="126">
        <f>SUM(O122)</f>
        <v>181676.17</v>
      </c>
      <c r="P123" s="126">
        <f t="shared" ref="P123:R123" si="20">SUM(P122)</f>
        <v>177320</v>
      </c>
      <c r="Q123" s="126">
        <f t="shared" si="20"/>
        <v>39010.400000000001</v>
      </c>
      <c r="R123" s="126">
        <f t="shared" si="20"/>
        <v>216330.4</v>
      </c>
      <c r="S123" s="72">
        <f>R123/100*10</f>
        <v>21633.040000000001</v>
      </c>
      <c r="T123" s="73">
        <v>8</v>
      </c>
      <c r="U123" s="271"/>
      <c r="V123" s="38"/>
      <c r="W123" s="38"/>
      <c r="X123" s="38"/>
    </row>
    <row r="124" spans="1:24" ht="15" customHeight="1" x14ac:dyDescent="0.35">
      <c r="A124" s="56" t="s">
        <v>2370</v>
      </c>
      <c r="B124" s="2">
        <v>112</v>
      </c>
      <c r="C124" s="77">
        <v>10022139</v>
      </c>
      <c r="D124" s="74" t="s">
        <v>99</v>
      </c>
      <c r="E124" s="74" t="s">
        <v>2144</v>
      </c>
      <c r="F124" s="75">
        <v>0.04</v>
      </c>
      <c r="G124" s="64" t="s">
        <v>3</v>
      </c>
      <c r="H124" s="61">
        <v>42004</v>
      </c>
      <c r="I124" s="61" t="s">
        <v>975</v>
      </c>
      <c r="J124" s="63" t="s">
        <v>1917</v>
      </c>
      <c r="K124" s="64" t="s">
        <v>99</v>
      </c>
      <c r="L124" s="69" t="s">
        <v>950</v>
      </c>
      <c r="M124" s="97">
        <f t="shared" si="18"/>
        <v>909</v>
      </c>
      <c r="N124" s="97">
        <f t="shared" ref="N124:N132" si="21">O124/F124</f>
        <v>22725</v>
      </c>
      <c r="O124" s="70">
        <v>909</v>
      </c>
      <c r="P124" s="65">
        <v>1430</v>
      </c>
      <c r="Q124" s="65">
        <f t="shared" si="10"/>
        <v>314.60000000000002</v>
      </c>
      <c r="R124" s="65">
        <f t="shared" si="11"/>
        <v>1744.6</v>
      </c>
      <c r="S124" s="267"/>
      <c r="T124" s="64">
        <v>9</v>
      </c>
      <c r="U124" s="273" t="s">
        <v>2305</v>
      </c>
      <c r="V124" s="38">
        <v>1559</v>
      </c>
      <c r="W124" s="38">
        <f t="shared" si="12"/>
        <v>342.98</v>
      </c>
      <c r="X124" s="38">
        <f t="shared" si="13"/>
        <v>1901.98</v>
      </c>
    </row>
    <row r="125" spans="1:24" ht="15" customHeight="1" x14ac:dyDescent="0.35">
      <c r="A125" s="56" t="s">
        <v>2371</v>
      </c>
      <c r="B125" s="2">
        <v>113</v>
      </c>
      <c r="C125" s="74">
        <v>10002378</v>
      </c>
      <c r="D125" s="74" t="s">
        <v>2186</v>
      </c>
      <c r="E125" s="74" t="s">
        <v>2201</v>
      </c>
      <c r="F125" s="127">
        <f>110-25-50-15</f>
        <v>20</v>
      </c>
      <c r="G125" s="128" t="s">
        <v>8</v>
      </c>
      <c r="H125" s="129">
        <v>42607</v>
      </c>
      <c r="I125" s="130" t="s">
        <v>975</v>
      </c>
      <c r="J125" s="63" t="s">
        <v>1917</v>
      </c>
      <c r="K125" s="64" t="s">
        <v>2186</v>
      </c>
      <c r="L125" s="61" t="s">
        <v>950</v>
      </c>
      <c r="M125" s="102">
        <f t="shared" si="18"/>
        <v>5500</v>
      </c>
      <c r="N125" s="102">
        <f t="shared" si="21"/>
        <v>275</v>
      </c>
      <c r="O125" s="65">
        <f>30250/110*20</f>
        <v>5500</v>
      </c>
      <c r="P125" s="65">
        <v>7920</v>
      </c>
      <c r="Q125" s="65">
        <f t="shared" si="10"/>
        <v>1742.4</v>
      </c>
      <c r="R125" s="65">
        <f t="shared" si="11"/>
        <v>9662.4</v>
      </c>
      <c r="S125" s="272"/>
      <c r="T125" s="64">
        <v>9</v>
      </c>
      <c r="U125" s="270"/>
      <c r="V125" s="38">
        <v>8639</v>
      </c>
      <c r="W125" s="38">
        <f t="shared" si="12"/>
        <v>1900.58</v>
      </c>
      <c r="X125" s="38">
        <f t="shared" si="13"/>
        <v>10539.58</v>
      </c>
    </row>
    <row r="126" spans="1:24" ht="15" customHeight="1" x14ac:dyDescent="0.35">
      <c r="A126" s="56" t="s">
        <v>2372</v>
      </c>
      <c r="B126" s="2">
        <v>114</v>
      </c>
      <c r="C126" s="77">
        <v>10098158</v>
      </c>
      <c r="D126" s="74" t="s">
        <v>1415</v>
      </c>
      <c r="E126" s="59" t="s">
        <v>2167</v>
      </c>
      <c r="F126" s="75">
        <v>10</v>
      </c>
      <c r="G126" s="64" t="s">
        <v>0</v>
      </c>
      <c r="H126" s="78">
        <v>41249</v>
      </c>
      <c r="I126" s="4" t="s">
        <v>957</v>
      </c>
      <c r="J126" s="63" t="s">
        <v>1917</v>
      </c>
      <c r="K126" s="63" t="s">
        <v>961</v>
      </c>
      <c r="L126" s="69" t="s">
        <v>950</v>
      </c>
      <c r="M126" s="97">
        <f t="shared" si="18"/>
        <v>27951.599999999999</v>
      </c>
      <c r="N126" s="97">
        <f t="shared" si="21"/>
        <v>2795.16</v>
      </c>
      <c r="O126" s="70">
        <v>27951.599999999999</v>
      </c>
      <c r="P126" s="65">
        <v>49390</v>
      </c>
      <c r="Q126" s="65">
        <f t="shared" si="10"/>
        <v>10865.8</v>
      </c>
      <c r="R126" s="65">
        <f t="shared" si="11"/>
        <v>60255.8</v>
      </c>
      <c r="S126" s="272"/>
      <c r="T126" s="64">
        <v>9</v>
      </c>
      <c r="U126" s="270"/>
      <c r="V126" s="38">
        <v>53862</v>
      </c>
      <c r="W126" s="38">
        <f t="shared" si="12"/>
        <v>11849.64</v>
      </c>
      <c r="X126" s="38">
        <f t="shared" si="13"/>
        <v>65711.64</v>
      </c>
    </row>
    <row r="127" spans="1:24" ht="15" customHeight="1" x14ac:dyDescent="0.35">
      <c r="A127" s="56" t="s">
        <v>2373</v>
      </c>
      <c r="B127" s="2">
        <v>115</v>
      </c>
      <c r="C127" s="77">
        <v>10002738</v>
      </c>
      <c r="D127" s="74" t="s">
        <v>1456</v>
      </c>
      <c r="E127" s="59" t="s">
        <v>2167</v>
      </c>
      <c r="F127" s="75">
        <v>827</v>
      </c>
      <c r="G127" s="64" t="s">
        <v>0</v>
      </c>
      <c r="H127" s="78">
        <v>41375</v>
      </c>
      <c r="I127" s="4" t="s">
        <v>957</v>
      </c>
      <c r="J127" s="63" t="s">
        <v>1917</v>
      </c>
      <c r="K127" s="63" t="s">
        <v>961</v>
      </c>
      <c r="L127" s="69" t="s">
        <v>950</v>
      </c>
      <c r="M127" s="97">
        <f t="shared" si="18"/>
        <v>2896.96</v>
      </c>
      <c r="N127" s="97">
        <f t="shared" si="21"/>
        <v>3.5</v>
      </c>
      <c r="O127" s="70">
        <v>2896.96</v>
      </c>
      <c r="P127" s="65">
        <v>6220</v>
      </c>
      <c r="Q127" s="65">
        <f t="shared" si="10"/>
        <v>1368.4</v>
      </c>
      <c r="R127" s="65">
        <f t="shared" si="11"/>
        <v>7588.4</v>
      </c>
      <c r="S127" s="272"/>
      <c r="T127" s="64">
        <v>9</v>
      </c>
      <c r="U127" s="270"/>
      <c r="V127" s="38">
        <v>6784</v>
      </c>
      <c r="W127" s="38">
        <f t="shared" si="12"/>
        <v>1492.48</v>
      </c>
      <c r="X127" s="38">
        <f t="shared" si="13"/>
        <v>8276.48</v>
      </c>
    </row>
    <row r="128" spans="1:24" ht="17.149999999999999" customHeight="1" x14ac:dyDescent="0.35">
      <c r="A128" s="56" t="s">
        <v>2374</v>
      </c>
      <c r="B128" s="2">
        <v>116</v>
      </c>
      <c r="C128" s="11">
        <v>10147852</v>
      </c>
      <c r="D128" s="3" t="s">
        <v>1395</v>
      </c>
      <c r="E128" s="59" t="s">
        <v>2167</v>
      </c>
      <c r="F128" s="14">
        <f>500-60-42</f>
        <v>398</v>
      </c>
      <c r="G128" s="64" t="s">
        <v>0</v>
      </c>
      <c r="H128" s="5">
        <v>41518</v>
      </c>
      <c r="I128" s="4" t="s">
        <v>957</v>
      </c>
      <c r="J128" s="63" t="s">
        <v>1917</v>
      </c>
      <c r="K128" s="63" t="s">
        <v>961</v>
      </c>
      <c r="L128" s="69" t="s">
        <v>950</v>
      </c>
      <c r="M128" s="97">
        <f t="shared" si="18"/>
        <v>10960.92</v>
      </c>
      <c r="N128" s="97">
        <f t="shared" si="21"/>
        <v>27.54</v>
      </c>
      <c r="O128" s="70">
        <f>13770/500*398</f>
        <v>10960.92</v>
      </c>
      <c r="P128" s="65">
        <v>22790</v>
      </c>
      <c r="Q128" s="65">
        <f t="shared" si="10"/>
        <v>5013.8</v>
      </c>
      <c r="R128" s="65">
        <f t="shared" si="11"/>
        <v>27803.8</v>
      </c>
      <c r="S128" s="272"/>
      <c r="T128" s="64">
        <v>9</v>
      </c>
      <c r="U128" s="270"/>
      <c r="V128" s="38">
        <v>24857</v>
      </c>
      <c r="W128" s="38">
        <f t="shared" si="12"/>
        <v>5468.54</v>
      </c>
      <c r="X128" s="38">
        <f t="shared" si="13"/>
        <v>30325.54</v>
      </c>
    </row>
    <row r="129" spans="1:24" ht="42.65" customHeight="1" x14ac:dyDescent="0.35">
      <c r="A129" s="56" t="s">
        <v>2375</v>
      </c>
      <c r="B129" s="2">
        <v>117</v>
      </c>
      <c r="C129" s="11">
        <v>10155132</v>
      </c>
      <c r="D129" s="3" t="s">
        <v>1397</v>
      </c>
      <c r="E129" s="59" t="s">
        <v>2167</v>
      </c>
      <c r="F129" s="14">
        <v>10</v>
      </c>
      <c r="G129" s="64" t="s">
        <v>8</v>
      </c>
      <c r="H129" s="5">
        <v>41518</v>
      </c>
      <c r="I129" s="4" t="s">
        <v>957</v>
      </c>
      <c r="J129" s="6" t="s">
        <v>1411</v>
      </c>
      <c r="K129" s="63" t="s">
        <v>961</v>
      </c>
      <c r="L129" s="69" t="s">
        <v>950</v>
      </c>
      <c r="M129" s="97">
        <f t="shared" si="18"/>
        <v>13680</v>
      </c>
      <c r="N129" s="97">
        <f t="shared" si="21"/>
        <v>1368</v>
      </c>
      <c r="O129" s="70">
        <v>13680</v>
      </c>
      <c r="P129" s="65">
        <v>28450</v>
      </c>
      <c r="Q129" s="65">
        <f t="shared" si="10"/>
        <v>6259</v>
      </c>
      <c r="R129" s="65">
        <f t="shared" si="11"/>
        <v>34709</v>
      </c>
      <c r="S129" s="272"/>
      <c r="T129" s="64">
        <v>9</v>
      </c>
      <c r="U129" s="270"/>
      <c r="V129" s="38">
        <v>31023</v>
      </c>
      <c r="W129" s="38">
        <f t="shared" si="12"/>
        <v>6825.06</v>
      </c>
      <c r="X129" s="38">
        <f t="shared" si="13"/>
        <v>37848.06</v>
      </c>
    </row>
    <row r="130" spans="1:24" ht="45.65" customHeight="1" x14ac:dyDescent="0.35">
      <c r="A130" s="56" t="s">
        <v>2376</v>
      </c>
      <c r="B130" s="2">
        <v>118</v>
      </c>
      <c r="C130" s="11">
        <v>10148836</v>
      </c>
      <c r="D130" s="3" t="s">
        <v>1398</v>
      </c>
      <c r="E130" s="59" t="s">
        <v>2167</v>
      </c>
      <c r="F130" s="14">
        <v>70</v>
      </c>
      <c r="G130" s="64" t="s">
        <v>8</v>
      </c>
      <c r="H130" s="5">
        <v>41518</v>
      </c>
      <c r="I130" s="4" t="s">
        <v>957</v>
      </c>
      <c r="J130" s="6" t="s">
        <v>1411</v>
      </c>
      <c r="K130" s="63" t="s">
        <v>961</v>
      </c>
      <c r="L130" s="69" t="s">
        <v>950</v>
      </c>
      <c r="M130" s="97">
        <f t="shared" si="18"/>
        <v>105435.56</v>
      </c>
      <c r="N130" s="97">
        <f t="shared" si="21"/>
        <v>1506.22</v>
      </c>
      <c r="O130" s="70">
        <v>105435.56</v>
      </c>
      <c r="P130" s="65">
        <v>219260</v>
      </c>
      <c r="Q130" s="65">
        <f t="shared" si="10"/>
        <v>48237.2</v>
      </c>
      <c r="R130" s="65">
        <f t="shared" si="11"/>
        <v>267497.2</v>
      </c>
      <c r="S130" s="272"/>
      <c r="T130" s="64">
        <v>9</v>
      </c>
      <c r="U130" s="270"/>
      <c r="V130" s="38">
        <v>239101</v>
      </c>
      <c r="W130" s="38">
        <f t="shared" si="12"/>
        <v>52602.22</v>
      </c>
      <c r="X130" s="38">
        <f t="shared" si="13"/>
        <v>291703.21999999997</v>
      </c>
    </row>
    <row r="131" spans="1:24" ht="49" customHeight="1" x14ac:dyDescent="0.35">
      <c r="A131" s="56" t="s">
        <v>2377</v>
      </c>
      <c r="B131" s="2">
        <v>119</v>
      </c>
      <c r="C131" s="11">
        <v>10148870</v>
      </c>
      <c r="D131" s="3" t="s">
        <v>1827</v>
      </c>
      <c r="E131" s="59" t="s">
        <v>2167</v>
      </c>
      <c r="F131" s="14">
        <v>31.4</v>
      </c>
      <c r="G131" s="64" t="s">
        <v>8</v>
      </c>
      <c r="H131" s="5">
        <v>41548</v>
      </c>
      <c r="I131" s="4" t="s">
        <v>957</v>
      </c>
      <c r="J131" s="6" t="s">
        <v>1915</v>
      </c>
      <c r="K131" s="63" t="s">
        <v>961</v>
      </c>
      <c r="L131" s="69" t="s">
        <v>950</v>
      </c>
      <c r="M131" s="97">
        <f t="shared" si="18"/>
        <v>52600.04</v>
      </c>
      <c r="N131" s="97">
        <f t="shared" si="21"/>
        <v>1675.16</v>
      </c>
      <c r="O131" s="70">
        <v>52600.04</v>
      </c>
      <c r="P131" s="65">
        <v>109980</v>
      </c>
      <c r="Q131" s="65">
        <f t="shared" si="10"/>
        <v>24195.599999999999</v>
      </c>
      <c r="R131" s="65">
        <f t="shared" si="11"/>
        <v>134175.6</v>
      </c>
      <c r="S131" s="272"/>
      <c r="T131" s="64">
        <v>9</v>
      </c>
      <c r="U131" s="270"/>
      <c r="V131" s="38">
        <v>119931</v>
      </c>
      <c r="W131" s="38">
        <f t="shared" si="12"/>
        <v>26384.82</v>
      </c>
      <c r="X131" s="38">
        <f t="shared" si="13"/>
        <v>146315.82</v>
      </c>
    </row>
    <row r="132" spans="1:24" ht="47.15" customHeight="1" x14ac:dyDescent="0.35">
      <c r="A132" s="56" t="s">
        <v>2378</v>
      </c>
      <c r="B132" s="2">
        <v>120</v>
      </c>
      <c r="C132" s="11">
        <v>10148835</v>
      </c>
      <c r="D132" s="3" t="s">
        <v>1828</v>
      </c>
      <c r="E132" s="59" t="s">
        <v>2167</v>
      </c>
      <c r="F132" s="14">
        <v>40</v>
      </c>
      <c r="G132" s="64" t="s">
        <v>8</v>
      </c>
      <c r="H132" s="5">
        <v>41548</v>
      </c>
      <c r="I132" s="4" t="s">
        <v>957</v>
      </c>
      <c r="J132" s="6" t="s">
        <v>1915</v>
      </c>
      <c r="K132" s="63" t="s">
        <v>961</v>
      </c>
      <c r="L132" s="69" t="s">
        <v>950</v>
      </c>
      <c r="M132" s="97">
        <f t="shared" si="18"/>
        <v>54720</v>
      </c>
      <c r="N132" s="97">
        <f t="shared" si="21"/>
        <v>1368</v>
      </c>
      <c r="O132" s="70">
        <v>54720</v>
      </c>
      <c r="P132" s="65">
        <v>114410</v>
      </c>
      <c r="Q132" s="65">
        <f t="shared" si="10"/>
        <v>25170.2</v>
      </c>
      <c r="R132" s="65">
        <f t="shared" si="11"/>
        <v>139580.20000000001</v>
      </c>
      <c r="S132" s="276"/>
      <c r="T132" s="64">
        <v>9</v>
      </c>
      <c r="U132" s="270"/>
      <c r="V132" s="38">
        <v>124765</v>
      </c>
      <c r="W132" s="38">
        <f t="shared" si="12"/>
        <v>27448.3</v>
      </c>
      <c r="X132" s="38">
        <f t="shared" si="13"/>
        <v>152213.29999999999</v>
      </c>
    </row>
    <row r="133" spans="1:24" ht="15" customHeight="1" x14ac:dyDescent="0.35">
      <c r="A133" s="56"/>
      <c r="B133" s="15"/>
      <c r="C133" s="11"/>
      <c r="D133" s="3"/>
      <c r="E133" s="59"/>
      <c r="F133" s="14"/>
      <c r="G133" s="64"/>
      <c r="H133" s="5"/>
      <c r="I133" s="4"/>
      <c r="J133" s="6"/>
      <c r="K133" s="63"/>
      <c r="L133" s="69"/>
      <c r="M133" s="97"/>
      <c r="N133" s="97"/>
      <c r="O133" s="71">
        <f>SUM(O124:O132)</f>
        <v>274654.08000000002</v>
      </c>
      <c r="P133" s="71">
        <f t="shared" ref="P133:R133" si="22">SUM(P124:P132)</f>
        <v>559850</v>
      </c>
      <c r="Q133" s="71">
        <f t="shared" si="22"/>
        <v>123167</v>
      </c>
      <c r="R133" s="71">
        <f t="shared" si="22"/>
        <v>683017</v>
      </c>
      <c r="S133" s="72">
        <f>R133/100*10</f>
        <v>68301.7</v>
      </c>
      <c r="T133" s="73">
        <v>9</v>
      </c>
      <c r="U133" s="271"/>
      <c r="V133" s="38"/>
      <c r="W133" s="38"/>
      <c r="X133" s="38"/>
    </row>
    <row r="134" spans="1:24" ht="21" customHeight="1" x14ac:dyDescent="0.35">
      <c r="A134" s="56" t="s">
        <v>2379</v>
      </c>
      <c r="B134" s="2">
        <v>121</v>
      </c>
      <c r="C134" s="77">
        <v>10089784</v>
      </c>
      <c r="D134" s="74" t="s">
        <v>95</v>
      </c>
      <c r="E134" s="59" t="s">
        <v>2167</v>
      </c>
      <c r="F134" s="75">
        <v>26</v>
      </c>
      <c r="G134" s="64" t="s">
        <v>0</v>
      </c>
      <c r="H134" s="101">
        <v>2014</v>
      </c>
      <c r="I134" s="4" t="s">
        <v>957</v>
      </c>
      <c r="J134" s="63" t="s">
        <v>1917</v>
      </c>
      <c r="K134" s="101" t="s">
        <v>2010</v>
      </c>
      <c r="L134" s="101" t="s">
        <v>845</v>
      </c>
      <c r="M134" s="102">
        <f t="shared" si="18"/>
        <v>1054.4000000000001</v>
      </c>
      <c r="N134" s="102">
        <f>O134/F134</f>
        <v>40.549999999999997</v>
      </c>
      <c r="O134" s="65">
        <v>1054.4000000000001</v>
      </c>
      <c r="P134" s="65">
        <v>1340</v>
      </c>
      <c r="Q134" s="65">
        <f t="shared" ref="Q134:Q195" si="23">P134*0.22</f>
        <v>294.8</v>
      </c>
      <c r="R134" s="65">
        <f t="shared" ref="R134:R195" si="24">P134+Q134</f>
        <v>1634.8</v>
      </c>
      <c r="S134" s="267"/>
      <c r="T134" s="64">
        <v>10</v>
      </c>
      <c r="U134" s="270" t="s">
        <v>2305</v>
      </c>
      <c r="V134" s="38">
        <v>1342</v>
      </c>
      <c r="W134" s="38">
        <f t="shared" ref="W134:W195" si="25">V134*0.22</f>
        <v>295.24</v>
      </c>
      <c r="X134" s="38">
        <f t="shared" si="13"/>
        <v>1637.24</v>
      </c>
    </row>
    <row r="135" spans="1:24" ht="22.5" customHeight="1" x14ac:dyDescent="0.35">
      <c r="A135" s="56" t="s">
        <v>2380</v>
      </c>
      <c r="B135" s="2">
        <v>122</v>
      </c>
      <c r="C135" s="74">
        <v>10022139</v>
      </c>
      <c r="D135" s="74" t="s">
        <v>99</v>
      </c>
      <c r="E135" s="74" t="s">
        <v>1978</v>
      </c>
      <c r="F135" s="75">
        <f>33.92-4.24-1.5-1.5-6</f>
        <v>20.68</v>
      </c>
      <c r="G135" s="64" t="s">
        <v>3</v>
      </c>
      <c r="H135" s="78">
        <v>39572</v>
      </c>
      <c r="I135" s="4" t="s">
        <v>957</v>
      </c>
      <c r="J135" s="63" t="s">
        <v>1917</v>
      </c>
      <c r="K135" s="63" t="s">
        <v>961</v>
      </c>
      <c r="L135" s="69" t="s">
        <v>2093</v>
      </c>
      <c r="M135" s="97">
        <f t="shared" si="18"/>
        <v>469953</v>
      </c>
      <c r="N135" s="97">
        <f>O135/F135</f>
        <v>22725</v>
      </c>
      <c r="O135" s="70">
        <f>770832/33.92*20.68</f>
        <v>469953</v>
      </c>
      <c r="P135" s="65">
        <v>474010</v>
      </c>
      <c r="Q135" s="65">
        <f t="shared" si="23"/>
        <v>104282.2</v>
      </c>
      <c r="R135" s="65">
        <f t="shared" si="24"/>
        <v>578292.19999999995</v>
      </c>
      <c r="S135" s="276"/>
      <c r="T135" s="64">
        <v>10</v>
      </c>
      <c r="U135" s="270"/>
      <c r="V135" s="38">
        <v>474005</v>
      </c>
      <c r="W135" s="38">
        <f t="shared" si="25"/>
        <v>104281.1</v>
      </c>
      <c r="X135" s="38">
        <f t="shared" ref="X135:X197" si="26">V135+W135</f>
        <v>578286.1</v>
      </c>
    </row>
    <row r="136" spans="1:24" ht="15" customHeight="1" x14ac:dyDescent="0.35">
      <c r="A136" s="56"/>
      <c r="B136" s="15"/>
      <c r="C136" s="77"/>
      <c r="D136" s="74"/>
      <c r="E136" s="74"/>
      <c r="F136" s="75"/>
      <c r="G136" s="64"/>
      <c r="H136" s="61"/>
      <c r="I136" s="4"/>
      <c r="J136" s="61"/>
      <c r="K136" s="61"/>
      <c r="L136" s="88"/>
      <c r="M136" s="104"/>
      <c r="N136" s="104"/>
      <c r="O136" s="81">
        <f>SUM(O134:O135)</f>
        <v>471007.4</v>
      </c>
      <c r="P136" s="81">
        <f t="shared" ref="P136:R136" si="27">SUM(P134:P135)</f>
        <v>475350</v>
      </c>
      <c r="Q136" s="81">
        <f t="shared" si="27"/>
        <v>104577</v>
      </c>
      <c r="R136" s="81">
        <f t="shared" si="27"/>
        <v>579927</v>
      </c>
      <c r="S136" s="72">
        <f>R136/100*10</f>
        <v>57992.7</v>
      </c>
      <c r="T136" s="73">
        <v>10</v>
      </c>
      <c r="U136" s="271"/>
      <c r="V136" s="38"/>
      <c r="W136" s="38"/>
      <c r="X136" s="38"/>
    </row>
    <row r="137" spans="1:24" ht="33.75" customHeight="1" x14ac:dyDescent="0.35">
      <c r="A137" s="56" t="s">
        <v>2381</v>
      </c>
      <c r="B137" s="2">
        <v>123</v>
      </c>
      <c r="C137" s="77">
        <v>10119224</v>
      </c>
      <c r="D137" s="74" t="s">
        <v>1633</v>
      </c>
      <c r="E137" s="74" t="s">
        <v>2167</v>
      </c>
      <c r="F137" s="75">
        <v>2</v>
      </c>
      <c r="G137" s="64" t="s">
        <v>0</v>
      </c>
      <c r="H137" s="78">
        <v>41431</v>
      </c>
      <c r="I137" s="4" t="s">
        <v>957</v>
      </c>
      <c r="J137" s="63" t="s">
        <v>1917</v>
      </c>
      <c r="K137" s="63" t="s">
        <v>961</v>
      </c>
      <c r="L137" s="69" t="s">
        <v>950</v>
      </c>
      <c r="M137" s="97">
        <f t="shared" si="18"/>
        <v>15992</v>
      </c>
      <c r="N137" s="97">
        <f t="shared" ref="N137:N145" si="28">O137/F137</f>
        <v>7996</v>
      </c>
      <c r="O137" s="70">
        <v>15992</v>
      </c>
      <c r="P137" s="65">
        <v>27130</v>
      </c>
      <c r="Q137" s="65">
        <f t="shared" si="23"/>
        <v>5968.6</v>
      </c>
      <c r="R137" s="65">
        <f t="shared" si="24"/>
        <v>33098.6</v>
      </c>
      <c r="S137" s="267"/>
      <c r="T137" s="64">
        <v>11</v>
      </c>
      <c r="U137" s="273" t="s">
        <v>2254</v>
      </c>
      <c r="V137" s="38">
        <v>29586</v>
      </c>
      <c r="W137" s="38">
        <f t="shared" si="25"/>
        <v>6508.92</v>
      </c>
      <c r="X137" s="38">
        <f t="shared" si="26"/>
        <v>36094.92</v>
      </c>
    </row>
    <row r="138" spans="1:24" ht="33.75" customHeight="1" x14ac:dyDescent="0.35">
      <c r="A138" s="56" t="s">
        <v>2382</v>
      </c>
      <c r="B138" s="2">
        <v>124</v>
      </c>
      <c r="C138" s="77">
        <v>10119225</v>
      </c>
      <c r="D138" s="74" t="s">
        <v>1634</v>
      </c>
      <c r="E138" s="74" t="s">
        <v>2167</v>
      </c>
      <c r="F138" s="75">
        <v>2</v>
      </c>
      <c r="G138" s="64" t="s">
        <v>0</v>
      </c>
      <c r="H138" s="78">
        <v>41431</v>
      </c>
      <c r="I138" s="4" t="s">
        <v>957</v>
      </c>
      <c r="J138" s="63" t="s">
        <v>1917</v>
      </c>
      <c r="K138" s="63" t="s">
        <v>961</v>
      </c>
      <c r="L138" s="69" t="s">
        <v>950</v>
      </c>
      <c r="M138" s="97">
        <f t="shared" si="18"/>
        <v>28294</v>
      </c>
      <c r="N138" s="97">
        <f t="shared" si="28"/>
        <v>14147</v>
      </c>
      <c r="O138" s="70">
        <v>28294</v>
      </c>
      <c r="P138" s="65">
        <v>48000</v>
      </c>
      <c r="Q138" s="65">
        <f t="shared" si="23"/>
        <v>10560</v>
      </c>
      <c r="R138" s="65">
        <f t="shared" si="24"/>
        <v>58560</v>
      </c>
      <c r="S138" s="272"/>
      <c r="T138" s="64">
        <v>11</v>
      </c>
      <c r="U138" s="270"/>
      <c r="V138" s="38">
        <v>52345</v>
      </c>
      <c r="W138" s="38">
        <f t="shared" si="25"/>
        <v>11515.9</v>
      </c>
      <c r="X138" s="38">
        <f t="shared" si="26"/>
        <v>63860.9</v>
      </c>
    </row>
    <row r="139" spans="1:24" ht="33.75" customHeight="1" x14ac:dyDescent="0.35">
      <c r="A139" s="56" t="s">
        <v>2383</v>
      </c>
      <c r="B139" s="2">
        <v>125</v>
      </c>
      <c r="C139" s="77">
        <v>10041192</v>
      </c>
      <c r="D139" s="74" t="s">
        <v>1654</v>
      </c>
      <c r="E139" s="74" t="s">
        <v>2167</v>
      </c>
      <c r="F139" s="75">
        <v>1</v>
      </c>
      <c r="G139" s="64" t="s">
        <v>0</v>
      </c>
      <c r="H139" s="78">
        <v>41431</v>
      </c>
      <c r="I139" s="4" t="s">
        <v>957</v>
      </c>
      <c r="J139" s="63" t="s">
        <v>1917</v>
      </c>
      <c r="K139" s="63" t="s">
        <v>961</v>
      </c>
      <c r="L139" s="69" t="s">
        <v>950</v>
      </c>
      <c r="M139" s="97">
        <f t="shared" si="18"/>
        <v>2277.56</v>
      </c>
      <c r="N139" s="97">
        <f t="shared" si="28"/>
        <v>2277.56</v>
      </c>
      <c r="O139" s="70">
        <v>2277.56</v>
      </c>
      <c r="P139" s="65">
        <v>3860</v>
      </c>
      <c r="Q139" s="65">
        <f t="shared" si="23"/>
        <v>849.2</v>
      </c>
      <c r="R139" s="65">
        <f t="shared" si="24"/>
        <v>4709.2</v>
      </c>
      <c r="S139" s="272"/>
      <c r="T139" s="64">
        <v>11</v>
      </c>
      <c r="U139" s="270"/>
      <c r="V139" s="38">
        <v>4214</v>
      </c>
      <c r="W139" s="38">
        <f t="shared" si="25"/>
        <v>927.08</v>
      </c>
      <c r="X139" s="38">
        <f t="shared" si="26"/>
        <v>5141.08</v>
      </c>
    </row>
    <row r="140" spans="1:24" ht="33.75" customHeight="1" x14ac:dyDescent="0.35">
      <c r="A140" s="56" t="s">
        <v>2384</v>
      </c>
      <c r="B140" s="2">
        <v>126</v>
      </c>
      <c r="C140" s="77">
        <v>10119360</v>
      </c>
      <c r="D140" s="74" t="s">
        <v>1655</v>
      </c>
      <c r="E140" s="74" t="s">
        <v>2167</v>
      </c>
      <c r="F140" s="75">
        <v>2</v>
      </c>
      <c r="G140" s="64" t="s">
        <v>0</v>
      </c>
      <c r="H140" s="78">
        <v>41431</v>
      </c>
      <c r="I140" s="4" t="s">
        <v>957</v>
      </c>
      <c r="J140" s="63" t="s">
        <v>1917</v>
      </c>
      <c r="K140" s="63" t="s">
        <v>961</v>
      </c>
      <c r="L140" s="69" t="s">
        <v>950</v>
      </c>
      <c r="M140" s="97">
        <f t="shared" si="18"/>
        <v>536.02</v>
      </c>
      <c r="N140" s="97">
        <f t="shared" si="28"/>
        <v>268.01</v>
      </c>
      <c r="O140" s="70">
        <v>536.02</v>
      </c>
      <c r="P140" s="65">
        <v>910</v>
      </c>
      <c r="Q140" s="65">
        <f t="shared" si="23"/>
        <v>200.2</v>
      </c>
      <c r="R140" s="65">
        <f t="shared" si="24"/>
        <v>1110.2</v>
      </c>
      <c r="S140" s="272"/>
      <c r="T140" s="64">
        <v>11</v>
      </c>
      <c r="U140" s="270"/>
      <c r="V140" s="38">
        <v>992</v>
      </c>
      <c r="W140" s="38">
        <f t="shared" si="25"/>
        <v>218.24</v>
      </c>
      <c r="X140" s="38">
        <f t="shared" si="26"/>
        <v>1210.24</v>
      </c>
    </row>
    <row r="141" spans="1:24" ht="33.75" customHeight="1" x14ac:dyDescent="0.35">
      <c r="A141" s="56" t="s">
        <v>2385</v>
      </c>
      <c r="B141" s="2">
        <v>127</v>
      </c>
      <c r="C141" s="77">
        <v>10119361</v>
      </c>
      <c r="D141" s="74" t="s">
        <v>1656</v>
      </c>
      <c r="E141" s="74" t="s">
        <v>2167</v>
      </c>
      <c r="F141" s="75">
        <v>2</v>
      </c>
      <c r="G141" s="64" t="s">
        <v>0</v>
      </c>
      <c r="H141" s="78">
        <v>41431</v>
      </c>
      <c r="I141" s="4" t="s">
        <v>957</v>
      </c>
      <c r="J141" s="63" t="s">
        <v>1917</v>
      </c>
      <c r="K141" s="63" t="s">
        <v>961</v>
      </c>
      <c r="L141" s="69" t="s">
        <v>950</v>
      </c>
      <c r="M141" s="97">
        <f t="shared" si="18"/>
        <v>536.02</v>
      </c>
      <c r="N141" s="97">
        <f t="shared" si="28"/>
        <v>268.01</v>
      </c>
      <c r="O141" s="70">
        <v>536.02</v>
      </c>
      <c r="P141" s="65">
        <v>910</v>
      </c>
      <c r="Q141" s="65">
        <f t="shared" si="23"/>
        <v>200.2</v>
      </c>
      <c r="R141" s="65">
        <f t="shared" si="24"/>
        <v>1110.2</v>
      </c>
      <c r="S141" s="272"/>
      <c r="T141" s="64">
        <v>11</v>
      </c>
      <c r="U141" s="270"/>
      <c r="V141" s="38">
        <v>992</v>
      </c>
      <c r="W141" s="38">
        <f t="shared" si="25"/>
        <v>218.24</v>
      </c>
      <c r="X141" s="38">
        <f t="shared" si="26"/>
        <v>1210.24</v>
      </c>
    </row>
    <row r="142" spans="1:24" ht="23.25" customHeight="1" x14ac:dyDescent="0.35">
      <c r="A142" s="56" t="s">
        <v>2386</v>
      </c>
      <c r="B142" s="2">
        <v>128</v>
      </c>
      <c r="C142" s="77">
        <v>10054095</v>
      </c>
      <c r="D142" s="74" t="s">
        <v>1876</v>
      </c>
      <c r="E142" s="74" t="s">
        <v>2167</v>
      </c>
      <c r="F142" s="75">
        <v>1</v>
      </c>
      <c r="G142" s="64" t="s">
        <v>17</v>
      </c>
      <c r="H142" s="78">
        <v>41431</v>
      </c>
      <c r="I142" s="4" t="s">
        <v>957</v>
      </c>
      <c r="J142" s="63" t="s">
        <v>1917</v>
      </c>
      <c r="K142" s="63" t="s">
        <v>961</v>
      </c>
      <c r="L142" s="69" t="s">
        <v>950</v>
      </c>
      <c r="M142" s="70">
        <f t="shared" si="18"/>
        <v>762.71</v>
      </c>
      <c r="N142" s="96">
        <f t="shared" si="28"/>
        <v>762.71</v>
      </c>
      <c r="O142" s="70">
        <v>762.71</v>
      </c>
      <c r="P142" s="65">
        <v>1310</v>
      </c>
      <c r="Q142" s="65">
        <f t="shared" si="23"/>
        <v>288.2</v>
      </c>
      <c r="R142" s="65">
        <f t="shared" si="24"/>
        <v>1598.2</v>
      </c>
      <c r="S142" s="272"/>
      <c r="T142" s="64">
        <v>11</v>
      </c>
      <c r="U142" s="270"/>
      <c r="V142" s="38">
        <v>1430</v>
      </c>
      <c r="W142" s="38">
        <f t="shared" si="25"/>
        <v>314.60000000000002</v>
      </c>
      <c r="X142" s="38">
        <f t="shared" si="26"/>
        <v>1744.6</v>
      </c>
    </row>
    <row r="143" spans="1:24" ht="30.75" customHeight="1" x14ac:dyDescent="0.35">
      <c r="A143" s="56" t="s">
        <v>2387</v>
      </c>
      <c r="B143" s="2">
        <v>129</v>
      </c>
      <c r="C143" s="77">
        <v>10054096</v>
      </c>
      <c r="D143" s="74" t="s">
        <v>1877</v>
      </c>
      <c r="E143" s="74" t="s">
        <v>2167</v>
      </c>
      <c r="F143" s="75">
        <v>3</v>
      </c>
      <c r="G143" s="64" t="s">
        <v>17</v>
      </c>
      <c r="H143" s="78">
        <v>41431</v>
      </c>
      <c r="I143" s="4" t="s">
        <v>957</v>
      </c>
      <c r="J143" s="63" t="s">
        <v>1917</v>
      </c>
      <c r="K143" s="63" t="s">
        <v>961</v>
      </c>
      <c r="L143" s="69" t="s">
        <v>950</v>
      </c>
      <c r="M143" s="97">
        <f t="shared" si="18"/>
        <v>5161.0200000000004</v>
      </c>
      <c r="N143" s="97">
        <f t="shared" si="28"/>
        <v>1720.34</v>
      </c>
      <c r="O143" s="70">
        <v>5161.0200000000004</v>
      </c>
      <c r="P143" s="65">
        <v>8870</v>
      </c>
      <c r="Q143" s="65">
        <f t="shared" si="23"/>
        <v>1951.4</v>
      </c>
      <c r="R143" s="65">
        <f t="shared" si="24"/>
        <v>10821.4</v>
      </c>
      <c r="S143" s="272"/>
      <c r="T143" s="64">
        <v>11</v>
      </c>
      <c r="U143" s="270"/>
      <c r="V143" s="38">
        <v>9675</v>
      </c>
      <c r="W143" s="38">
        <f t="shared" si="25"/>
        <v>2128.5</v>
      </c>
      <c r="X143" s="38">
        <f t="shared" si="26"/>
        <v>11803.5</v>
      </c>
    </row>
    <row r="144" spans="1:24" ht="30" customHeight="1" x14ac:dyDescent="0.35">
      <c r="A144" s="56" t="s">
        <v>2388</v>
      </c>
      <c r="B144" s="2">
        <v>130</v>
      </c>
      <c r="C144" s="11">
        <v>10151592</v>
      </c>
      <c r="D144" s="3" t="s">
        <v>1353</v>
      </c>
      <c r="E144" s="59" t="s">
        <v>2167</v>
      </c>
      <c r="F144" s="14">
        <v>2</v>
      </c>
      <c r="G144" s="64" t="s">
        <v>0</v>
      </c>
      <c r="H144" s="5">
        <v>41579</v>
      </c>
      <c r="I144" s="4" t="s">
        <v>957</v>
      </c>
      <c r="J144" s="63" t="s">
        <v>1917</v>
      </c>
      <c r="K144" s="63" t="s">
        <v>961</v>
      </c>
      <c r="L144" s="69" t="s">
        <v>950</v>
      </c>
      <c r="M144" s="97">
        <f t="shared" si="18"/>
        <v>3100</v>
      </c>
      <c r="N144" s="97">
        <f t="shared" si="28"/>
        <v>1550</v>
      </c>
      <c r="O144" s="70">
        <v>3100</v>
      </c>
      <c r="P144" s="65">
        <v>5340</v>
      </c>
      <c r="Q144" s="65">
        <f t="shared" si="23"/>
        <v>1174.8</v>
      </c>
      <c r="R144" s="65">
        <f t="shared" si="24"/>
        <v>6514.8</v>
      </c>
      <c r="S144" s="272"/>
      <c r="T144" s="64">
        <v>11</v>
      </c>
      <c r="U144" s="270"/>
      <c r="V144" s="38">
        <v>5828</v>
      </c>
      <c r="W144" s="38">
        <f t="shared" si="25"/>
        <v>1282.1600000000001</v>
      </c>
      <c r="X144" s="38">
        <f t="shared" si="26"/>
        <v>7110.16</v>
      </c>
    </row>
    <row r="145" spans="1:24" ht="35.25" customHeight="1" x14ac:dyDescent="0.35">
      <c r="A145" s="56" t="s">
        <v>2389</v>
      </c>
      <c r="B145" s="2">
        <v>131</v>
      </c>
      <c r="C145" s="11">
        <v>10148843</v>
      </c>
      <c r="D145" s="3" t="s">
        <v>1354</v>
      </c>
      <c r="E145" s="59" t="s">
        <v>2167</v>
      </c>
      <c r="F145" s="14">
        <v>15</v>
      </c>
      <c r="G145" s="64" t="s">
        <v>0</v>
      </c>
      <c r="H145" s="5">
        <v>41579</v>
      </c>
      <c r="I145" s="4" t="s">
        <v>957</v>
      </c>
      <c r="J145" s="63" t="s">
        <v>1917</v>
      </c>
      <c r="K145" s="63" t="s">
        <v>961</v>
      </c>
      <c r="L145" s="69" t="s">
        <v>950</v>
      </c>
      <c r="M145" s="97">
        <f t="shared" si="18"/>
        <v>6300</v>
      </c>
      <c r="N145" s="97">
        <f t="shared" si="28"/>
        <v>420</v>
      </c>
      <c r="O145" s="70">
        <v>6300</v>
      </c>
      <c r="P145" s="65">
        <v>10860</v>
      </c>
      <c r="Q145" s="65">
        <f t="shared" si="23"/>
        <v>2389.1999999999998</v>
      </c>
      <c r="R145" s="65">
        <f t="shared" si="24"/>
        <v>13249.2</v>
      </c>
      <c r="S145" s="276"/>
      <c r="T145" s="64">
        <v>11</v>
      </c>
      <c r="U145" s="270"/>
      <c r="V145" s="38">
        <v>11844</v>
      </c>
      <c r="W145" s="38">
        <f t="shared" si="25"/>
        <v>2605.6799999999998</v>
      </c>
      <c r="X145" s="38">
        <f t="shared" si="26"/>
        <v>14449.68</v>
      </c>
    </row>
    <row r="146" spans="1:24" ht="15" customHeight="1" x14ac:dyDescent="0.35">
      <c r="A146" s="56"/>
      <c r="B146" s="15"/>
      <c r="C146" s="11"/>
      <c r="D146" s="3"/>
      <c r="E146" s="59"/>
      <c r="F146" s="14"/>
      <c r="G146" s="64"/>
      <c r="H146" s="5"/>
      <c r="I146" s="4"/>
      <c r="J146" s="63"/>
      <c r="K146" s="63"/>
      <c r="L146" s="69"/>
      <c r="M146" s="97"/>
      <c r="N146" s="97"/>
      <c r="O146" s="71">
        <f>SUM(O137:O145)</f>
        <v>62959.33</v>
      </c>
      <c r="P146" s="71">
        <f t="shared" ref="P146:R146" si="29">SUM(P137:P145)</f>
        <v>107190</v>
      </c>
      <c r="Q146" s="71">
        <f t="shared" si="29"/>
        <v>23581.8</v>
      </c>
      <c r="R146" s="71">
        <f t="shared" si="29"/>
        <v>130771.8</v>
      </c>
      <c r="S146" s="72">
        <f>R146/100*10</f>
        <v>13077.18</v>
      </c>
      <c r="T146" s="73">
        <v>11</v>
      </c>
      <c r="U146" s="271"/>
      <c r="V146" s="38"/>
      <c r="W146" s="38"/>
      <c r="X146" s="38"/>
    </row>
    <row r="147" spans="1:24" ht="44.25" customHeight="1" x14ac:dyDescent="0.35">
      <c r="A147" s="56" t="s">
        <v>2390</v>
      </c>
      <c r="B147" s="2">
        <v>132</v>
      </c>
      <c r="C147" s="77">
        <v>102002098</v>
      </c>
      <c r="D147" s="74" t="s">
        <v>323</v>
      </c>
      <c r="E147" s="74" t="s">
        <v>2151</v>
      </c>
      <c r="F147" s="75">
        <v>1</v>
      </c>
      <c r="G147" s="64" t="s">
        <v>0</v>
      </c>
      <c r="H147" s="61">
        <v>42004</v>
      </c>
      <c r="I147" s="61" t="s">
        <v>972</v>
      </c>
      <c r="J147" s="63" t="s">
        <v>1917</v>
      </c>
      <c r="K147" s="61" t="s">
        <v>961</v>
      </c>
      <c r="L147" s="61" t="s">
        <v>845</v>
      </c>
      <c r="M147" s="102">
        <f t="shared" si="18"/>
        <v>1109836</v>
      </c>
      <c r="N147" s="102">
        <f t="shared" ref="N147:N163" si="30">O147/F147</f>
        <v>1109836</v>
      </c>
      <c r="O147" s="65">
        <v>1109836</v>
      </c>
      <c r="P147" s="65">
        <v>969510</v>
      </c>
      <c r="Q147" s="65">
        <f t="shared" si="23"/>
        <v>213292.2</v>
      </c>
      <c r="R147" s="65">
        <f t="shared" si="24"/>
        <v>1182802.2</v>
      </c>
      <c r="S147" s="267"/>
      <c r="T147" s="64">
        <v>12</v>
      </c>
      <c r="U147" s="273" t="s">
        <v>2254</v>
      </c>
      <c r="V147" s="38">
        <v>1083247</v>
      </c>
      <c r="W147" s="38">
        <f t="shared" si="25"/>
        <v>238314.34</v>
      </c>
      <c r="X147" s="38">
        <f t="shared" si="26"/>
        <v>1321561.3400000001</v>
      </c>
    </row>
    <row r="148" spans="1:24" ht="32.25" customHeight="1" x14ac:dyDescent="0.35">
      <c r="A148" s="56" t="s">
        <v>2391</v>
      </c>
      <c r="B148" s="2">
        <v>133</v>
      </c>
      <c r="C148" s="77">
        <v>10004229</v>
      </c>
      <c r="D148" s="74" t="s">
        <v>166</v>
      </c>
      <c r="E148" s="74" t="s">
        <v>4175</v>
      </c>
      <c r="F148" s="75">
        <v>1</v>
      </c>
      <c r="G148" s="64" t="s">
        <v>0</v>
      </c>
      <c r="H148" s="61">
        <v>42004</v>
      </c>
      <c r="I148" s="61" t="s">
        <v>958</v>
      </c>
      <c r="J148" s="63" t="s">
        <v>1917</v>
      </c>
      <c r="K148" s="88" t="s">
        <v>1955</v>
      </c>
      <c r="L148" s="88" t="s">
        <v>845</v>
      </c>
      <c r="M148" s="104">
        <f t="shared" si="18"/>
        <v>270.42</v>
      </c>
      <c r="N148" s="104">
        <f t="shared" si="30"/>
        <v>270.42</v>
      </c>
      <c r="O148" s="76">
        <v>270.42</v>
      </c>
      <c r="P148" s="65">
        <v>240</v>
      </c>
      <c r="Q148" s="65">
        <f t="shared" si="23"/>
        <v>52.8</v>
      </c>
      <c r="R148" s="65">
        <f t="shared" si="24"/>
        <v>292.8</v>
      </c>
      <c r="S148" s="272"/>
      <c r="T148" s="64">
        <v>12</v>
      </c>
      <c r="U148" s="270"/>
      <c r="V148" s="38">
        <v>264</v>
      </c>
      <c r="W148" s="38">
        <f t="shared" si="25"/>
        <v>58.08</v>
      </c>
      <c r="X148" s="38">
        <f t="shared" si="26"/>
        <v>322.08</v>
      </c>
    </row>
    <row r="149" spans="1:24" ht="30" customHeight="1" x14ac:dyDescent="0.35">
      <c r="A149" s="56" t="s">
        <v>2392</v>
      </c>
      <c r="B149" s="2">
        <v>134</v>
      </c>
      <c r="C149" s="77">
        <v>10004231</v>
      </c>
      <c r="D149" s="74" t="s">
        <v>167</v>
      </c>
      <c r="E149" s="74" t="s">
        <v>4175</v>
      </c>
      <c r="F149" s="75">
        <v>1</v>
      </c>
      <c r="G149" s="64" t="s">
        <v>0</v>
      </c>
      <c r="H149" s="61">
        <v>42004</v>
      </c>
      <c r="I149" s="61" t="s">
        <v>958</v>
      </c>
      <c r="J149" s="63" t="s">
        <v>955</v>
      </c>
      <c r="K149" s="88" t="s">
        <v>1971</v>
      </c>
      <c r="L149" s="88" t="s">
        <v>845</v>
      </c>
      <c r="M149" s="104">
        <f t="shared" si="18"/>
        <v>371.43</v>
      </c>
      <c r="N149" s="104">
        <f t="shared" si="30"/>
        <v>371.43</v>
      </c>
      <c r="O149" s="76">
        <v>371.43</v>
      </c>
      <c r="P149" s="65">
        <v>320</v>
      </c>
      <c r="Q149" s="65">
        <f t="shared" si="23"/>
        <v>70.400000000000006</v>
      </c>
      <c r="R149" s="65">
        <f t="shared" si="24"/>
        <v>390.4</v>
      </c>
      <c r="S149" s="272"/>
      <c r="T149" s="64">
        <v>12</v>
      </c>
      <c r="U149" s="270"/>
      <c r="V149" s="38">
        <v>363</v>
      </c>
      <c r="W149" s="38">
        <f t="shared" si="25"/>
        <v>79.86</v>
      </c>
      <c r="X149" s="38">
        <f t="shared" si="26"/>
        <v>442.86</v>
      </c>
    </row>
    <row r="150" spans="1:24" ht="75" customHeight="1" x14ac:dyDescent="0.35">
      <c r="A150" s="56" t="s">
        <v>2393</v>
      </c>
      <c r="B150" s="2">
        <v>135</v>
      </c>
      <c r="C150" s="77">
        <v>10041551</v>
      </c>
      <c r="D150" s="74" t="s">
        <v>170</v>
      </c>
      <c r="E150" s="74" t="s">
        <v>4175</v>
      </c>
      <c r="F150" s="75">
        <v>1</v>
      </c>
      <c r="G150" s="64" t="s">
        <v>0</v>
      </c>
      <c r="H150" s="61">
        <v>42004</v>
      </c>
      <c r="I150" s="61" t="s">
        <v>958</v>
      </c>
      <c r="J150" s="63" t="s">
        <v>955</v>
      </c>
      <c r="K150" s="88" t="s">
        <v>1972</v>
      </c>
      <c r="L150" s="88" t="s">
        <v>845</v>
      </c>
      <c r="M150" s="104">
        <f t="shared" si="18"/>
        <v>1975.91</v>
      </c>
      <c r="N150" s="104">
        <f t="shared" si="30"/>
        <v>1975.91</v>
      </c>
      <c r="O150" s="76">
        <v>1975.91</v>
      </c>
      <c r="P150" s="65">
        <v>1730</v>
      </c>
      <c r="Q150" s="65">
        <f t="shared" si="23"/>
        <v>380.6</v>
      </c>
      <c r="R150" s="65">
        <f t="shared" si="24"/>
        <v>2110.6</v>
      </c>
      <c r="S150" s="272"/>
      <c r="T150" s="64">
        <v>12</v>
      </c>
      <c r="U150" s="270"/>
      <c r="V150" s="38">
        <v>1929</v>
      </c>
      <c r="W150" s="38">
        <f t="shared" si="25"/>
        <v>424.38</v>
      </c>
      <c r="X150" s="38">
        <f t="shared" si="26"/>
        <v>2353.38</v>
      </c>
    </row>
    <row r="151" spans="1:24" ht="75" customHeight="1" x14ac:dyDescent="0.35">
      <c r="A151" s="56" t="s">
        <v>2394</v>
      </c>
      <c r="B151" s="2">
        <v>136</v>
      </c>
      <c r="C151" s="77">
        <v>10094822</v>
      </c>
      <c r="D151" s="74" t="s">
        <v>195</v>
      </c>
      <c r="E151" s="74" t="s">
        <v>4175</v>
      </c>
      <c r="F151" s="75">
        <v>2</v>
      </c>
      <c r="G151" s="64" t="s">
        <v>0</v>
      </c>
      <c r="H151" s="61">
        <v>42004</v>
      </c>
      <c r="I151" s="61" t="s">
        <v>958</v>
      </c>
      <c r="J151" s="63" t="s">
        <v>955</v>
      </c>
      <c r="K151" s="88" t="s">
        <v>1975</v>
      </c>
      <c r="L151" s="88" t="s">
        <v>845</v>
      </c>
      <c r="M151" s="104">
        <f t="shared" si="18"/>
        <v>854</v>
      </c>
      <c r="N151" s="104">
        <f t="shared" si="30"/>
        <v>427</v>
      </c>
      <c r="O151" s="76">
        <v>854</v>
      </c>
      <c r="P151" s="65">
        <v>750</v>
      </c>
      <c r="Q151" s="65">
        <f t="shared" si="23"/>
        <v>165</v>
      </c>
      <c r="R151" s="65">
        <f t="shared" si="24"/>
        <v>915</v>
      </c>
      <c r="S151" s="272"/>
      <c r="T151" s="64">
        <v>12</v>
      </c>
      <c r="U151" s="270"/>
      <c r="V151" s="38">
        <v>834</v>
      </c>
      <c r="W151" s="38">
        <f t="shared" si="25"/>
        <v>183.48</v>
      </c>
      <c r="X151" s="38">
        <f t="shared" si="26"/>
        <v>1017.48</v>
      </c>
    </row>
    <row r="152" spans="1:24" ht="75" customHeight="1" x14ac:dyDescent="0.35">
      <c r="A152" s="56" t="s">
        <v>2395</v>
      </c>
      <c r="B152" s="2">
        <v>137</v>
      </c>
      <c r="C152" s="77">
        <v>10020766</v>
      </c>
      <c r="D152" s="74" t="s">
        <v>254</v>
      </c>
      <c r="E152" s="59" t="s">
        <v>1979</v>
      </c>
      <c r="F152" s="75">
        <v>4</v>
      </c>
      <c r="G152" s="64" t="s">
        <v>0</v>
      </c>
      <c r="H152" s="101" t="s">
        <v>494</v>
      </c>
      <c r="I152" s="101" t="s">
        <v>971</v>
      </c>
      <c r="J152" s="63" t="s">
        <v>1917</v>
      </c>
      <c r="K152" s="64" t="s">
        <v>254</v>
      </c>
      <c r="L152" s="88" t="s">
        <v>845</v>
      </c>
      <c r="M152" s="104">
        <f t="shared" si="18"/>
        <v>3529.48</v>
      </c>
      <c r="N152" s="104">
        <f t="shared" si="30"/>
        <v>882.37</v>
      </c>
      <c r="O152" s="76">
        <v>3529.48</v>
      </c>
      <c r="P152" s="65">
        <v>3080</v>
      </c>
      <c r="Q152" s="65">
        <f t="shared" si="23"/>
        <v>677.6</v>
      </c>
      <c r="R152" s="65">
        <f t="shared" si="24"/>
        <v>3757.6</v>
      </c>
      <c r="S152" s="272"/>
      <c r="T152" s="64">
        <v>12</v>
      </c>
      <c r="U152" s="270"/>
      <c r="V152" s="38">
        <v>3445</v>
      </c>
      <c r="W152" s="38">
        <f t="shared" si="25"/>
        <v>757.9</v>
      </c>
      <c r="X152" s="38">
        <f t="shared" si="26"/>
        <v>4202.8999999999996</v>
      </c>
    </row>
    <row r="153" spans="1:24" ht="15" customHeight="1" x14ac:dyDescent="0.35">
      <c r="A153" s="56" t="s">
        <v>2396</v>
      </c>
      <c r="B153" s="2">
        <v>138</v>
      </c>
      <c r="C153" s="77">
        <v>102002061</v>
      </c>
      <c r="D153" s="74" t="s">
        <v>266</v>
      </c>
      <c r="E153" s="74" t="s">
        <v>2183</v>
      </c>
      <c r="F153" s="75">
        <v>1</v>
      </c>
      <c r="G153" s="64" t="s">
        <v>0</v>
      </c>
      <c r="H153" s="101" t="s">
        <v>494</v>
      </c>
      <c r="I153" s="61" t="s">
        <v>976</v>
      </c>
      <c r="J153" s="63" t="s">
        <v>1917</v>
      </c>
      <c r="K153" s="61" t="s">
        <v>961</v>
      </c>
      <c r="L153" s="69" t="s">
        <v>2093</v>
      </c>
      <c r="M153" s="97">
        <f t="shared" si="18"/>
        <v>118850.43</v>
      </c>
      <c r="N153" s="97">
        <f t="shared" si="30"/>
        <v>118850.43</v>
      </c>
      <c r="O153" s="70">
        <v>118850.43</v>
      </c>
      <c r="P153" s="65">
        <v>103820</v>
      </c>
      <c r="Q153" s="65">
        <f t="shared" si="23"/>
        <v>22840.400000000001</v>
      </c>
      <c r="R153" s="65">
        <f t="shared" si="24"/>
        <v>126660.4</v>
      </c>
      <c r="S153" s="272"/>
      <c r="T153" s="64">
        <v>12</v>
      </c>
      <c r="U153" s="270"/>
      <c r="V153" s="38">
        <v>116003</v>
      </c>
      <c r="W153" s="38">
        <f t="shared" si="25"/>
        <v>25520.66</v>
      </c>
      <c r="X153" s="38">
        <f t="shared" si="26"/>
        <v>141523.66</v>
      </c>
    </row>
    <row r="154" spans="1:24" ht="15" customHeight="1" x14ac:dyDescent="0.35">
      <c r="A154" s="56" t="s">
        <v>2397</v>
      </c>
      <c r="B154" s="2">
        <v>139</v>
      </c>
      <c r="C154" s="89">
        <v>10020766</v>
      </c>
      <c r="D154" s="90" t="s">
        <v>254</v>
      </c>
      <c r="E154" s="74" t="s">
        <v>686</v>
      </c>
      <c r="F154" s="91">
        <v>3</v>
      </c>
      <c r="G154" s="64" t="s">
        <v>0</v>
      </c>
      <c r="H154" s="61">
        <v>42004</v>
      </c>
      <c r="I154" s="131" t="s">
        <v>976</v>
      </c>
      <c r="J154" s="63" t="s">
        <v>1917</v>
      </c>
      <c r="K154" s="108" t="s">
        <v>792</v>
      </c>
      <c r="L154" s="132" t="s">
        <v>845</v>
      </c>
      <c r="M154" s="65">
        <f t="shared" si="18"/>
        <v>2652.42</v>
      </c>
      <c r="N154" s="65">
        <f t="shared" si="30"/>
        <v>884.14</v>
      </c>
      <c r="O154" s="65">
        <v>2652.42</v>
      </c>
      <c r="P154" s="65">
        <v>2320</v>
      </c>
      <c r="Q154" s="65">
        <f t="shared" si="23"/>
        <v>510.4</v>
      </c>
      <c r="R154" s="65">
        <f t="shared" si="24"/>
        <v>2830.4</v>
      </c>
      <c r="S154" s="272"/>
      <c r="T154" s="64">
        <v>12</v>
      </c>
      <c r="U154" s="270"/>
      <c r="V154" s="38">
        <v>2589</v>
      </c>
      <c r="W154" s="38">
        <f t="shared" si="25"/>
        <v>569.58000000000004</v>
      </c>
      <c r="X154" s="38">
        <f t="shared" si="26"/>
        <v>3158.58</v>
      </c>
    </row>
    <row r="155" spans="1:24" ht="15" customHeight="1" x14ac:dyDescent="0.35">
      <c r="A155" s="56" t="s">
        <v>2398</v>
      </c>
      <c r="B155" s="2">
        <v>140</v>
      </c>
      <c r="C155" s="89">
        <v>10004245</v>
      </c>
      <c r="D155" s="90" t="s">
        <v>651</v>
      </c>
      <c r="E155" s="74" t="s">
        <v>686</v>
      </c>
      <c r="F155" s="91">
        <v>2</v>
      </c>
      <c r="G155" s="64" t="s">
        <v>0</v>
      </c>
      <c r="H155" s="61">
        <v>42004</v>
      </c>
      <c r="I155" s="107" t="s">
        <v>976</v>
      </c>
      <c r="J155" s="63" t="s">
        <v>1917</v>
      </c>
      <c r="K155" s="108" t="s">
        <v>831</v>
      </c>
      <c r="L155" s="64" t="s">
        <v>845</v>
      </c>
      <c r="M155" s="102">
        <f t="shared" si="18"/>
        <v>758.63</v>
      </c>
      <c r="N155" s="102">
        <f t="shared" si="30"/>
        <v>379.32</v>
      </c>
      <c r="O155" s="65">
        <v>758.63</v>
      </c>
      <c r="P155" s="65">
        <v>660</v>
      </c>
      <c r="Q155" s="65">
        <f t="shared" si="23"/>
        <v>145.19999999999999</v>
      </c>
      <c r="R155" s="65">
        <f t="shared" si="24"/>
        <v>805.2</v>
      </c>
      <c r="S155" s="272"/>
      <c r="T155" s="64">
        <v>12</v>
      </c>
      <c r="U155" s="270"/>
      <c r="V155" s="38">
        <v>740</v>
      </c>
      <c r="W155" s="38">
        <f t="shared" si="25"/>
        <v>162.80000000000001</v>
      </c>
      <c r="X155" s="38">
        <f t="shared" si="26"/>
        <v>902.8</v>
      </c>
    </row>
    <row r="156" spans="1:24" ht="15" customHeight="1" x14ac:dyDescent="0.35">
      <c r="A156" s="56" t="s">
        <v>2399</v>
      </c>
      <c r="B156" s="2">
        <v>141</v>
      </c>
      <c r="C156" s="89">
        <v>10004249</v>
      </c>
      <c r="D156" s="90" t="s">
        <v>652</v>
      </c>
      <c r="E156" s="74" t="s">
        <v>686</v>
      </c>
      <c r="F156" s="91">
        <v>2</v>
      </c>
      <c r="G156" s="64" t="s">
        <v>0</v>
      </c>
      <c r="H156" s="61">
        <v>42004</v>
      </c>
      <c r="I156" s="107" t="s">
        <v>976</v>
      </c>
      <c r="J156" s="63" t="s">
        <v>1917</v>
      </c>
      <c r="K156" s="108" t="s">
        <v>832</v>
      </c>
      <c r="L156" s="64" t="s">
        <v>845</v>
      </c>
      <c r="M156" s="102">
        <f t="shared" si="18"/>
        <v>733.57</v>
      </c>
      <c r="N156" s="102">
        <f t="shared" si="30"/>
        <v>366.79</v>
      </c>
      <c r="O156" s="65">
        <v>733.57</v>
      </c>
      <c r="P156" s="65">
        <v>640</v>
      </c>
      <c r="Q156" s="65">
        <f t="shared" si="23"/>
        <v>140.80000000000001</v>
      </c>
      <c r="R156" s="65">
        <f t="shared" si="24"/>
        <v>780.8</v>
      </c>
      <c r="S156" s="272"/>
      <c r="T156" s="64">
        <v>12</v>
      </c>
      <c r="U156" s="270"/>
      <c r="V156" s="38">
        <v>716</v>
      </c>
      <c r="W156" s="38">
        <f t="shared" si="25"/>
        <v>157.52000000000001</v>
      </c>
      <c r="X156" s="38">
        <f t="shared" si="26"/>
        <v>873.52</v>
      </c>
    </row>
    <row r="157" spans="1:24" ht="15" customHeight="1" x14ac:dyDescent="0.35">
      <c r="A157" s="56" t="s">
        <v>2400</v>
      </c>
      <c r="B157" s="2">
        <v>142</v>
      </c>
      <c r="C157" s="89">
        <v>10004257</v>
      </c>
      <c r="D157" s="90" t="s">
        <v>653</v>
      </c>
      <c r="E157" s="74" t="s">
        <v>686</v>
      </c>
      <c r="F157" s="91">
        <v>1</v>
      </c>
      <c r="G157" s="64" t="s">
        <v>0</v>
      </c>
      <c r="H157" s="61">
        <v>42004</v>
      </c>
      <c r="I157" s="107" t="s">
        <v>976</v>
      </c>
      <c r="J157" s="63" t="s">
        <v>1917</v>
      </c>
      <c r="K157" s="108" t="s">
        <v>833</v>
      </c>
      <c r="L157" s="64" t="s">
        <v>845</v>
      </c>
      <c r="M157" s="102">
        <f t="shared" si="18"/>
        <v>237.9</v>
      </c>
      <c r="N157" s="102">
        <f t="shared" si="30"/>
        <v>237.9</v>
      </c>
      <c r="O157" s="65">
        <v>237.9</v>
      </c>
      <c r="P157" s="65">
        <v>210</v>
      </c>
      <c r="Q157" s="65">
        <f t="shared" si="23"/>
        <v>46.2</v>
      </c>
      <c r="R157" s="65">
        <f t="shared" si="24"/>
        <v>256.2</v>
      </c>
      <c r="S157" s="272"/>
      <c r="T157" s="64">
        <v>12</v>
      </c>
      <c r="U157" s="270"/>
      <c r="V157" s="38">
        <v>232</v>
      </c>
      <c r="W157" s="38">
        <f t="shared" si="25"/>
        <v>51.04</v>
      </c>
      <c r="X157" s="38">
        <f t="shared" si="26"/>
        <v>283.04000000000002</v>
      </c>
    </row>
    <row r="158" spans="1:24" ht="15" customHeight="1" x14ac:dyDescent="0.35">
      <c r="A158" s="56" t="s">
        <v>2401</v>
      </c>
      <c r="B158" s="2">
        <v>143</v>
      </c>
      <c r="C158" s="89">
        <v>10004229</v>
      </c>
      <c r="D158" s="90" t="s">
        <v>166</v>
      </c>
      <c r="E158" s="74" t="s">
        <v>686</v>
      </c>
      <c r="F158" s="91">
        <v>2</v>
      </c>
      <c r="G158" s="64" t="s">
        <v>0</v>
      </c>
      <c r="H158" s="61">
        <v>42004</v>
      </c>
      <c r="I158" s="107" t="s">
        <v>976</v>
      </c>
      <c r="J158" s="63" t="s">
        <v>1917</v>
      </c>
      <c r="K158" s="108" t="s">
        <v>834</v>
      </c>
      <c r="L158" s="64" t="s">
        <v>845</v>
      </c>
      <c r="M158" s="102">
        <f t="shared" si="18"/>
        <v>373.72</v>
      </c>
      <c r="N158" s="102">
        <f t="shared" si="30"/>
        <v>186.86</v>
      </c>
      <c r="O158" s="65">
        <v>373.72</v>
      </c>
      <c r="P158" s="65">
        <v>330</v>
      </c>
      <c r="Q158" s="65">
        <f t="shared" si="23"/>
        <v>72.599999999999994</v>
      </c>
      <c r="R158" s="65">
        <f t="shared" si="24"/>
        <v>402.6</v>
      </c>
      <c r="S158" s="272"/>
      <c r="T158" s="64">
        <v>12</v>
      </c>
      <c r="U158" s="270"/>
      <c r="V158" s="38">
        <v>365</v>
      </c>
      <c r="W158" s="38">
        <f t="shared" si="25"/>
        <v>80.3</v>
      </c>
      <c r="X158" s="38">
        <f t="shared" si="26"/>
        <v>445.3</v>
      </c>
    </row>
    <row r="159" spans="1:24" ht="15" customHeight="1" x14ac:dyDescent="0.35">
      <c r="A159" s="56" t="s">
        <v>2402</v>
      </c>
      <c r="B159" s="2">
        <v>144</v>
      </c>
      <c r="C159" s="89">
        <v>10015321</v>
      </c>
      <c r="D159" s="90" t="s">
        <v>654</v>
      </c>
      <c r="E159" s="74" t="s">
        <v>686</v>
      </c>
      <c r="F159" s="91">
        <v>1</v>
      </c>
      <c r="G159" s="64" t="s">
        <v>0</v>
      </c>
      <c r="H159" s="61">
        <v>42004</v>
      </c>
      <c r="I159" s="107" t="s">
        <v>976</v>
      </c>
      <c r="J159" s="63" t="s">
        <v>1917</v>
      </c>
      <c r="K159" s="108" t="s">
        <v>835</v>
      </c>
      <c r="L159" s="64" t="s">
        <v>845</v>
      </c>
      <c r="M159" s="102">
        <f t="shared" si="18"/>
        <v>763.39</v>
      </c>
      <c r="N159" s="102">
        <f t="shared" si="30"/>
        <v>763.39</v>
      </c>
      <c r="O159" s="65">
        <v>763.39</v>
      </c>
      <c r="P159" s="65">
        <v>670</v>
      </c>
      <c r="Q159" s="65">
        <f t="shared" si="23"/>
        <v>147.4</v>
      </c>
      <c r="R159" s="65">
        <f t="shared" si="24"/>
        <v>817.4</v>
      </c>
      <c r="S159" s="272"/>
      <c r="T159" s="64">
        <v>12</v>
      </c>
      <c r="U159" s="270"/>
      <c r="V159" s="38">
        <v>745</v>
      </c>
      <c r="W159" s="38">
        <f t="shared" si="25"/>
        <v>163.9</v>
      </c>
      <c r="X159" s="38">
        <f t="shared" si="26"/>
        <v>908.9</v>
      </c>
    </row>
    <row r="160" spans="1:24" ht="15" customHeight="1" x14ac:dyDescent="0.35">
      <c r="A160" s="56" t="s">
        <v>2403</v>
      </c>
      <c r="B160" s="2">
        <v>145</v>
      </c>
      <c r="C160" s="77">
        <v>10103066</v>
      </c>
      <c r="D160" s="74" t="s">
        <v>1277</v>
      </c>
      <c r="E160" s="74" t="s">
        <v>2162</v>
      </c>
      <c r="F160" s="75">
        <v>2</v>
      </c>
      <c r="G160" s="64" t="s">
        <v>0</v>
      </c>
      <c r="H160" s="61">
        <v>42004</v>
      </c>
      <c r="I160" s="61" t="s">
        <v>2158</v>
      </c>
      <c r="J160" s="63" t="s">
        <v>1917</v>
      </c>
      <c r="K160" s="101" t="s">
        <v>961</v>
      </c>
      <c r="L160" s="88" t="s">
        <v>845</v>
      </c>
      <c r="M160" s="104">
        <f t="shared" si="18"/>
        <v>210.16</v>
      </c>
      <c r="N160" s="104">
        <f t="shared" si="30"/>
        <v>105.08</v>
      </c>
      <c r="O160" s="76">
        <v>210.16</v>
      </c>
      <c r="P160" s="65">
        <v>180</v>
      </c>
      <c r="Q160" s="65">
        <f t="shared" si="23"/>
        <v>39.6</v>
      </c>
      <c r="R160" s="65">
        <f t="shared" si="24"/>
        <v>219.6</v>
      </c>
      <c r="S160" s="272"/>
      <c r="T160" s="64">
        <v>12</v>
      </c>
      <c r="U160" s="270"/>
      <c r="V160" s="38">
        <v>205</v>
      </c>
      <c r="W160" s="38">
        <f t="shared" si="25"/>
        <v>45.1</v>
      </c>
      <c r="X160" s="38">
        <f t="shared" si="26"/>
        <v>250.1</v>
      </c>
    </row>
    <row r="161" spans="1:24" ht="15" customHeight="1" x14ac:dyDescent="0.35">
      <c r="A161" s="56" t="s">
        <v>2404</v>
      </c>
      <c r="B161" s="2">
        <v>146</v>
      </c>
      <c r="C161" s="74">
        <v>102029312</v>
      </c>
      <c r="D161" s="74" t="s">
        <v>2115</v>
      </c>
      <c r="E161" s="74" t="s">
        <v>2147</v>
      </c>
      <c r="F161" s="75">
        <f>111-20</f>
        <v>91</v>
      </c>
      <c r="G161" s="64" t="s">
        <v>0</v>
      </c>
      <c r="H161" s="64">
        <v>2007</v>
      </c>
      <c r="I161" s="105" t="s">
        <v>972</v>
      </c>
      <c r="J161" s="63" t="s">
        <v>1917</v>
      </c>
      <c r="K161" s="63" t="s">
        <v>961</v>
      </c>
      <c r="L161" s="61" t="s">
        <v>845</v>
      </c>
      <c r="M161" s="102">
        <f t="shared" si="18"/>
        <v>125144.11</v>
      </c>
      <c r="N161" s="102">
        <f t="shared" si="30"/>
        <v>1375.21</v>
      </c>
      <c r="O161" s="65">
        <f>152648.31/111*91</f>
        <v>125144.11</v>
      </c>
      <c r="P161" s="65">
        <v>177440</v>
      </c>
      <c r="Q161" s="65">
        <f t="shared" si="23"/>
        <v>39036.800000000003</v>
      </c>
      <c r="R161" s="65">
        <f t="shared" si="24"/>
        <v>216476.79999999999</v>
      </c>
      <c r="S161" s="272"/>
      <c r="T161" s="64">
        <v>12</v>
      </c>
      <c r="U161" s="270"/>
      <c r="V161" s="38">
        <v>198254</v>
      </c>
      <c r="W161" s="38">
        <f t="shared" si="25"/>
        <v>43615.88</v>
      </c>
      <c r="X161" s="38">
        <f t="shared" si="26"/>
        <v>241869.88</v>
      </c>
    </row>
    <row r="162" spans="1:24" ht="45" customHeight="1" x14ac:dyDescent="0.35">
      <c r="A162" s="56" t="s">
        <v>2405</v>
      </c>
      <c r="B162" s="2">
        <v>147</v>
      </c>
      <c r="C162" s="74">
        <v>102029236</v>
      </c>
      <c r="D162" s="74" t="s">
        <v>2116</v>
      </c>
      <c r="E162" s="74" t="s">
        <v>2147</v>
      </c>
      <c r="F162" s="75">
        <v>14</v>
      </c>
      <c r="G162" s="64" t="s">
        <v>0</v>
      </c>
      <c r="H162" s="64">
        <v>2006</v>
      </c>
      <c r="I162" s="105" t="s">
        <v>972</v>
      </c>
      <c r="J162" s="63" t="s">
        <v>1917</v>
      </c>
      <c r="K162" s="63" t="s">
        <v>961</v>
      </c>
      <c r="L162" s="61" t="s">
        <v>845</v>
      </c>
      <c r="M162" s="102">
        <f t="shared" si="18"/>
        <v>45532.34</v>
      </c>
      <c r="N162" s="102">
        <f t="shared" si="30"/>
        <v>3252.31</v>
      </c>
      <c r="O162" s="65">
        <v>45532.34</v>
      </c>
      <c r="P162" s="65">
        <v>72560</v>
      </c>
      <c r="Q162" s="65">
        <f t="shared" si="23"/>
        <v>15963.2</v>
      </c>
      <c r="R162" s="65">
        <f t="shared" si="24"/>
        <v>88523.199999999997</v>
      </c>
      <c r="S162" s="272"/>
      <c r="T162" s="64">
        <v>12</v>
      </c>
      <c r="U162" s="270"/>
      <c r="V162" s="38">
        <v>81074</v>
      </c>
      <c r="W162" s="38">
        <f t="shared" si="25"/>
        <v>17836.28</v>
      </c>
      <c r="X162" s="38">
        <f t="shared" si="26"/>
        <v>98910.28</v>
      </c>
    </row>
    <row r="163" spans="1:24" ht="45" customHeight="1" x14ac:dyDescent="0.35">
      <c r="A163" s="56" t="s">
        <v>2406</v>
      </c>
      <c r="B163" s="2">
        <v>148</v>
      </c>
      <c r="C163" s="77">
        <v>10013736</v>
      </c>
      <c r="D163" s="74" t="s">
        <v>70</v>
      </c>
      <c r="E163" s="74" t="s">
        <v>2167</v>
      </c>
      <c r="F163" s="75">
        <v>5</v>
      </c>
      <c r="G163" s="64" t="s">
        <v>0</v>
      </c>
      <c r="H163" s="101">
        <v>2014</v>
      </c>
      <c r="I163" s="4" t="s">
        <v>957</v>
      </c>
      <c r="J163" s="61" t="s">
        <v>1917</v>
      </c>
      <c r="K163" s="101" t="s">
        <v>2024</v>
      </c>
      <c r="L163" s="61" t="s">
        <v>2097</v>
      </c>
      <c r="M163" s="102">
        <f t="shared" si="18"/>
        <v>876.31</v>
      </c>
      <c r="N163" s="102">
        <f t="shared" si="30"/>
        <v>175.26</v>
      </c>
      <c r="O163" s="65">
        <v>876.31</v>
      </c>
      <c r="P163" s="65">
        <v>1230</v>
      </c>
      <c r="Q163" s="65">
        <f t="shared" si="23"/>
        <v>270.60000000000002</v>
      </c>
      <c r="R163" s="65">
        <f t="shared" si="24"/>
        <v>1500.6</v>
      </c>
      <c r="S163" s="276"/>
      <c r="T163" s="64">
        <v>12</v>
      </c>
      <c r="U163" s="270"/>
      <c r="V163" s="38">
        <v>1375</v>
      </c>
      <c r="W163" s="38">
        <f t="shared" si="25"/>
        <v>302.5</v>
      </c>
      <c r="X163" s="38">
        <f t="shared" si="26"/>
        <v>1677.5</v>
      </c>
    </row>
    <row r="164" spans="1:24" ht="15" customHeight="1" x14ac:dyDescent="0.35">
      <c r="A164" s="56"/>
      <c r="B164" s="15"/>
      <c r="C164" s="77"/>
      <c r="D164" s="74"/>
      <c r="E164" s="74"/>
      <c r="F164" s="75"/>
      <c r="G164" s="64"/>
      <c r="H164" s="101"/>
      <c r="I164" s="4"/>
      <c r="J164" s="61"/>
      <c r="K164" s="101"/>
      <c r="L164" s="61"/>
      <c r="M164" s="102"/>
      <c r="N164" s="102"/>
      <c r="O164" s="126">
        <f>SUM(O147:O163)</f>
        <v>1412970.22</v>
      </c>
      <c r="P164" s="126">
        <f>SUM(P147:P163)</f>
        <v>1335690</v>
      </c>
      <c r="Q164" s="126">
        <f>SUM(Q147:Q163)</f>
        <v>293851.8</v>
      </c>
      <c r="R164" s="126">
        <f>SUM(R147:R163)</f>
        <v>1629541.8</v>
      </c>
      <c r="S164" s="72">
        <f>R164/100*10</f>
        <v>162954.18</v>
      </c>
      <c r="T164" s="73">
        <v>12</v>
      </c>
      <c r="U164" s="271"/>
      <c r="V164" s="38"/>
      <c r="W164" s="38"/>
      <c r="X164" s="38"/>
    </row>
    <row r="165" spans="1:24" ht="15" customHeight="1" x14ac:dyDescent="0.35">
      <c r="A165" s="56" t="s">
        <v>2407</v>
      </c>
      <c r="B165" s="2">
        <v>149</v>
      </c>
      <c r="C165" s="77">
        <v>10135364</v>
      </c>
      <c r="D165" s="74" t="s">
        <v>1461</v>
      </c>
      <c r="E165" s="59" t="s">
        <v>2167</v>
      </c>
      <c r="F165" s="75">
        <v>1</v>
      </c>
      <c r="G165" s="64" t="s">
        <v>0</v>
      </c>
      <c r="H165" s="78">
        <v>41244</v>
      </c>
      <c r="I165" s="4" t="s">
        <v>957</v>
      </c>
      <c r="J165" s="63" t="s">
        <v>1489</v>
      </c>
      <c r="K165" s="63" t="s">
        <v>961</v>
      </c>
      <c r="L165" s="69" t="s">
        <v>950</v>
      </c>
      <c r="M165" s="98">
        <f t="shared" si="18"/>
        <v>22000</v>
      </c>
      <c r="N165" s="98">
        <f>O165/F165</f>
        <v>22000</v>
      </c>
      <c r="O165" s="99">
        <v>22000</v>
      </c>
      <c r="P165" s="65">
        <v>36790</v>
      </c>
      <c r="Q165" s="65">
        <f t="shared" si="23"/>
        <v>8093.8</v>
      </c>
      <c r="R165" s="65">
        <f t="shared" si="24"/>
        <v>44883.8</v>
      </c>
      <c r="S165" s="267"/>
      <c r="T165" s="64">
        <v>13</v>
      </c>
      <c r="U165" s="273" t="s">
        <v>2255</v>
      </c>
      <c r="V165" s="38">
        <v>39556</v>
      </c>
      <c r="W165" s="38">
        <f t="shared" si="25"/>
        <v>8702.32</v>
      </c>
      <c r="X165" s="38">
        <f t="shared" si="26"/>
        <v>48258.32</v>
      </c>
    </row>
    <row r="166" spans="1:24" ht="15" customHeight="1" x14ac:dyDescent="0.35">
      <c r="A166" s="56" t="s">
        <v>2408</v>
      </c>
      <c r="B166" s="2">
        <v>150</v>
      </c>
      <c r="C166" s="77">
        <v>10119262</v>
      </c>
      <c r="D166" s="74" t="s">
        <v>1462</v>
      </c>
      <c r="E166" s="59" t="s">
        <v>2167</v>
      </c>
      <c r="F166" s="75">
        <v>1</v>
      </c>
      <c r="G166" s="64" t="s">
        <v>0</v>
      </c>
      <c r="H166" s="78">
        <v>40909</v>
      </c>
      <c r="I166" s="4" t="s">
        <v>957</v>
      </c>
      <c r="J166" s="63" t="s">
        <v>1489</v>
      </c>
      <c r="K166" s="63" t="s">
        <v>961</v>
      </c>
      <c r="L166" s="69" t="s">
        <v>950</v>
      </c>
      <c r="M166" s="98">
        <f t="shared" si="18"/>
        <v>11233.6</v>
      </c>
      <c r="N166" s="98">
        <f>O166/F166</f>
        <v>11233.6</v>
      </c>
      <c r="O166" s="99">
        <v>11233.6</v>
      </c>
      <c r="P166" s="65">
        <v>19570</v>
      </c>
      <c r="Q166" s="65">
        <f t="shared" si="23"/>
        <v>4305.3999999999996</v>
      </c>
      <c r="R166" s="65">
        <f t="shared" si="24"/>
        <v>23875.4</v>
      </c>
      <c r="S166" s="272"/>
      <c r="T166" s="64">
        <v>13</v>
      </c>
      <c r="U166" s="274"/>
      <c r="V166" s="38">
        <v>21040</v>
      </c>
      <c r="W166" s="38">
        <f t="shared" si="25"/>
        <v>4628.8</v>
      </c>
      <c r="X166" s="38">
        <f t="shared" si="26"/>
        <v>25668.799999999999</v>
      </c>
    </row>
    <row r="167" spans="1:24" ht="12" customHeight="1" x14ac:dyDescent="0.35">
      <c r="A167" s="56" t="s">
        <v>2409</v>
      </c>
      <c r="B167" s="2">
        <v>151</v>
      </c>
      <c r="C167" s="77">
        <v>10119263</v>
      </c>
      <c r="D167" s="74" t="s">
        <v>1463</v>
      </c>
      <c r="E167" s="59" t="s">
        <v>2167</v>
      </c>
      <c r="F167" s="75">
        <v>1</v>
      </c>
      <c r="G167" s="64" t="s">
        <v>0</v>
      </c>
      <c r="H167" s="78">
        <v>41275</v>
      </c>
      <c r="I167" s="4" t="s">
        <v>957</v>
      </c>
      <c r="J167" s="63" t="s">
        <v>1489</v>
      </c>
      <c r="K167" s="63" t="s">
        <v>961</v>
      </c>
      <c r="L167" s="69" t="s">
        <v>950</v>
      </c>
      <c r="M167" s="98">
        <f t="shared" si="18"/>
        <v>10903.2</v>
      </c>
      <c r="N167" s="98">
        <f>O167/F167</f>
        <v>10903.2</v>
      </c>
      <c r="O167" s="99">
        <v>10903.2</v>
      </c>
      <c r="P167" s="65">
        <v>18250</v>
      </c>
      <c r="Q167" s="65">
        <f t="shared" si="23"/>
        <v>4015</v>
      </c>
      <c r="R167" s="65">
        <f t="shared" si="24"/>
        <v>22265</v>
      </c>
      <c r="S167" s="276"/>
      <c r="T167" s="64">
        <v>13</v>
      </c>
      <c r="U167" s="274"/>
      <c r="V167" s="38">
        <v>19620</v>
      </c>
      <c r="W167" s="38">
        <f t="shared" si="25"/>
        <v>4316.3999999999996</v>
      </c>
      <c r="X167" s="38">
        <f t="shared" si="26"/>
        <v>23936.400000000001</v>
      </c>
    </row>
    <row r="168" spans="1:24" ht="15.75" customHeight="1" x14ac:dyDescent="0.35">
      <c r="A168" s="56"/>
      <c r="B168" s="15"/>
      <c r="C168" s="77"/>
      <c r="D168" s="74"/>
      <c r="E168" s="74"/>
      <c r="F168" s="75"/>
      <c r="G168" s="64"/>
      <c r="H168" s="78"/>
      <c r="I168" s="4"/>
      <c r="J168" s="63"/>
      <c r="K168" s="63"/>
      <c r="L168" s="69"/>
      <c r="M168" s="98"/>
      <c r="N168" s="98"/>
      <c r="O168" s="100">
        <f>+SUM(O165:O167)</f>
        <v>44136.800000000003</v>
      </c>
      <c r="P168" s="100">
        <f t="shared" ref="P168:R168" si="31">+SUM(P165:P167)</f>
        <v>74610</v>
      </c>
      <c r="Q168" s="100">
        <f t="shared" si="31"/>
        <v>16414.2</v>
      </c>
      <c r="R168" s="100">
        <f t="shared" si="31"/>
        <v>91024.2</v>
      </c>
      <c r="S168" s="72">
        <f>R168/100*10</f>
        <v>9102.42</v>
      </c>
      <c r="T168" s="73">
        <v>13</v>
      </c>
      <c r="U168" s="275"/>
      <c r="V168" s="38"/>
      <c r="W168" s="38"/>
      <c r="X168" s="38"/>
    </row>
    <row r="169" spans="1:24" ht="15" customHeight="1" x14ac:dyDescent="0.35">
      <c r="A169" s="56" t="s">
        <v>2410</v>
      </c>
      <c r="B169" s="2">
        <v>152</v>
      </c>
      <c r="C169" s="89">
        <v>102001263</v>
      </c>
      <c r="D169" s="106" t="s">
        <v>649</v>
      </c>
      <c r="E169" s="74" t="s">
        <v>686</v>
      </c>
      <c r="F169" s="91">
        <v>1</v>
      </c>
      <c r="G169" s="64" t="s">
        <v>0</v>
      </c>
      <c r="H169" s="61">
        <v>42004</v>
      </c>
      <c r="I169" s="107" t="s">
        <v>976</v>
      </c>
      <c r="J169" s="63" t="s">
        <v>1917</v>
      </c>
      <c r="K169" s="108" t="s">
        <v>830</v>
      </c>
      <c r="L169" s="64" t="s">
        <v>845</v>
      </c>
      <c r="M169" s="102">
        <f t="shared" si="18"/>
        <v>61354.46</v>
      </c>
      <c r="N169" s="102">
        <f>O169/F169</f>
        <v>61354.46</v>
      </c>
      <c r="O169" s="65">
        <v>61354.46</v>
      </c>
      <c r="P169" s="65">
        <v>65430</v>
      </c>
      <c r="Q169" s="65">
        <f t="shared" si="23"/>
        <v>14394.6</v>
      </c>
      <c r="R169" s="65">
        <f t="shared" si="24"/>
        <v>79824.600000000006</v>
      </c>
      <c r="S169" s="272"/>
      <c r="T169" s="64">
        <v>14</v>
      </c>
      <c r="U169" s="270" t="s">
        <v>2255</v>
      </c>
      <c r="V169" s="38">
        <v>65427</v>
      </c>
      <c r="W169" s="38">
        <f t="shared" si="25"/>
        <v>14393.94</v>
      </c>
      <c r="X169" s="38">
        <f t="shared" si="26"/>
        <v>79820.94</v>
      </c>
    </row>
    <row r="170" spans="1:24" ht="15" customHeight="1" x14ac:dyDescent="0.35">
      <c r="A170" s="56" t="s">
        <v>2411</v>
      </c>
      <c r="B170" s="2">
        <v>153</v>
      </c>
      <c r="C170" s="89">
        <v>102001337</v>
      </c>
      <c r="D170" s="106" t="s">
        <v>650</v>
      </c>
      <c r="E170" s="74" t="s">
        <v>686</v>
      </c>
      <c r="F170" s="91">
        <v>1</v>
      </c>
      <c r="G170" s="64" t="s">
        <v>0</v>
      </c>
      <c r="H170" s="61">
        <v>42004</v>
      </c>
      <c r="I170" s="107" t="s">
        <v>976</v>
      </c>
      <c r="J170" s="63" t="s">
        <v>1917</v>
      </c>
      <c r="K170" s="108" t="s">
        <v>831</v>
      </c>
      <c r="L170" s="64" t="s">
        <v>845</v>
      </c>
      <c r="M170" s="102">
        <f t="shared" si="18"/>
        <v>20678.240000000002</v>
      </c>
      <c r="N170" s="102">
        <f>O170/F170</f>
        <v>20678.240000000002</v>
      </c>
      <c r="O170" s="65">
        <v>20678.240000000002</v>
      </c>
      <c r="P170" s="65">
        <v>22050</v>
      </c>
      <c r="Q170" s="65">
        <f t="shared" si="23"/>
        <v>4851</v>
      </c>
      <c r="R170" s="65">
        <f t="shared" si="24"/>
        <v>26901</v>
      </c>
      <c r="S170" s="276"/>
      <c r="T170" s="64">
        <v>14</v>
      </c>
      <c r="U170" s="270"/>
      <c r="V170" s="38">
        <v>22051</v>
      </c>
      <c r="W170" s="38">
        <f t="shared" si="25"/>
        <v>4851.22</v>
      </c>
      <c r="X170" s="38">
        <f t="shared" si="26"/>
        <v>26902.22</v>
      </c>
    </row>
    <row r="171" spans="1:24" ht="15" customHeight="1" x14ac:dyDescent="0.35">
      <c r="A171" s="56"/>
      <c r="B171" s="15"/>
      <c r="C171" s="89"/>
      <c r="D171" s="106"/>
      <c r="E171" s="74"/>
      <c r="F171" s="91"/>
      <c r="G171" s="64"/>
      <c r="H171" s="61"/>
      <c r="I171" s="107"/>
      <c r="J171" s="63"/>
      <c r="K171" s="108"/>
      <c r="L171" s="64"/>
      <c r="M171" s="102"/>
      <c r="N171" s="102"/>
      <c r="O171" s="126">
        <f>SUM(O169:O170)</f>
        <v>82032.7</v>
      </c>
      <c r="P171" s="126">
        <f t="shared" ref="P171:R171" si="32">SUM(P169:P170)</f>
        <v>87480</v>
      </c>
      <c r="Q171" s="126">
        <f t="shared" si="32"/>
        <v>19245.599999999999</v>
      </c>
      <c r="R171" s="126">
        <f t="shared" si="32"/>
        <v>106725.6</v>
      </c>
      <c r="S171" s="72">
        <f>R171/100*10</f>
        <v>10672.56</v>
      </c>
      <c r="T171" s="73">
        <v>14</v>
      </c>
      <c r="U171" s="271"/>
      <c r="V171" s="38"/>
      <c r="W171" s="38"/>
      <c r="X171" s="38"/>
    </row>
    <row r="172" spans="1:24" ht="52.5" customHeight="1" x14ac:dyDescent="0.35">
      <c r="A172" s="56" t="s">
        <v>2412</v>
      </c>
      <c r="B172" s="2">
        <v>154</v>
      </c>
      <c r="C172" s="89">
        <v>10001062</v>
      </c>
      <c r="D172" s="90" t="s">
        <v>515</v>
      </c>
      <c r="E172" s="59" t="s">
        <v>2168</v>
      </c>
      <c r="F172" s="91">
        <v>22</v>
      </c>
      <c r="G172" s="75" t="s">
        <v>0</v>
      </c>
      <c r="H172" s="80">
        <v>42309</v>
      </c>
      <c r="I172" s="3" t="s">
        <v>957</v>
      </c>
      <c r="J172" s="63" t="s">
        <v>956</v>
      </c>
      <c r="K172" s="63" t="s">
        <v>961</v>
      </c>
      <c r="L172" s="63" t="s">
        <v>950</v>
      </c>
      <c r="M172" s="104">
        <f t="shared" si="18"/>
        <v>10040.98</v>
      </c>
      <c r="N172" s="104">
        <f>O172/F172</f>
        <v>456.41</v>
      </c>
      <c r="O172" s="76">
        <v>10040.98</v>
      </c>
      <c r="P172" s="65">
        <v>14300</v>
      </c>
      <c r="Q172" s="65">
        <f t="shared" si="23"/>
        <v>3146</v>
      </c>
      <c r="R172" s="65">
        <f t="shared" si="24"/>
        <v>17446</v>
      </c>
      <c r="S172" s="267"/>
      <c r="T172" s="64">
        <v>15</v>
      </c>
      <c r="U172" s="273" t="s">
        <v>2256</v>
      </c>
      <c r="V172" s="38">
        <v>16422</v>
      </c>
      <c r="W172" s="38">
        <f t="shared" si="25"/>
        <v>3612.84</v>
      </c>
      <c r="X172" s="38">
        <f t="shared" si="26"/>
        <v>20034.84</v>
      </c>
    </row>
    <row r="173" spans="1:24" ht="15" customHeight="1" x14ac:dyDescent="0.35">
      <c r="A173" s="56" t="s">
        <v>2413</v>
      </c>
      <c r="B173" s="2">
        <v>155</v>
      </c>
      <c r="C173" s="74">
        <v>10001261</v>
      </c>
      <c r="D173" s="74" t="s">
        <v>2189</v>
      </c>
      <c r="E173" s="74" t="s">
        <v>2167</v>
      </c>
      <c r="F173" s="75">
        <v>13</v>
      </c>
      <c r="G173" s="64" t="s">
        <v>0</v>
      </c>
      <c r="H173" s="88">
        <v>41967</v>
      </c>
      <c r="I173" s="4" t="s">
        <v>957</v>
      </c>
      <c r="J173" s="63" t="s">
        <v>1917</v>
      </c>
      <c r="K173" s="63" t="s">
        <v>961</v>
      </c>
      <c r="L173" s="69" t="s">
        <v>950</v>
      </c>
      <c r="M173" s="70">
        <f t="shared" si="18"/>
        <v>3172.64</v>
      </c>
      <c r="N173" s="70">
        <f>O173/F173</f>
        <v>244.05</v>
      </c>
      <c r="O173" s="70">
        <v>3172.64</v>
      </c>
      <c r="P173" s="65">
        <v>5050</v>
      </c>
      <c r="Q173" s="65">
        <f t="shared" si="23"/>
        <v>1111</v>
      </c>
      <c r="R173" s="65">
        <f t="shared" si="24"/>
        <v>6161</v>
      </c>
      <c r="S173" s="272"/>
      <c r="T173" s="64">
        <v>15</v>
      </c>
      <c r="U173" s="274"/>
      <c r="V173" s="38">
        <v>5799</v>
      </c>
      <c r="W173" s="38">
        <f t="shared" si="25"/>
        <v>1275.78</v>
      </c>
      <c r="X173" s="38">
        <f t="shared" si="26"/>
        <v>7074.78</v>
      </c>
    </row>
    <row r="174" spans="1:24" ht="15" customHeight="1" x14ac:dyDescent="0.35">
      <c r="A174" s="56" t="s">
        <v>2414</v>
      </c>
      <c r="B174" s="2">
        <v>156</v>
      </c>
      <c r="C174" s="74">
        <v>10006225</v>
      </c>
      <c r="D174" s="74" t="s">
        <v>2190</v>
      </c>
      <c r="E174" s="74" t="s">
        <v>2167</v>
      </c>
      <c r="F174" s="133">
        <f>1312.02-99.19</f>
        <v>1212.83</v>
      </c>
      <c r="G174" s="64" t="s">
        <v>17</v>
      </c>
      <c r="H174" s="129">
        <v>41997</v>
      </c>
      <c r="I174" s="4" t="s">
        <v>957</v>
      </c>
      <c r="J174" s="63" t="s">
        <v>1917</v>
      </c>
      <c r="K174" s="63" t="s">
        <v>961</v>
      </c>
      <c r="L174" s="69" t="s">
        <v>950</v>
      </c>
      <c r="M174" s="70">
        <f t="shared" si="18"/>
        <v>1231423.17</v>
      </c>
      <c r="N174" s="70">
        <f>O174/F174</f>
        <v>1015.33</v>
      </c>
      <c r="O174" s="70">
        <f>1332133.79/1312.02*1212.83</f>
        <v>1231423.17</v>
      </c>
      <c r="P174" s="65">
        <v>1944380</v>
      </c>
      <c r="Q174" s="65">
        <f t="shared" si="23"/>
        <v>427763.6</v>
      </c>
      <c r="R174" s="65">
        <f t="shared" si="24"/>
        <v>2372143.6</v>
      </c>
      <c r="S174" s="272"/>
      <c r="T174" s="64">
        <v>15</v>
      </c>
      <c r="U174" s="274"/>
      <c r="V174" s="38">
        <v>2232359</v>
      </c>
      <c r="W174" s="38">
        <f t="shared" si="25"/>
        <v>491118.98</v>
      </c>
      <c r="X174" s="38">
        <f t="shared" si="26"/>
        <v>2723477.98</v>
      </c>
    </row>
    <row r="175" spans="1:24" ht="15" customHeight="1" x14ac:dyDescent="0.35">
      <c r="A175" s="56" t="s">
        <v>3988</v>
      </c>
      <c r="B175" s="2">
        <v>157</v>
      </c>
      <c r="C175" s="74">
        <v>10006225</v>
      </c>
      <c r="D175" s="74" t="s">
        <v>2190</v>
      </c>
      <c r="E175" s="74" t="s">
        <v>3989</v>
      </c>
      <c r="F175" s="133">
        <v>99.19</v>
      </c>
      <c r="G175" s="64" t="s">
        <v>17</v>
      </c>
      <c r="H175" s="129">
        <v>41997</v>
      </c>
      <c r="I175" s="4" t="s">
        <v>957</v>
      </c>
      <c r="J175" s="63" t="s">
        <v>1917</v>
      </c>
      <c r="K175" s="63" t="s">
        <v>4167</v>
      </c>
      <c r="L175" s="69" t="s">
        <v>4168</v>
      </c>
      <c r="M175" s="70">
        <f>O175</f>
        <v>100710.62</v>
      </c>
      <c r="N175" s="70">
        <f>M175/F175</f>
        <v>1015.33</v>
      </c>
      <c r="O175" s="70">
        <v>100710.62</v>
      </c>
      <c r="P175" s="65">
        <v>93540</v>
      </c>
      <c r="Q175" s="65">
        <f t="shared" si="23"/>
        <v>20578.8</v>
      </c>
      <c r="R175" s="65">
        <f t="shared" si="24"/>
        <v>114118.8</v>
      </c>
      <c r="S175" s="272"/>
      <c r="T175" s="64">
        <v>15</v>
      </c>
      <c r="U175" s="274"/>
      <c r="V175" s="38">
        <v>107395</v>
      </c>
      <c r="W175" s="38">
        <f t="shared" si="25"/>
        <v>23626.9</v>
      </c>
      <c r="X175" s="38">
        <f t="shared" si="26"/>
        <v>131021.9</v>
      </c>
    </row>
    <row r="176" spans="1:24" ht="15.75" customHeight="1" x14ac:dyDescent="0.35">
      <c r="A176" s="56" t="s">
        <v>2415</v>
      </c>
      <c r="B176" s="2">
        <v>158</v>
      </c>
      <c r="C176" s="74">
        <v>10128178</v>
      </c>
      <c r="D176" s="74" t="s">
        <v>2191</v>
      </c>
      <c r="E176" s="74" t="s">
        <v>2167</v>
      </c>
      <c r="F176" s="133">
        <v>28.25</v>
      </c>
      <c r="G176" s="64" t="s">
        <v>17</v>
      </c>
      <c r="H176" s="129">
        <v>41789</v>
      </c>
      <c r="I176" s="4" t="s">
        <v>957</v>
      </c>
      <c r="J176" s="63" t="s">
        <v>1917</v>
      </c>
      <c r="K176" s="63" t="s">
        <v>961</v>
      </c>
      <c r="L176" s="69" t="s">
        <v>950</v>
      </c>
      <c r="M176" s="70">
        <f t="shared" si="18"/>
        <v>72824.83</v>
      </c>
      <c r="N176" s="70">
        <f t="shared" ref="N176:N198" si="33">O176/F176</f>
        <v>2577.87</v>
      </c>
      <c r="O176" s="70">
        <v>72824.83</v>
      </c>
      <c r="P176" s="65">
        <v>112960</v>
      </c>
      <c r="Q176" s="65">
        <f t="shared" si="23"/>
        <v>24851.200000000001</v>
      </c>
      <c r="R176" s="65">
        <f t="shared" si="24"/>
        <v>137811.20000000001</v>
      </c>
      <c r="S176" s="272"/>
      <c r="T176" s="64">
        <v>15</v>
      </c>
      <c r="U176" s="274"/>
      <c r="V176" s="38">
        <v>129695</v>
      </c>
      <c r="W176" s="38">
        <f t="shared" si="25"/>
        <v>28532.9</v>
      </c>
      <c r="X176" s="38">
        <f t="shared" si="26"/>
        <v>158227.9</v>
      </c>
    </row>
    <row r="177" spans="1:24" ht="15" customHeight="1" x14ac:dyDescent="0.35">
      <c r="A177" s="56" t="s">
        <v>2416</v>
      </c>
      <c r="B177" s="2">
        <v>159</v>
      </c>
      <c r="C177" s="74">
        <v>10006222</v>
      </c>
      <c r="D177" s="74" t="s">
        <v>2192</v>
      </c>
      <c r="E177" s="74" t="s">
        <v>2176</v>
      </c>
      <c r="F177" s="133">
        <v>809.41</v>
      </c>
      <c r="G177" s="64" t="s">
        <v>17</v>
      </c>
      <c r="H177" s="129">
        <v>41936</v>
      </c>
      <c r="I177" s="4" t="s">
        <v>957</v>
      </c>
      <c r="J177" s="63" t="s">
        <v>1917</v>
      </c>
      <c r="K177" s="63" t="s">
        <v>961</v>
      </c>
      <c r="L177" s="69" t="s">
        <v>950</v>
      </c>
      <c r="M177" s="70">
        <f t="shared" si="18"/>
        <v>376934.15</v>
      </c>
      <c r="N177" s="70">
        <f t="shared" si="33"/>
        <v>465.69</v>
      </c>
      <c r="O177" s="70">
        <v>376934.15</v>
      </c>
      <c r="P177" s="65">
        <v>600770</v>
      </c>
      <c r="Q177" s="65">
        <f t="shared" si="23"/>
        <v>132169.4</v>
      </c>
      <c r="R177" s="65">
        <f t="shared" si="24"/>
        <v>732939.4</v>
      </c>
      <c r="S177" s="272"/>
      <c r="T177" s="64">
        <v>15</v>
      </c>
      <c r="U177" s="274"/>
      <c r="V177" s="38">
        <v>689750</v>
      </c>
      <c r="W177" s="38">
        <f t="shared" si="25"/>
        <v>151745</v>
      </c>
      <c r="X177" s="38">
        <f t="shared" si="26"/>
        <v>841495</v>
      </c>
    </row>
    <row r="178" spans="1:24" ht="15" customHeight="1" x14ac:dyDescent="0.35">
      <c r="A178" s="56" t="s">
        <v>2417</v>
      </c>
      <c r="B178" s="2">
        <v>160</v>
      </c>
      <c r="C178" s="77">
        <v>10001078</v>
      </c>
      <c r="D178" s="74" t="s">
        <v>508</v>
      </c>
      <c r="E178" s="74" t="s">
        <v>2167</v>
      </c>
      <c r="F178" s="75">
        <v>22</v>
      </c>
      <c r="G178" s="75" t="s">
        <v>0</v>
      </c>
      <c r="H178" s="63">
        <v>2014</v>
      </c>
      <c r="I178" s="4" t="s">
        <v>957</v>
      </c>
      <c r="J178" s="63" t="s">
        <v>1917</v>
      </c>
      <c r="K178" s="63" t="s">
        <v>961</v>
      </c>
      <c r="L178" s="63" t="s">
        <v>950</v>
      </c>
      <c r="M178" s="76">
        <f t="shared" si="18"/>
        <v>1336.11</v>
      </c>
      <c r="N178" s="76">
        <f t="shared" si="33"/>
        <v>60.73</v>
      </c>
      <c r="O178" s="76">
        <v>1336.11</v>
      </c>
      <c r="P178" s="65">
        <v>2100</v>
      </c>
      <c r="Q178" s="65">
        <f t="shared" si="23"/>
        <v>462</v>
      </c>
      <c r="R178" s="65">
        <f t="shared" si="24"/>
        <v>2562</v>
      </c>
      <c r="S178" s="272"/>
      <c r="T178" s="64">
        <v>15</v>
      </c>
      <c r="U178" s="274"/>
      <c r="V178" s="38">
        <v>2414</v>
      </c>
      <c r="W178" s="38">
        <f t="shared" si="25"/>
        <v>531.08000000000004</v>
      </c>
      <c r="X178" s="38">
        <f t="shared" si="26"/>
        <v>2945.08</v>
      </c>
    </row>
    <row r="179" spans="1:24" ht="15" customHeight="1" x14ac:dyDescent="0.35">
      <c r="A179" s="56" t="s">
        <v>2418</v>
      </c>
      <c r="B179" s="2">
        <v>161</v>
      </c>
      <c r="C179" s="77">
        <v>10029541</v>
      </c>
      <c r="D179" s="74" t="s">
        <v>509</v>
      </c>
      <c r="E179" s="74" t="s">
        <v>2167</v>
      </c>
      <c r="F179" s="75">
        <v>11</v>
      </c>
      <c r="G179" s="75" t="s">
        <v>0</v>
      </c>
      <c r="H179" s="63">
        <v>2014</v>
      </c>
      <c r="I179" s="4" t="s">
        <v>957</v>
      </c>
      <c r="J179" s="63" t="s">
        <v>1917</v>
      </c>
      <c r="K179" s="63" t="s">
        <v>961</v>
      </c>
      <c r="L179" s="63" t="s">
        <v>950</v>
      </c>
      <c r="M179" s="76">
        <f t="shared" si="18"/>
        <v>240.35</v>
      </c>
      <c r="N179" s="76">
        <f t="shared" si="33"/>
        <v>21.85</v>
      </c>
      <c r="O179" s="76">
        <v>240.35</v>
      </c>
      <c r="P179" s="65">
        <v>380</v>
      </c>
      <c r="Q179" s="65">
        <f t="shared" si="23"/>
        <v>83.6</v>
      </c>
      <c r="R179" s="65">
        <f t="shared" si="24"/>
        <v>463.6</v>
      </c>
      <c r="S179" s="272"/>
      <c r="T179" s="64">
        <v>15</v>
      </c>
      <c r="U179" s="274"/>
      <c r="V179" s="38">
        <v>434</v>
      </c>
      <c r="W179" s="38">
        <f t="shared" si="25"/>
        <v>95.48</v>
      </c>
      <c r="X179" s="38">
        <f t="shared" si="26"/>
        <v>529.48</v>
      </c>
    </row>
    <row r="180" spans="1:24" ht="23.25" customHeight="1" x14ac:dyDescent="0.35">
      <c r="A180" s="56" t="s">
        <v>2419</v>
      </c>
      <c r="B180" s="2">
        <v>162</v>
      </c>
      <c r="C180" s="77">
        <v>10001084</v>
      </c>
      <c r="D180" s="74" t="s">
        <v>1409</v>
      </c>
      <c r="E180" s="74" t="s">
        <v>2167</v>
      </c>
      <c r="F180" s="75">
        <v>9</v>
      </c>
      <c r="G180" s="64" t="s">
        <v>0</v>
      </c>
      <c r="H180" s="95">
        <v>42004</v>
      </c>
      <c r="I180" s="4" t="s">
        <v>957</v>
      </c>
      <c r="J180" s="63" t="s">
        <v>1917</v>
      </c>
      <c r="K180" s="63" t="s">
        <v>961</v>
      </c>
      <c r="L180" s="69" t="s">
        <v>950</v>
      </c>
      <c r="M180" s="70">
        <f t="shared" si="18"/>
        <v>1232.22</v>
      </c>
      <c r="N180" s="70">
        <f t="shared" si="33"/>
        <v>136.91</v>
      </c>
      <c r="O180" s="70">
        <v>1232.22</v>
      </c>
      <c r="P180" s="65">
        <v>1950</v>
      </c>
      <c r="Q180" s="65">
        <f t="shared" si="23"/>
        <v>429</v>
      </c>
      <c r="R180" s="65">
        <f t="shared" si="24"/>
        <v>2379</v>
      </c>
      <c r="S180" s="272"/>
      <c r="T180" s="64">
        <v>15</v>
      </c>
      <c r="U180" s="274"/>
      <c r="V180" s="38">
        <v>2234</v>
      </c>
      <c r="W180" s="38">
        <f t="shared" si="25"/>
        <v>491.48</v>
      </c>
      <c r="X180" s="38">
        <f t="shared" si="26"/>
        <v>2725.48</v>
      </c>
    </row>
    <row r="181" spans="1:24" ht="20.25" customHeight="1" x14ac:dyDescent="0.35">
      <c r="A181" s="56" t="s">
        <v>2420</v>
      </c>
      <c r="B181" s="2">
        <v>163</v>
      </c>
      <c r="C181" s="77">
        <v>10005935</v>
      </c>
      <c r="D181" s="74" t="s">
        <v>1741</v>
      </c>
      <c r="E181" s="74" t="s">
        <v>2167</v>
      </c>
      <c r="F181" s="75">
        <v>3</v>
      </c>
      <c r="G181" s="64" t="s">
        <v>0</v>
      </c>
      <c r="H181" s="78">
        <v>41375</v>
      </c>
      <c r="I181" s="4" t="s">
        <v>957</v>
      </c>
      <c r="J181" s="63" t="s">
        <v>1917</v>
      </c>
      <c r="K181" s="63" t="s">
        <v>961</v>
      </c>
      <c r="L181" s="69" t="s">
        <v>950</v>
      </c>
      <c r="M181" s="70">
        <f t="shared" si="18"/>
        <v>766.5</v>
      </c>
      <c r="N181" s="96">
        <f t="shared" si="33"/>
        <v>255.5</v>
      </c>
      <c r="O181" s="70">
        <v>766.5</v>
      </c>
      <c r="P181" s="65">
        <v>1190</v>
      </c>
      <c r="Q181" s="65">
        <f t="shared" si="23"/>
        <v>261.8</v>
      </c>
      <c r="R181" s="65">
        <f t="shared" si="24"/>
        <v>1451.8</v>
      </c>
      <c r="S181" s="272"/>
      <c r="T181" s="64">
        <v>15</v>
      </c>
      <c r="U181" s="274"/>
      <c r="V181" s="38">
        <v>1361</v>
      </c>
      <c r="W181" s="38">
        <f t="shared" si="25"/>
        <v>299.42</v>
      </c>
      <c r="X181" s="38">
        <f t="shared" si="26"/>
        <v>1660.42</v>
      </c>
    </row>
    <row r="182" spans="1:24" ht="26.25" customHeight="1" x14ac:dyDescent="0.35">
      <c r="A182" s="56" t="s">
        <v>2421</v>
      </c>
      <c r="B182" s="2">
        <v>164</v>
      </c>
      <c r="C182" s="77">
        <v>10005936</v>
      </c>
      <c r="D182" s="74" t="s">
        <v>1742</v>
      </c>
      <c r="E182" s="74" t="s">
        <v>2167</v>
      </c>
      <c r="F182" s="75">
        <v>6</v>
      </c>
      <c r="G182" s="64" t="s">
        <v>0</v>
      </c>
      <c r="H182" s="78">
        <v>41375</v>
      </c>
      <c r="I182" s="4" t="s">
        <v>957</v>
      </c>
      <c r="J182" s="63" t="s">
        <v>1917</v>
      </c>
      <c r="K182" s="63" t="s">
        <v>961</v>
      </c>
      <c r="L182" s="69" t="s">
        <v>950</v>
      </c>
      <c r="M182" s="97">
        <f t="shared" ref="M182:M245" si="34">O182</f>
        <v>742.8</v>
      </c>
      <c r="N182" s="97">
        <f t="shared" si="33"/>
        <v>123.8</v>
      </c>
      <c r="O182" s="70">
        <v>742.8</v>
      </c>
      <c r="P182" s="65">
        <v>1150</v>
      </c>
      <c r="Q182" s="65">
        <f t="shared" si="23"/>
        <v>253</v>
      </c>
      <c r="R182" s="65">
        <f t="shared" si="24"/>
        <v>1403</v>
      </c>
      <c r="S182" s="272"/>
      <c r="T182" s="64">
        <v>15</v>
      </c>
      <c r="U182" s="274"/>
      <c r="V182" s="38">
        <v>1318</v>
      </c>
      <c r="W182" s="38">
        <f t="shared" si="25"/>
        <v>289.95999999999998</v>
      </c>
      <c r="X182" s="38">
        <f t="shared" si="26"/>
        <v>1607.96</v>
      </c>
    </row>
    <row r="183" spans="1:24" ht="28.5" customHeight="1" x14ac:dyDescent="0.35">
      <c r="A183" s="56" t="s">
        <v>2422</v>
      </c>
      <c r="B183" s="2">
        <v>165</v>
      </c>
      <c r="C183" s="77">
        <v>10030281</v>
      </c>
      <c r="D183" s="74" t="s">
        <v>1744</v>
      </c>
      <c r="E183" s="74" t="s">
        <v>2167</v>
      </c>
      <c r="F183" s="75">
        <v>9</v>
      </c>
      <c r="G183" s="64" t="s">
        <v>0</v>
      </c>
      <c r="H183" s="78">
        <v>41542</v>
      </c>
      <c r="I183" s="4" t="s">
        <v>957</v>
      </c>
      <c r="J183" s="63" t="s">
        <v>1917</v>
      </c>
      <c r="K183" s="63" t="s">
        <v>961</v>
      </c>
      <c r="L183" s="69" t="s">
        <v>950</v>
      </c>
      <c r="M183" s="97">
        <f t="shared" si="34"/>
        <v>1788.07</v>
      </c>
      <c r="N183" s="97">
        <f t="shared" si="33"/>
        <v>198.67</v>
      </c>
      <c r="O183" s="70">
        <v>1788.07</v>
      </c>
      <c r="P183" s="65">
        <v>2800</v>
      </c>
      <c r="Q183" s="65">
        <f t="shared" si="23"/>
        <v>616</v>
      </c>
      <c r="R183" s="65">
        <f t="shared" si="24"/>
        <v>3416</v>
      </c>
      <c r="S183" s="272"/>
      <c r="T183" s="64">
        <v>15</v>
      </c>
      <c r="U183" s="274"/>
      <c r="V183" s="38">
        <v>3220</v>
      </c>
      <c r="W183" s="38">
        <f t="shared" si="25"/>
        <v>708.4</v>
      </c>
      <c r="X183" s="38">
        <f t="shared" si="26"/>
        <v>3928.4</v>
      </c>
    </row>
    <row r="184" spans="1:24" ht="26.25" customHeight="1" x14ac:dyDescent="0.35">
      <c r="A184" s="56" t="s">
        <v>2423</v>
      </c>
      <c r="B184" s="2">
        <v>166</v>
      </c>
      <c r="C184" s="77">
        <v>10008620</v>
      </c>
      <c r="D184" s="74" t="s">
        <v>1752</v>
      </c>
      <c r="E184" s="74" t="s">
        <v>2167</v>
      </c>
      <c r="F184" s="75">
        <v>2</v>
      </c>
      <c r="G184" s="64" t="s">
        <v>0</v>
      </c>
      <c r="H184" s="78">
        <v>41577</v>
      </c>
      <c r="I184" s="4" t="s">
        <v>957</v>
      </c>
      <c r="J184" s="63" t="s">
        <v>1917</v>
      </c>
      <c r="K184" s="63" t="s">
        <v>961</v>
      </c>
      <c r="L184" s="69" t="s">
        <v>950</v>
      </c>
      <c r="M184" s="97">
        <f t="shared" si="34"/>
        <v>1749.56</v>
      </c>
      <c r="N184" s="97">
        <f t="shared" si="33"/>
        <v>874.78</v>
      </c>
      <c r="O184" s="70">
        <v>1749.56</v>
      </c>
      <c r="P184" s="65">
        <v>2740</v>
      </c>
      <c r="Q184" s="65">
        <f t="shared" si="23"/>
        <v>602.79999999999995</v>
      </c>
      <c r="R184" s="65">
        <f t="shared" si="24"/>
        <v>3342.8</v>
      </c>
      <c r="S184" s="272"/>
      <c r="T184" s="64">
        <v>15</v>
      </c>
      <c r="U184" s="274"/>
      <c r="V184" s="38">
        <v>3142</v>
      </c>
      <c r="W184" s="38">
        <f t="shared" si="25"/>
        <v>691.24</v>
      </c>
      <c r="X184" s="38">
        <f t="shared" si="26"/>
        <v>3833.24</v>
      </c>
    </row>
    <row r="185" spans="1:24" ht="27.75" customHeight="1" x14ac:dyDescent="0.35">
      <c r="A185" s="56" t="s">
        <v>2424</v>
      </c>
      <c r="B185" s="2">
        <v>167</v>
      </c>
      <c r="C185" s="77">
        <v>10050391</v>
      </c>
      <c r="D185" s="74" t="s">
        <v>1753</v>
      </c>
      <c r="E185" s="74" t="s">
        <v>2167</v>
      </c>
      <c r="F185" s="75">
        <v>16</v>
      </c>
      <c r="G185" s="64" t="s">
        <v>0</v>
      </c>
      <c r="H185" s="78">
        <v>41542</v>
      </c>
      <c r="I185" s="4" t="s">
        <v>957</v>
      </c>
      <c r="J185" s="63" t="s">
        <v>1917</v>
      </c>
      <c r="K185" s="63" t="s">
        <v>961</v>
      </c>
      <c r="L185" s="69" t="s">
        <v>950</v>
      </c>
      <c r="M185" s="97">
        <f t="shared" si="34"/>
        <v>1493.13</v>
      </c>
      <c r="N185" s="97">
        <f t="shared" si="33"/>
        <v>93.32</v>
      </c>
      <c r="O185" s="70">
        <v>1493.13</v>
      </c>
      <c r="P185" s="65">
        <v>2340</v>
      </c>
      <c r="Q185" s="65">
        <f t="shared" si="23"/>
        <v>514.79999999999995</v>
      </c>
      <c r="R185" s="65">
        <f t="shared" si="24"/>
        <v>2854.8</v>
      </c>
      <c r="S185" s="272"/>
      <c r="T185" s="64">
        <v>15</v>
      </c>
      <c r="U185" s="274"/>
      <c r="V185" s="38">
        <v>2689</v>
      </c>
      <c r="W185" s="38">
        <f t="shared" si="25"/>
        <v>591.58000000000004</v>
      </c>
      <c r="X185" s="38">
        <f t="shared" si="26"/>
        <v>3280.58</v>
      </c>
    </row>
    <row r="186" spans="1:24" ht="32.25" customHeight="1" x14ac:dyDescent="0.35">
      <c r="A186" s="56" t="s">
        <v>2425</v>
      </c>
      <c r="B186" s="2">
        <v>168</v>
      </c>
      <c r="C186" s="77">
        <v>10037036</v>
      </c>
      <c r="D186" s="74" t="s">
        <v>1755</v>
      </c>
      <c r="E186" s="74" t="s">
        <v>2167</v>
      </c>
      <c r="F186" s="75">
        <v>4</v>
      </c>
      <c r="G186" s="64" t="s">
        <v>0</v>
      </c>
      <c r="H186" s="78">
        <v>41577</v>
      </c>
      <c r="I186" s="4" t="s">
        <v>957</v>
      </c>
      <c r="J186" s="63" t="s">
        <v>1917</v>
      </c>
      <c r="K186" s="63" t="s">
        <v>961</v>
      </c>
      <c r="L186" s="69" t="s">
        <v>950</v>
      </c>
      <c r="M186" s="97">
        <f t="shared" si="34"/>
        <v>2251.81</v>
      </c>
      <c r="N186" s="97">
        <f t="shared" si="33"/>
        <v>562.95000000000005</v>
      </c>
      <c r="O186" s="70">
        <v>2251.81</v>
      </c>
      <c r="P186" s="65">
        <v>3520</v>
      </c>
      <c r="Q186" s="65">
        <f t="shared" si="23"/>
        <v>774.4</v>
      </c>
      <c r="R186" s="65">
        <f t="shared" si="24"/>
        <v>4294.3999999999996</v>
      </c>
      <c r="S186" s="272"/>
      <c r="T186" s="64">
        <v>15</v>
      </c>
      <c r="U186" s="274"/>
      <c r="V186" s="38">
        <v>4044</v>
      </c>
      <c r="W186" s="38">
        <f t="shared" si="25"/>
        <v>889.68</v>
      </c>
      <c r="X186" s="38">
        <f t="shared" si="26"/>
        <v>4933.68</v>
      </c>
    </row>
    <row r="187" spans="1:24" ht="32.25" customHeight="1" x14ac:dyDescent="0.35">
      <c r="A187" s="56" t="s">
        <v>2426</v>
      </c>
      <c r="B187" s="2">
        <v>169</v>
      </c>
      <c r="C187" s="77">
        <v>10026082</v>
      </c>
      <c r="D187" s="74" t="s">
        <v>1757</v>
      </c>
      <c r="E187" s="74" t="s">
        <v>2167</v>
      </c>
      <c r="F187" s="75">
        <v>5</v>
      </c>
      <c r="G187" s="64" t="s">
        <v>0</v>
      </c>
      <c r="H187" s="78">
        <v>41607</v>
      </c>
      <c r="I187" s="4" t="s">
        <v>957</v>
      </c>
      <c r="J187" s="63" t="s">
        <v>1917</v>
      </c>
      <c r="K187" s="63" t="s">
        <v>961</v>
      </c>
      <c r="L187" s="69" t="s">
        <v>950</v>
      </c>
      <c r="M187" s="97">
        <f t="shared" si="34"/>
        <v>108.3</v>
      </c>
      <c r="N187" s="97">
        <f t="shared" si="33"/>
        <v>21.66</v>
      </c>
      <c r="O187" s="70">
        <v>108.3</v>
      </c>
      <c r="P187" s="65">
        <v>170</v>
      </c>
      <c r="Q187" s="65">
        <f t="shared" si="23"/>
        <v>37.4</v>
      </c>
      <c r="R187" s="65">
        <f t="shared" si="24"/>
        <v>207.4</v>
      </c>
      <c r="S187" s="272"/>
      <c r="T187" s="64">
        <v>15</v>
      </c>
      <c r="U187" s="274"/>
      <c r="V187" s="38">
        <v>194</v>
      </c>
      <c r="W187" s="38">
        <f t="shared" si="25"/>
        <v>42.68</v>
      </c>
      <c r="X187" s="38">
        <f t="shared" si="26"/>
        <v>236.68</v>
      </c>
    </row>
    <row r="188" spans="1:24" ht="45" customHeight="1" x14ac:dyDescent="0.35">
      <c r="A188" s="56" t="s">
        <v>2427</v>
      </c>
      <c r="B188" s="2">
        <v>170</v>
      </c>
      <c r="C188" s="77">
        <v>10018506</v>
      </c>
      <c r="D188" s="74" t="s">
        <v>1758</v>
      </c>
      <c r="E188" s="74" t="s">
        <v>2167</v>
      </c>
      <c r="F188" s="75">
        <v>16</v>
      </c>
      <c r="G188" s="64" t="s">
        <v>0</v>
      </c>
      <c r="H188" s="78">
        <v>41375</v>
      </c>
      <c r="I188" s="4" t="s">
        <v>957</v>
      </c>
      <c r="J188" s="63" t="s">
        <v>1917</v>
      </c>
      <c r="K188" s="63" t="s">
        <v>961</v>
      </c>
      <c r="L188" s="69" t="s">
        <v>950</v>
      </c>
      <c r="M188" s="97">
        <f t="shared" si="34"/>
        <v>529.57000000000005</v>
      </c>
      <c r="N188" s="97">
        <f t="shared" si="33"/>
        <v>33.1</v>
      </c>
      <c r="O188" s="70">
        <v>529.57000000000005</v>
      </c>
      <c r="P188" s="65">
        <v>820</v>
      </c>
      <c r="Q188" s="65">
        <f t="shared" si="23"/>
        <v>180.4</v>
      </c>
      <c r="R188" s="65">
        <f t="shared" si="24"/>
        <v>1000.4</v>
      </c>
      <c r="S188" s="272"/>
      <c r="T188" s="64">
        <v>15</v>
      </c>
      <c r="U188" s="274"/>
      <c r="V188" s="38">
        <v>940</v>
      </c>
      <c r="W188" s="38">
        <f t="shared" si="25"/>
        <v>206.8</v>
      </c>
      <c r="X188" s="38">
        <f t="shared" si="26"/>
        <v>1146.8</v>
      </c>
    </row>
    <row r="189" spans="1:24" ht="30" customHeight="1" x14ac:dyDescent="0.35">
      <c r="A189" s="56" t="s">
        <v>2428</v>
      </c>
      <c r="B189" s="2">
        <v>171</v>
      </c>
      <c r="C189" s="77">
        <v>10001062</v>
      </c>
      <c r="D189" s="74" t="s">
        <v>1760</v>
      </c>
      <c r="E189" s="74" t="s">
        <v>2167</v>
      </c>
      <c r="F189" s="75">
        <v>46</v>
      </c>
      <c r="G189" s="64" t="s">
        <v>0</v>
      </c>
      <c r="H189" s="78">
        <v>42352</v>
      </c>
      <c r="I189" s="4" t="s">
        <v>957</v>
      </c>
      <c r="J189" s="63" t="s">
        <v>1917</v>
      </c>
      <c r="K189" s="63" t="s">
        <v>961</v>
      </c>
      <c r="L189" s="69" t="s">
        <v>950</v>
      </c>
      <c r="M189" s="97">
        <f t="shared" si="34"/>
        <v>20994.77</v>
      </c>
      <c r="N189" s="97">
        <f t="shared" si="33"/>
        <v>456.41</v>
      </c>
      <c r="O189" s="70">
        <v>20994.77</v>
      </c>
      <c r="P189" s="65">
        <v>29910</v>
      </c>
      <c r="Q189" s="65">
        <f t="shared" si="23"/>
        <v>6580.2</v>
      </c>
      <c r="R189" s="65">
        <f t="shared" si="24"/>
        <v>36490.199999999997</v>
      </c>
      <c r="S189" s="272"/>
      <c r="T189" s="64">
        <v>15</v>
      </c>
      <c r="U189" s="274"/>
      <c r="V189" s="38">
        <v>34336</v>
      </c>
      <c r="W189" s="38">
        <f t="shared" si="25"/>
        <v>7553.92</v>
      </c>
      <c r="X189" s="38">
        <f t="shared" si="26"/>
        <v>41889.919999999998</v>
      </c>
    </row>
    <row r="190" spans="1:24" ht="30" customHeight="1" x14ac:dyDescent="0.35">
      <c r="A190" s="56" t="s">
        <v>2429</v>
      </c>
      <c r="B190" s="2">
        <v>172</v>
      </c>
      <c r="C190" s="77">
        <v>10001068</v>
      </c>
      <c r="D190" s="74" t="s">
        <v>1762</v>
      </c>
      <c r="E190" s="74" t="s">
        <v>2167</v>
      </c>
      <c r="F190" s="75">
        <f>112-13</f>
        <v>99</v>
      </c>
      <c r="G190" s="64" t="s">
        <v>0</v>
      </c>
      <c r="H190" s="78">
        <v>42551</v>
      </c>
      <c r="I190" s="4" t="s">
        <v>957</v>
      </c>
      <c r="J190" s="63" t="s">
        <v>1917</v>
      </c>
      <c r="K190" s="63" t="s">
        <v>961</v>
      </c>
      <c r="L190" s="69" t="s">
        <v>950</v>
      </c>
      <c r="M190" s="97">
        <f t="shared" si="34"/>
        <v>57656.23</v>
      </c>
      <c r="N190" s="97">
        <f t="shared" si="33"/>
        <v>582.39</v>
      </c>
      <c r="O190" s="70">
        <f>65227.25/112*99</f>
        <v>57656.23</v>
      </c>
      <c r="P190" s="65">
        <v>79900</v>
      </c>
      <c r="Q190" s="65">
        <f t="shared" si="23"/>
        <v>17578</v>
      </c>
      <c r="R190" s="65">
        <f t="shared" si="24"/>
        <v>97478</v>
      </c>
      <c r="S190" s="272"/>
      <c r="T190" s="64">
        <v>15</v>
      </c>
      <c r="U190" s="274"/>
      <c r="V190" s="38">
        <v>91728</v>
      </c>
      <c r="W190" s="38">
        <f t="shared" si="25"/>
        <v>20180.16</v>
      </c>
      <c r="X190" s="38">
        <f t="shared" si="26"/>
        <v>111908.16</v>
      </c>
    </row>
    <row r="191" spans="1:24" ht="30" customHeight="1" x14ac:dyDescent="0.35">
      <c r="A191" s="56" t="s">
        <v>2430</v>
      </c>
      <c r="B191" s="2">
        <v>173</v>
      </c>
      <c r="C191" s="77">
        <v>10141863</v>
      </c>
      <c r="D191" s="74" t="s">
        <v>1763</v>
      </c>
      <c r="E191" s="74" t="s">
        <v>2176</v>
      </c>
      <c r="F191" s="75">
        <v>77</v>
      </c>
      <c r="G191" s="64" t="s">
        <v>0</v>
      </c>
      <c r="H191" s="78">
        <v>42563</v>
      </c>
      <c r="I191" s="4" t="s">
        <v>957</v>
      </c>
      <c r="J191" s="63" t="s">
        <v>1917</v>
      </c>
      <c r="K191" s="63" t="s">
        <v>961</v>
      </c>
      <c r="L191" s="69" t="s">
        <v>950</v>
      </c>
      <c r="M191" s="97">
        <f t="shared" si="34"/>
        <v>185069.5</v>
      </c>
      <c r="N191" s="97">
        <f t="shared" si="33"/>
        <v>2403.5</v>
      </c>
      <c r="O191" s="70">
        <v>185069.5</v>
      </c>
      <c r="P191" s="65">
        <v>260040</v>
      </c>
      <c r="Q191" s="65">
        <f t="shared" si="23"/>
        <v>57208.800000000003</v>
      </c>
      <c r="R191" s="65">
        <f t="shared" si="24"/>
        <v>317248.8</v>
      </c>
      <c r="S191" s="272"/>
      <c r="T191" s="64">
        <v>15</v>
      </c>
      <c r="U191" s="274"/>
      <c r="V191" s="38">
        <v>298557</v>
      </c>
      <c r="W191" s="38">
        <f t="shared" si="25"/>
        <v>65682.539999999994</v>
      </c>
      <c r="X191" s="38">
        <f t="shared" si="26"/>
        <v>364239.54</v>
      </c>
    </row>
    <row r="192" spans="1:24" ht="15" customHeight="1" x14ac:dyDescent="0.35">
      <c r="A192" s="56" t="s">
        <v>2431</v>
      </c>
      <c r="B192" s="2">
        <v>174</v>
      </c>
      <c r="C192" s="77">
        <v>10030308</v>
      </c>
      <c r="D192" s="74" t="s">
        <v>1766</v>
      </c>
      <c r="E192" s="74" t="s">
        <v>2167</v>
      </c>
      <c r="F192" s="75">
        <v>11</v>
      </c>
      <c r="G192" s="64" t="s">
        <v>0</v>
      </c>
      <c r="H192" s="78">
        <v>41542</v>
      </c>
      <c r="I192" s="4" t="s">
        <v>957</v>
      </c>
      <c r="J192" s="63" t="s">
        <v>1917</v>
      </c>
      <c r="K192" s="63" t="s">
        <v>961</v>
      </c>
      <c r="L192" s="69" t="s">
        <v>950</v>
      </c>
      <c r="M192" s="97">
        <f t="shared" si="34"/>
        <v>2927.7</v>
      </c>
      <c r="N192" s="97">
        <f t="shared" si="33"/>
        <v>266.14999999999998</v>
      </c>
      <c r="O192" s="70">
        <v>2927.7</v>
      </c>
      <c r="P192" s="65">
        <v>4590</v>
      </c>
      <c r="Q192" s="65">
        <f t="shared" si="23"/>
        <v>1009.8</v>
      </c>
      <c r="R192" s="65">
        <f t="shared" si="24"/>
        <v>5599.8</v>
      </c>
      <c r="S192" s="272"/>
      <c r="T192" s="64">
        <v>15</v>
      </c>
      <c r="U192" s="274"/>
      <c r="V192" s="38">
        <v>5273</v>
      </c>
      <c r="W192" s="38">
        <f t="shared" si="25"/>
        <v>1160.06</v>
      </c>
      <c r="X192" s="38">
        <f t="shared" si="26"/>
        <v>6433.06</v>
      </c>
    </row>
    <row r="193" spans="1:24" ht="15" customHeight="1" x14ac:dyDescent="0.35">
      <c r="A193" s="56" t="s">
        <v>2432</v>
      </c>
      <c r="B193" s="2">
        <v>175</v>
      </c>
      <c r="C193" s="77">
        <v>10050390</v>
      </c>
      <c r="D193" s="74" t="s">
        <v>1767</v>
      </c>
      <c r="E193" s="74" t="s">
        <v>2167</v>
      </c>
      <c r="F193" s="75">
        <v>13</v>
      </c>
      <c r="G193" s="64" t="s">
        <v>0</v>
      </c>
      <c r="H193" s="78">
        <v>41542</v>
      </c>
      <c r="I193" s="4" t="s">
        <v>957</v>
      </c>
      <c r="J193" s="63" t="s">
        <v>1917</v>
      </c>
      <c r="K193" s="63" t="s">
        <v>961</v>
      </c>
      <c r="L193" s="69" t="s">
        <v>950</v>
      </c>
      <c r="M193" s="97">
        <f t="shared" si="34"/>
        <v>1503.84</v>
      </c>
      <c r="N193" s="97">
        <f t="shared" si="33"/>
        <v>115.68</v>
      </c>
      <c r="O193" s="70">
        <v>1503.84</v>
      </c>
      <c r="P193" s="65">
        <v>2360</v>
      </c>
      <c r="Q193" s="65">
        <f t="shared" si="23"/>
        <v>519.20000000000005</v>
      </c>
      <c r="R193" s="65">
        <f t="shared" si="24"/>
        <v>2879.2</v>
      </c>
      <c r="S193" s="272"/>
      <c r="T193" s="64">
        <v>15</v>
      </c>
      <c r="U193" s="274"/>
      <c r="V193" s="38">
        <v>2708</v>
      </c>
      <c r="W193" s="38">
        <f t="shared" si="25"/>
        <v>595.76</v>
      </c>
      <c r="X193" s="38">
        <f t="shared" si="26"/>
        <v>3303.76</v>
      </c>
    </row>
    <row r="194" spans="1:24" ht="15" customHeight="1" x14ac:dyDescent="0.35">
      <c r="A194" s="56" t="s">
        <v>2433</v>
      </c>
      <c r="B194" s="2">
        <v>176</v>
      </c>
      <c r="C194" s="77">
        <v>10042515</v>
      </c>
      <c r="D194" s="74" t="s">
        <v>1768</v>
      </c>
      <c r="E194" s="74" t="s">
        <v>2167</v>
      </c>
      <c r="F194" s="75">
        <v>28</v>
      </c>
      <c r="G194" s="64" t="s">
        <v>0</v>
      </c>
      <c r="H194" s="78">
        <v>41375</v>
      </c>
      <c r="I194" s="4" t="s">
        <v>957</v>
      </c>
      <c r="J194" s="63" t="s">
        <v>1917</v>
      </c>
      <c r="K194" s="63" t="s">
        <v>961</v>
      </c>
      <c r="L194" s="69" t="s">
        <v>950</v>
      </c>
      <c r="M194" s="97">
        <f t="shared" si="34"/>
        <v>1282.68</v>
      </c>
      <c r="N194" s="97">
        <f t="shared" si="33"/>
        <v>45.81</v>
      </c>
      <c r="O194" s="70">
        <v>1282.68</v>
      </c>
      <c r="P194" s="65">
        <v>1980</v>
      </c>
      <c r="Q194" s="65">
        <f t="shared" si="23"/>
        <v>435.6</v>
      </c>
      <c r="R194" s="65">
        <f t="shared" si="24"/>
        <v>2415.6</v>
      </c>
      <c r="S194" s="272"/>
      <c r="T194" s="64">
        <v>15</v>
      </c>
      <c r="U194" s="274"/>
      <c r="V194" s="38">
        <v>2277</v>
      </c>
      <c r="W194" s="38">
        <f t="shared" si="25"/>
        <v>500.94</v>
      </c>
      <c r="X194" s="38">
        <f t="shared" si="26"/>
        <v>2777.94</v>
      </c>
    </row>
    <row r="195" spans="1:24" ht="15" customHeight="1" x14ac:dyDescent="0.35">
      <c r="A195" s="56" t="s">
        <v>2434</v>
      </c>
      <c r="B195" s="2">
        <v>177</v>
      </c>
      <c r="C195" s="77">
        <v>10119448</v>
      </c>
      <c r="D195" s="74" t="s">
        <v>1769</v>
      </c>
      <c r="E195" s="74" t="s">
        <v>2167</v>
      </c>
      <c r="F195" s="75">
        <v>3</v>
      </c>
      <c r="G195" s="64" t="s">
        <v>0</v>
      </c>
      <c r="H195" s="78">
        <v>41375</v>
      </c>
      <c r="I195" s="4" t="s">
        <v>957</v>
      </c>
      <c r="J195" s="63" t="s">
        <v>1917</v>
      </c>
      <c r="K195" s="63" t="s">
        <v>961</v>
      </c>
      <c r="L195" s="69" t="s">
        <v>950</v>
      </c>
      <c r="M195" s="97">
        <f t="shared" si="34"/>
        <v>157.65</v>
      </c>
      <c r="N195" s="97">
        <f t="shared" si="33"/>
        <v>52.55</v>
      </c>
      <c r="O195" s="70">
        <v>157.65</v>
      </c>
      <c r="P195" s="65">
        <v>240</v>
      </c>
      <c r="Q195" s="65">
        <f t="shared" si="23"/>
        <v>52.8</v>
      </c>
      <c r="R195" s="65">
        <f t="shared" si="24"/>
        <v>292.8</v>
      </c>
      <c r="S195" s="272"/>
      <c r="T195" s="64">
        <v>15</v>
      </c>
      <c r="U195" s="274"/>
      <c r="V195" s="38">
        <v>280</v>
      </c>
      <c r="W195" s="38">
        <f t="shared" si="25"/>
        <v>61.6</v>
      </c>
      <c r="X195" s="38">
        <f t="shared" si="26"/>
        <v>341.6</v>
      </c>
    </row>
    <row r="196" spans="1:24" ht="15" customHeight="1" x14ac:dyDescent="0.35">
      <c r="A196" s="56" t="s">
        <v>2435</v>
      </c>
      <c r="B196" s="2">
        <v>178</v>
      </c>
      <c r="C196" s="77">
        <v>10043070</v>
      </c>
      <c r="D196" s="74" t="s">
        <v>1774</v>
      </c>
      <c r="E196" s="74" t="s">
        <v>2167</v>
      </c>
      <c r="F196" s="75">
        <v>1</v>
      </c>
      <c r="G196" s="64" t="s">
        <v>0</v>
      </c>
      <c r="H196" s="78">
        <v>41542</v>
      </c>
      <c r="I196" s="4" t="s">
        <v>957</v>
      </c>
      <c r="J196" s="63" t="s">
        <v>1917</v>
      </c>
      <c r="K196" s="63" t="s">
        <v>961</v>
      </c>
      <c r="L196" s="69" t="s">
        <v>950</v>
      </c>
      <c r="M196" s="97">
        <f t="shared" si="34"/>
        <v>294.92</v>
      </c>
      <c r="N196" s="97">
        <f t="shared" si="33"/>
        <v>294.92</v>
      </c>
      <c r="O196" s="70">
        <v>294.92</v>
      </c>
      <c r="P196" s="65">
        <v>460</v>
      </c>
      <c r="Q196" s="65">
        <f t="shared" ref="Q196:Q259" si="35">P196*0.22</f>
        <v>101.2</v>
      </c>
      <c r="R196" s="65">
        <f t="shared" ref="R196:R259" si="36">P196+Q196</f>
        <v>561.20000000000005</v>
      </c>
      <c r="S196" s="272"/>
      <c r="T196" s="64">
        <v>15</v>
      </c>
      <c r="U196" s="274"/>
      <c r="V196" s="38">
        <v>531</v>
      </c>
      <c r="W196" s="38">
        <f t="shared" ref="W196:W259" si="37">V196*0.22</f>
        <v>116.82</v>
      </c>
      <c r="X196" s="38">
        <f t="shared" si="26"/>
        <v>647.82000000000005</v>
      </c>
    </row>
    <row r="197" spans="1:24" ht="15" customHeight="1" x14ac:dyDescent="0.35">
      <c r="A197" s="56" t="s">
        <v>2436</v>
      </c>
      <c r="B197" s="2">
        <v>179</v>
      </c>
      <c r="C197" s="77">
        <v>10136288</v>
      </c>
      <c r="D197" s="74" t="s">
        <v>1775</v>
      </c>
      <c r="E197" s="74" t="s">
        <v>2167</v>
      </c>
      <c r="F197" s="75">
        <v>1</v>
      </c>
      <c r="G197" s="64" t="s">
        <v>0</v>
      </c>
      <c r="H197" s="78">
        <v>41577</v>
      </c>
      <c r="I197" s="4" t="s">
        <v>957</v>
      </c>
      <c r="J197" s="63" t="s">
        <v>1917</v>
      </c>
      <c r="K197" s="63" t="s">
        <v>961</v>
      </c>
      <c r="L197" s="69" t="s">
        <v>950</v>
      </c>
      <c r="M197" s="97">
        <f t="shared" si="34"/>
        <v>2016</v>
      </c>
      <c r="N197" s="97">
        <f t="shared" si="33"/>
        <v>2016</v>
      </c>
      <c r="O197" s="70">
        <v>2016</v>
      </c>
      <c r="P197" s="65">
        <v>3150</v>
      </c>
      <c r="Q197" s="65">
        <f t="shared" si="35"/>
        <v>693</v>
      </c>
      <c r="R197" s="65">
        <f t="shared" si="36"/>
        <v>3843</v>
      </c>
      <c r="S197" s="272"/>
      <c r="T197" s="64">
        <v>15</v>
      </c>
      <c r="U197" s="274"/>
      <c r="V197" s="38">
        <v>3620</v>
      </c>
      <c r="W197" s="38">
        <f t="shared" si="37"/>
        <v>796.4</v>
      </c>
      <c r="X197" s="38">
        <f t="shared" si="26"/>
        <v>4416.3999999999996</v>
      </c>
    </row>
    <row r="198" spans="1:24" ht="15" customHeight="1" x14ac:dyDescent="0.35">
      <c r="A198" s="56" t="s">
        <v>2437</v>
      </c>
      <c r="B198" s="2">
        <v>180</v>
      </c>
      <c r="C198" s="77">
        <v>10129731</v>
      </c>
      <c r="D198" s="74" t="s">
        <v>1776</v>
      </c>
      <c r="E198" s="74" t="s">
        <v>2176</v>
      </c>
      <c r="F198" s="75">
        <f>6-5</f>
        <v>1</v>
      </c>
      <c r="G198" s="64" t="s">
        <v>0</v>
      </c>
      <c r="H198" s="78">
        <v>41577</v>
      </c>
      <c r="I198" s="4" t="s">
        <v>957</v>
      </c>
      <c r="J198" s="63" t="s">
        <v>1917</v>
      </c>
      <c r="K198" s="63" t="s">
        <v>961</v>
      </c>
      <c r="L198" s="69" t="s">
        <v>950</v>
      </c>
      <c r="M198" s="97">
        <f t="shared" si="34"/>
        <v>2750</v>
      </c>
      <c r="N198" s="97">
        <f t="shared" si="33"/>
        <v>2750</v>
      </c>
      <c r="O198" s="70">
        <f>16500/6*1</f>
        <v>2750</v>
      </c>
      <c r="P198" s="65">
        <v>4300</v>
      </c>
      <c r="Q198" s="65">
        <f t="shared" si="35"/>
        <v>946</v>
      </c>
      <c r="R198" s="65">
        <f t="shared" si="36"/>
        <v>5246</v>
      </c>
      <c r="S198" s="272"/>
      <c r="T198" s="64">
        <v>15</v>
      </c>
      <c r="U198" s="274"/>
      <c r="V198" s="38">
        <v>4938</v>
      </c>
      <c r="W198" s="38">
        <f t="shared" si="37"/>
        <v>1086.3599999999999</v>
      </c>
      <c r="X198" s="38">
        <f t="shared" ref="X198:X261" si="38">V198+W198</f>
        <v>6024.36</v>
      </c>
    </row>
    <row r="199" spans="1:24" ht="32.5" customHeight="1" x14ac:dyDescent="0.35">
      <c r="A199" s="56" t="s">
        <v>3990</v>
      </c>
      <c r="B199" s="2">
        <v>181</v>
      </c>
      <c r="C199" s="77">
        <v>10129731</v>
      </c>
      <c r="D199" s="74" t="s">
        <v>1776</v>
      </c>
      <c r="E199" s="74" t="s">
        <v>2167</v>
      </c>
      <c r="F199" s="75">
        <v>5</v>
      </c>
      <c r="G199" s="64" t="s">
        <v>0</v>
      </c>
      <c r="H199" s="78">
        <v>41577</v>
      </c>
      <c r="I199" s="4" t="s">
        <v>957</v>
      </c>
      <c r="J199" s="63" t="s">
        <v>1917</v>
      </c>
      <c r="K199" s="63" t="s">
        <v>4169</v>
      </c>
      <c r="L199" s="69" t="s">
        <v>845</v>
      </c>
      <c r="M199" s="97">
        <f>O199</f>
        <v>13750</v>
      </c>
      <c r="N199" s="97">
        <f>M199/5</f>
        <v>2750</v>
      </c>
      <c r="O199" s="70">
        <v>13750</v>
      </c>
      <c r="P199" s="65">
        <v>12650</v>
      </c>
      <c r="Q199" s="65">
        <f t="shared" si="35"/>
        <v>2783</v>
      </c>
      <c r="R199" s="65">
        <f t="shared" si="36"/>
        <v>15433</v>
      </c>
      <c r="S199" s="272"/>
      <c r="T199" s="64">
        <v>15</v>
      </c>
      <c r="U199" s="274"/>
      <c r="V199" s="38">
        <v>14525</v>
      </c>
      <c r="W199" s="38">
        <f t="shared" si="37"/>
        <v>3195.5</v>
      </c>
      <c r="X199" s="38">
        <f t="shared" si="38"/>
        <v>17720.5</v>
      </c>
    </row>
    <row r="200" spans="1:24" ht="47.25" customHeight="1" x14ac:dyDescent="0.35">
      <c r="A200" s="56" t="s">
        <v>2438</v>
      </c>
      <c r="B200" s="2">
        <v>182</v>
      </c>
      <c r="C200" s="77">
        <v>10107202</v>
      </c>
      <c r="D200" s="74" t="s">
        <v>1777</v>
      </c>
      <c r="E200" s="74" t="s">
        <v>2167</v>
      </c>
      <c r="F200" s="75">
        <v>5</v>
      </c>
      <c r="G200" s="64" t="s">
        <v>0</v>
      </c>
      <c r="H200" s="78">
        <v>41375</v>
      </c>
      <c r="I200" s="4" t="s">
        <v>957</v>
      </c>
      <c r="J200" s="63" t="s">
        <v>1917</v>
      </c>
      <c r="K200" s="63" t="s">
        <v>961</v>
      </c>
      <c r="L200" s="69" t="s">
        <v>950</v>
      </c>
      <c r="M200" s="97">
        <f t="shared" si="34"/>
        <v>213</v>
      </c>
      <c r="N200" s="97">
        <f t="shared" ref="N200:N263" si="39">O200/F200</f>
        <v>42.6</v>
      </c>
      <c r="O200" s="70">
        <v>213</v>
      </c>
      <c r="P200" s="65">
        <v>330</v>
      </c>
      <c r="Q200" s="65">
        <f t="shared" si="35"/>
        <v>72.599999999999994</v>
      </c>
      <c r="R200" s="65">
        <f t="shared" si="36"/>
        <v>402.6</v>
      </c>
      <c r="S200" s="272"/>
      <c r="T200" s="64">
        <v>15</v>
      </c>
      <c r="U200" s="274"/>
      <c r="V200" s="38">
        <v>378</v>
      </c>
      <c r="W200" s="38">
        <f t="shared" si="37"/>
        <v>83.16</v>
      </c>
      <c r="X200" s="38">
        <f t="shared" si="38"/>
        <v>461.16</v>
      </c>
    </row>
    <row r="201" spans="1:24" ht="90" customHeight="1" x14ac:dyDescent="0.35">
      <c r="A201" s="56" t="s">
        <v>2439</v>
      </c>
      <c r="B201" s="2">
        <v>183</v>
      </c>
      <c r="C201" s="77">
        <v>10095066</v>
      </c>
      <c r="D201" s="74" t="s">
        <v>1778</v>
      </c>
      <c r="E201" s="74" t="s">
        <v>2167</v>
      </c>
      <c r="F201" s="75">
        <v>1</v>
      </c>
      <c r="G201" s="64" t="s">
        <v>0</v>
      </c>
      <c r="H201" s="78">
        <v>41375</v>
      </c>
      <c r="I201" s="4" t="s">
        <v>957</v>
      </c>
      <c r="J201" s="63" t="s">
        <v>1917</v>
      </c>
      <c r="K201" s="63" t="s">
        <v>961</v>
      </c>
      <c r="L201" s="69" t="s">
        <v>950</v>
      </c>
      <c r="M201" s="97">
        <f t="shared" si="34"/>
        <v>3408.13</v>
      </c>
      <c r="N201" s="97">
        <f t="shared" si="39"/>
        <v>3408.13</v>
      </c>
      <c r="O201" s="70">
        <v>3408.13</v>
      </c>
      <c r="P201" s="65">
        <v>5270</v>
      </c>
      <c r="Q201" s="65">
        <f t="shared" si="35"/>
        <v>1159.4000000000001</v>
      </c>
      <c r="R201" s="65">
        <f t="shared" si="36"/>
        <v>6429.4</v>
      </c>
      <c r="S201" s="272"/>
      <c r="T201" s="64">
        <v>15</v>
      </c>
      <c r="U201" s="274"/>
      <c r="V201" s="38">
        <v>6049</v>
      </c>
      <c r="W201" s="38">
        <f t="shared" si="37"/>
        <v>1330.78</v>
      </c>
      <c r="X201" s="38">
        <f t="shared" si="38"/>
        <v>7379.78</v>
      </c>
    </row>
    <row r="202" spans="1:24" ht="85.5" customHeight="1" x14ac:dyDescent="0.35">
      <c r="A202" s="56" t="s">
        <v>2440</v>
      </c>
      <c r="B202" s="2">
        <v>184</v>
      </c>
      <c r="C202" s="77">
        <v>10119332</v>
      </c>
      <c r="D202" s="74" t="s">
        <v>1779</v>
      </c>
      <c r="E202" s="74" t="s">
        <v>2167</v>
      </c>
      <c r="F202" s="75">
        <v>17</v>
      </c>
      <c r="G202" s="64" t="s">
        <v>0</v>
      </c>
      <c r="H202" s="78">
        <v>41375</v>
      </c>
      <c r="I202" s="4" t="s">
        <v>957</v>
      </c>
      <c r="J202" s="63" t="s">
        <v>1917</v>
      </c>
      <c r="K202" s="63" t="s">
        <v>961</v>
      </c>
      <c r="L202" s="69" t="s">
        <v>950</v>
      </c>
      <c r="M202" s="97">
        <f t="shared" si="34"/>
        <v>906.48</v>
      </c>
      <c r="N202" s="97">
        <f t="shared" si="39"/>
        <v>53.32</v>
      </c>
      <c r="O202" s="70">
        <v>906.48</v>
      </c>
      <c r="P202" s="65">
        <v>1400</v>
      </c>
      <c r="Q202" s="65">
        <f t="shared" si="35"/>
        <v>308</v>
      </c>
      <c r="R202" s="65">
        <f t="shared" si="36"/>
        <v>1708</v>
      </c>
      <c r="S202" s="272"/>
      <c r="T202" s="64">
        <v>15</v>
      </c>
      <c r="U202" s="274"/>
      <c r="V202" s="38">
        <v>1609</v>
      </c>
      <c r="W202" s="38">
        <f t="shared" si="37"/>
        <v>353.98</v>
      </c>
      <c r="X202" s="38">
        <f t="shared" si="38"/>
        <v>1962.98</v>
      </c>
    </row>
    <row r="203" spans="1:24" ht="84.75" customHeight="1" x14ac:dyDescent="0.35">
      <c r="A203" s="56" t="s">
        <v>2441</v>
      </c>
      <c r="B203" s="2">
        <v>185</v>
      </c>
      <c r="C203" s="77">
        <v>10119334</v>
      </c>
      <c r="D203" s="74" t="s">
        <v>1780</v>
      </c>
      <c r="E203" s="74" t="s">
        <v>2167</v>
      </c>
      <c r="F203" s="75">
        <v>35</v>
      </c>
      <c r="G203" s="64" t="s">
        <v>0</v>
      </c>
      <c r="H203" s="78">
        <v>41375</v>
      </c>
      <c r="I203" s="4" t="s">
        <v>957</v>
      </c>
      <c r="J203" s="63" t="s">
        <v>1917</v>
      </c>
      <c r="K203" s="63" t="s">
        <v>961</v>
      </c>
      <c r="L203" s="69" t="s">
        <v>950</v>
      </c>
      <c r="M203" s="97">
        <f t="shared" si="34"/>
        <v>4486.2299999999996</v>
      </c>
      <c r="N203" s="97">
        <f t="shared" si="39"/>
        <v>128.18</v>
      </c>
      <c r="O203" s="70">
        <v>4486.2299999999996</v>
      </c>
      <c r="P203" s="65">
        <v>6940</v>
      </c>
      <c r="Q203" s="65">
        <f t="shared" si="35"/>
        <v>1526.8</v>
      </c>
      <c r="R203" s="65">
        <f t="shared" si="36"/>
        <v>8466.7999999999993</v>
      </c>
      <c r="S203" s="272"/>
      <c r="T203" s="64">
        <v>15</v>
      </c>
      <c r="U203" s="274"/>
      <c r="V203" s="38">
        <v>7963</v>
      </c>
      <c r="W203" s="38">
        <f t="shared" si="37"/>
        <v>1751.86</v>
      </c>
      <c r="X203" s="38">
        <f t="shared" si="38"/>
        <v>9714.86</v>
      </c>
    </row>
    <row r="204" spans="1:24" ht="54" customHeight="1" x14ac:dyDescent="0.35">
      <c r="A204" s="56" t="s">
        <v>2442</v>
      </c>
      <c r="B204" s="2">
        <v>186</v>
      </c>
      <c r="C204" s="77">
        <v>10024996</v>
      </c>
      <c r="D204" s="74" t="s">
        <v>1781</v>
      </c>
      <c r="E204" s="74" t="s">
        <v>2167</v>
      </c>
      <c r="F204" s="75">
        <v>6</v>
      </c>
      <c r="G204" s="64" t="s">
        <v>0</v>
      </c>
      <c r="H204" s="78">
        <v>41375</v>
      </c>
      <c r="I204" s="4" t="s">
        <v>957</v>
      </c>
      <c r="J204" s="63" t="s">
        <v>1917</v>
      </c>
      <c r="K204" s="63" t="s">
        <v>961</v>
      </c>
      <c r="L204" s="69" t="s">
        <v>950</v>
      </c>
      <c r="M204" s="97">
        <f t="shared" si="34"/>
        <v>335.59</v>
      </c>
      <c r="N204" s="97">
        <f t="shared" si="39"/>
        <v>55.93</v>
      </c>
      <c r="O204" s="70">
        <v>335.59</v>
      </c>
      <c r="P204" s="65">
        <v>520</v>
      </c>
      <c r="Q204" s="65">
        <f t="shared" si="35"/>
        <v>114.4</v>
      </c>
      <c r="R204" s="65">
        <f t="shared" si="36"/>
        <v>634.4</v>
      </c>
      <c r="S204" s="272"/>
      <c r="T204" s="64">
        <v>15</v>
      </c>
      <c r="U204" s="274"/>
      <c r="V204" s="38">
        <v>596</v>
      </c>
      <c r="W204" s="38">
        <f t="shared" si="37"/>
        <v>131.12</v>
      </c>
      <c r="X204" s="38">
        <f t="shared" si="38"/>
        <v>727.12</v>
      </c>
    </row>
    <row r="205" spans="1:24" ht="60" customHeight="1" x14ac:dyDescent="0.35">
      <c r="A205" s="56" t="s">
        <v>2443</v>
      </c>
      <c r="B205" s="2">
        <v>187</v>
      </c>
      <c r="C205" s="77">
        <v>10029563</v>
      </c>
      <c r="D205" s="74" t="s">
        <v>1782</v>
      </c>
      <c r="E205" s="74" t="s">
        <v>2167</v>
      </c>
      <c r="F205" s="75">
        <v>1</v>
      </c>
      <c r="G205" s="64" t="s">
        <v>0</v>
      </c>
      <c r="H205" s="78">
        <v>41092</v>
      </c>
      <c r="I205" s="4" t="s">
        <v>957</v>
      </c>
      <c r="J205" s="63" t="s">
        <v>1917</v>
      </c>
      <c r="K205" s="63" t="s">
        <v>961</v>
      </c>
      <c r="L205" s="69" t="s">
        <v>950</v>
      </c>
      <c r="M205" s="97">
        <f t="shared" si="34"/>
        <v>69</v>
      </c>
      <c r="N205" s="97">
        <f t="shared" si="39"/>
        <v>69</v>
      </c>
      <c r="O205" s="70">
        <v>69</v>
      </c>
      <c r="P205" s="65">
        <v>110</v>
      </c>
      <c r="Q205" s="65">
        <f t="shared" si="35"/>
        <v>24.2</v>
      </c>
      <c r="R205" s="65">
        <f t="shared" si="36"/>
        <v>134.19999999999999</v>
      </c>
      <c r="S205" s="272"/>
      <c r="T205" s="64">
        <v>15</v>
      </c>
      <c r="U205" s="274"/>
      <c r="V205" s="38">
        <v>126</v>
      </c>
      <c r="W205" s="38">
        <f t="shared" si="37"/>
        <v>27.72</v>
      </c>
      <c r="X205" s="38">
        <f t="shared" si="38"/>
        <v>153.72</v>
      </c>
    </row>
    <row r="206" spans="1:24" ht="75" customHeight="1" x14ac:dyDescent="0.35">
      <c r="A206" s="56" t="s">
        <v>2444</v>
      </c>
      <c r="B206" s="2">
        <v>188</v>
      </c>
      <c r="C206" s="77">
        <v>10118682</v>
      </c>
      <c r="D206" s="74" t="s">
        <v>1787</v>
      </c>
      <c r="E206" s="74" t="s">
        <v>2167</v>
      </c>
      <c r="F206" s="75">
        <v>2</v>
      </c>
      <c r="G206" s="64" t="s">
        <v>0</v>
      </c>
      <c r="H206" s="78">
        <v>41596</v>
      </c>
      <c r="I206" s="4" t="s">
        <v>957</v>
      </c>
      <c r="J206" s="63" t="s">
        <v>1917</v>
      </c>
      <c r="K206" s="63" t="s">
        <v>961</v>
      </c>
      <c r="L206" s="69" t="s">
        <v>950</v>
      </c>
      <c r="M206" s="97">
        <f t="shared" si="34"/>
        <v>342.3</v>
      </c>
      <c r="N206" s="97">
        <f t="shared" si="39"/>
        <v>171.15</v>
      </c>
      <c r="O206" s="70">
        <v>342.3</v>
      </c>
      <c r="P206" s="65">
        <v>530</v>
      </c>
      <c r="Q206" s="65">
        <f t="shared" si="35"/>
        <v>116.6</v>
      </c>
      <c r="R206" s="65">
        <f t="shared" si="36"/>
        <v>646.6</v>
      </c>
      <c r="S206" s="272"/>
      <c r="T206" s="64">
        <v>15</v>
      </c>
      <c r="U206" s="274"/>
      <c r="V206" s="38">
        <v>613</v>
      </c>
      <c r="W206" s="38">
        <f t="shared" si="37"/>
        <v>134.86000000000001</v>
      </c>
      <c r="X206" s="38">
        <f t="shared" si="38"/>
        <v>747.86</v>
      </c>
    </row>
    <row r="207" spans="1:24" ht="45" customHeight="1" x14ac:dyDescent="0.35">
      <c r="A207" s="56" t="s">
        <v>2445</v>
      </c>
      <c r="B207" s="2">
        <v>189</v>
      </c>
      <c r="C207" s="77">
        <v>10125730</v>
      </c>
      <c r="D207" s="74" t="s">
        <v>1788</v>
      </c>
      <c r="E207" s="74" t="s">
        <v>2167</v>
      </c>
      <c r="F207" s="75">
        <v>2</v>
      </c>
      <c r="G207" s="64" t="s">
        <v>0</v>
      </c>
      <c r="H207" s="78">
        <v>41577</v>
      </c>
      <c r="I207" s="4" t="s">
        <v>957</v>
      </c>
      <c r="J207" s="63" t="s">
        <v>1917</v>
      </c>
      <c r="K207" s="63" t="s">
        <v>961</v>
      </c>
      <c r="L207" s="69" t="s">
        <v>950</v>
      </c>
      <c r="M207" s="97">
        <f t="shared" si="34"/>
        <v>1835.6</v>
      </c>
      <c r="N207" s="97">
        <f t="shared" si="39"/>
        <v>917.8</v>
      </c>
      <c r="O207" s="70">
        <v>1835.6</v>
      </c>
      <c r="P207" s="65">
        <v>2870</v>
      </c>
      <c r="Q207" s="65">
        <f t="shared" si="35"/>
        <v>631.4</v>
      </c>
      <c r="R207" s="65">
        <f t="shared" si="36"/>
        <v>3501.4</v>
      </c>
      <c r="S207" s="272"/>
      <c r="T207" s="64">
        <v>15</v>
      </c>
      <c r="U207" s="274"/>
      <c r="V207" s="38">
        <v>3296</v>
      </c>
      <c r="W207" s="38">
        <f t="shared" si="37"/>
        <v>725.12</v>
      </c>
      <c r="X207" s="38">
        <f t="shared" si="38"/>
        <v>4021.12</v>
      </c>
    </row>
    <row r="208" spans="1:24" ht="45" customHeight="1" x14ac:dyDescent="0.35">
      <c r="A208" s="56" t="s">
        <v>2446</v>
      </c>
      <c r="B208" s="2">
        <v>190</v>
      </c>
      <c r="C208" s="77">
        <v>10151637</v>
      </c>
      <c r="D208" s="74" t="s">
        <v>1789</v>
      </c>
      <c r="E208" s="74" t="s">
        <v>2167</v>
      </c>
      <c r="F208" s="75">
        <v>1</v>
      </c>
      <c r="G208" s="64" t="s">
        <v>0</v>
      </c>
      <c r="H208" s="78">
        <v>41577</v>
      </c>
      <c r="I208" s="4" t="s">
        <v>957</v>
      </c>
      <c r="J208" s="63" t="s">
        <v>1917</v>
      </c>
      <c r="K208" s="63" t="s">
        <v>961</v>
      </c>
      <c r="L208" s="69" t="s">
        <v>950</v>
      </c>
      <c r="M208" s="97">
        <f t="shared" si="34"/>
        <v>6917.4</v>
      </c>
      <c r="N208" s="97">
        <f t="shared" si="39"/>
        <v>6917.4</v>
      </c>
      <c r="O208" s="70">
        <v>6917.4</v>
      </c>
      <c r="P208" s="65">
        <v>10820</v>
      </c>
      <c r="Q208" s="65">
        <f t="shared" si="35"/>
        <v>2380.4</v>
      </c>
      <c r="R208" s="65">
        <f t="shared" si="36"/>
        <v>13200.4</v>
      </c>
      <c r="S208" s="272"/>
      <c r="T208" s="64">
        <v>15</v>
      </c>
      <c r="U208" s="274"/>
      <c r="V208" s="38">
        <v>12422</v>
      </c>
      <c r="W208" s="38">
        <f t="shared" si="37"/>
        <v>2732.84</v>
      </c>
      <c r="X208" s="38">
        <f t="shared" si="38"/>
        <v>15154.84</v>
      </c>
    </row>
    <row r="209" spans="1:24" ht="45" customHeight="1" x14ac:dyDescent="0.35">
      <c r="A209" s="56" t="s">
        <v>2447</v>
      </c>
      <c r="B209" s="2">
        <v>191</v>
      </c>
      <c r="C209" s="77">
        <v>10131641</v>
      </c>
      <c r="D209" s="74" t="s">
        <v>1790</v>
      </c>
      <c r="E209" s="74" t="s">
        <v>2167</v>
      </c>
      <c r="F209" s="75">
        <v>4</v>
      </c>
      <c r="G209" s="64" t="s">
        <v>0</v>
      </c>
      <c r="H209" s="78">
        <v>41577</v>
      </c>
      <c r="I209" s="4" t="s">
        <v>957</v>
      </c>
      <c r="J209" s="63" t="s">
        <v>1917</v>
      </c>
      <c r="K209" s="63" t="s">
        <v>961</v>
      </c>
      <c r="L209" s="69" t="s">
        <v>950</v>
      </c>
      <c r="M209" s="97">
        <f t="shared" si="34"/>
        <v>51613.56</v>
      </c>
      <c r="N209" s="97">
        <f t="shared" si="39"/>
        <v>12903.39</v>
      </c>
      <c r="O209" s="70">
        <v>51613.56</v>
      </c>
      <c r="P209" s="65">
        <v>80730</v>
      </c>
      <c r="Q209" s="65">
        <f t="shared" si="35"/>
        <v>17760.599999999999</v>
      </c>
      <c r="R209" s="65">
        <f t="shared" si="36"/>
        <v>98490.6</v>
      </c>
      <c r="S209" s="272"/>
      <c r="T209" s="64">
        <v>15</v>
      </c>
      <c r="U209" s="274"/>
      <c r="V209" s="38">
        <v>92686</v>
      </c>
      <c r="W209" s="38">
        <f t="shared" si="37"/>
        <v>20390.919999999998</v>
      </c>
      <c r="X209" s="38">
        <f t="shared" si="38"/>
        <v>113076.92</v>
      </c>
    </row>
    <row r="210" spans="1:24" ht="60" customHeight="1" x14ac:dyDescent="0.35">
      <c r="A210" s="56" t="s">
        <v>2448</v>
      </c>
      <c r="B210" s="2">
        <v>192</v>
      </c>
      <c r="C210" s="77">
        <v>10137743</v>
      </c>
      <c r="D210" s="74" t="s">
        <v>1791</v>
      </c>
      <c r="E210" s="74" t="s">
        <v>2167</v>
      </c>
      <c r="F210" s="75">
        <v>2</v>
      </c>
      <c r="G210" s="64" t="s">
        <v>0</v>
      </c>
      <c r="H210" s="78">
        <v>41577</v>
      </c>
      <c r="I210" s="4" t="s">
        <v>957</v>
      </c>
      <c r="J210" s="63" t="s">
        <v>1917</v>
      </c>
      <c r="K210" s="63" t="s">
        <v>961</v>
      </c>
      <c r="L210" s="69" t="s">
        <v>950</v>
      </c>
      <c r="M210" s="97">
        <f t="shared" si="34"/>
        <v>11268</v>
      </c>
      <c r="N210" s="97">
        <f t="shared" si="39"/>
        <v>5634</v>
      </c>
      <c r="O210" s="70">
        <v>11268</v>
      </c>
      <c r="P210" s="65">
        <v>17620</v>
      </c>
      <c r="Q210" s="65">
        <f t="shared" si="35"/>
        <v>3876.4</v>
      </c>
      <c r="R210" s="65">
        <f t="shared" si="36"/>
        <v>21496.400000000001</v>
      </c>
      <c r="S210" s="272"/>
      <c r="T210" s="64">
        <v>15</v>
      </c>
      <c r="U210" s="274"/>
      <c r="V210" s="38">
        <v>20235</v>
      </c>
      <c r="W210" s="38">
        <f t="shared" si="37"/>
        <v>4451.7</v>
      </c>
      <c r="X210" s="38">
        <f t="shared" si="38"/>
        <v>24686.7</v>
      </c>
    </row>
    <row r="211" spans="1:24" ht="45" customHeight="1" x14ac:dyDescent="0.35">
      <c r="A211" s="56" t="s">
        <v>2449</v>
      </c>
      <c r="B211" s="2">
        <v>193</v>
      </c>
      <c r="C211" s="77">
        <v>10137742</v>
      </c>
      <c r="D211" s="74" t="s">
        <v>1792</v>
      </c>
      <c r="E211" s="74" t="s">
        <v>2167</v>
      </c>
      <c r="F211" s="75">
        <v>2</v>
      </c>
      <c r="G211" s="64" t="s">
        <v>0</v>
      </c>
      <c r="H211" s="78">
        <v>41577</v>
      </c>
      <c r="I211" s="4" t="s">
        <v>957</v>
      </c>
      <c r="J211" s="63" t="s">
        <v>1917</v>
      </c>
      <c r="K211" s="63" t="s">
        <v>961</v>
      </c>
      <c r="L211" s="69" t="s">
        <v>950</v>
      </c>
      <c r="M211" s="97">
        <f t="shared" si="34"/>
        <v>25026.51</v>
      </c>
      <c r="N211" s="97">
        <f t="shared" si="39"/>
        <v>12513.26</v>
      </c>
      <c r="O211" s="70">
        <v>25026.51</v>
      </c>
      <c r="P211" s="65">
        <v>39140</v>
      </c>
      <c r="Q211" s="65">
        <f t="shared" si="35"/>
        <v>8610.7999999999993</v>
      </c>
      <c r="R211" s="65">
        <f t="shared" si="36"/>
        <v>47750.8</v>
      </c>
      <c r="S211" s="272"/>
      <c r="T211" s="64">
        <v>15</v>
      </c>
      <c r="U211" s="274"/>
      <c r="V211" s="38">
        <v>44942</v>
      </c>
      <c r="W211" s="38">
        <f t="shared" si="37"/>
        <v>9887.24</v>
      </c>
      <c r="X211" s="38">
        <f t="shared" si="38"/>
        <v>54829.24</v>
      </c>
    </row>
    <row r="212" spans="1:24" ht="15" customHeight="1" x14ac:dyDescent="0.35">
      <c r="A212" s="56" t="s">
        <v>2450</v>
      </c>
      <c r="B212" s="2">
        <v>194</v>
      </c>
      <c r="C212" s="77">
        <v>10001538</v>
      </c>
      <c r="D212" s="74" t="s">
        <v>1793</v>
      </c>
      <c r="E212" s="74" t="s">
        <v>2167</v>
      </c>
      <c r="F212" s="75">
        <v>60</v>
      </c>
      <c r="G212" s="64" t="s">
        <v>0</v>
      </c>
      <c r="H212" s="78">
        <v>41375</v>
      </c>
      <c r="I212" s="4" t="s">
        <v>957</v>
      </c>
      <c r="J212" s="63" t="s">
        <v>1917</v>
      </c>
      <c r="K212" s="63" t="s">
        <v>961</v>
      </c>
      <c r="L212" s="69" t="s">
        <v>950</v>
      </c>
      <c r="M212" s="97">
        <f t="shared" si="34"/>
        <v>1497.2</v>
      </c>
      <c r="N212" s="97">
        <f t="shared" si="39"/>
        <v>24.95</v>
      </c>
      <c r="O212" s="70">
        <v>1497.2</v>
      </c>
      <c r="P212" s="65">
        <v>2310</v>
      </c>
      <c r="Q212" s="65">
        <f t="shared" si="35"/>
        <v>508.2</v>
      </c>
      <c r="R212" s="65">
        <f t="shared" si="36"/>
        <v>2818.2</v>
      </c>
      <c r="S212" s="272"/>
      <c r="T212" s="64">
        <v>15</v>
      </c>
      <c r="U212" s="274"/>
      <c r="V212" s="38">
        <v>2658</v>
      </c>
      <c r="W212" s="38">
        <f t="shared" si="37"/>
        <v>584.76</v>
      </c>
      <c r="X212" s="38">
        <f t="shared" si="38"/>
        <v>3242.76</v>
      </c>
    </row>
    <row r="213" spans="1:24" ht="15" customHeight="1" x14ac:dyDescent="0.35">
      <c r="A213" s="56" t="s">
        <v>2451</v>
      </c>
      <c r="B213" s="2">
        <v>195</v>
      </c>
      <c r="C213" s="77">
        <v>10042327</v>
      </c>
      <c r="D213" s="74" t="s">
        <v>1794</v>
      </c>
      <c r="E213" s="74" t="s">
        <v>2167</v>
      </c>
      <c r="F213" s="75">
        <v>10</v>
      </c>
      <c r="G213" s="64" t="s">
        <v>0</v>
      </c>
      <c r="H213" s="78">
        <v>41542</v>
      </c>
      <c r="I213" s="4" t="s">
        <v>957</v>
      </c>
      <c r="J213" s="63" t="s">
        <v>1917</v>
      </c>
      <c r="K213" s="63" t="s">
        <v>961</v>
      </c>
      <c r="L213" s="69" t="s">
        <v>950</v>
      </c>
      <c r="M213" s="97">
        <f t="shared" si="34"/>
        <v>4968.42</v>
      </c>
      <c r="N213" s="97">
        <f t="shared" si="39"/>
        <v>496.84</v>
      </c>
      <c r="O213" s="70">
        <v>4968.42</v>
      </c>
      <c r="P213" s="65">
        <v>7790</v>
      </c>
      <c r="Q213" s="65">
        <f t="shared" si="35"/>
        <v>1713.8</v>
      </c>
      <c r="R213" s="65">
        <f t="shared" si="36"/>
        <v>9503.7999999999993</v>
      </c>
      <c r="S213" s="272"/>
      <c r="T213" s="64">
        <v>15</v>
      </c>
      <c r="U213" s="274"/>
      <c r="V213" s="38">
        <v>8948</v>
      </c>
      <c r="W213" s="38">
        <f t="shared" si="37"/>
        <v>1968.56</v>
      </c>
      <c r="X213" s="38">
        <f t="shared" si="38"/>
        <v>10916.56</v>
      </c>
    </row>
    <row r="214" spans="1:24" ht="15" customHeight="1" x14ac:dyDescent="0.35">
      <c r="A214" s="56" t="s">
        <v>2452</v>
      </c>
      <c r="B214" s="2">
        <v>196</v>
      </c>
      <c r="C214" s="77">
        <v>10049635</v>
      </c>
      <c r="D214" s="74" t="s">
        <v>1795</v>
      </c>
      <c r="E214" s="74" t="s">
        <v>2167</v>
      </c>
      <c r="F214" s="75">
        <v>4</v>
      </c>
      <c r="G214" s="64" t="s">
        <v>0</v>
      </c>
      <c r="H214" s="78">
        <v>41542</v>
      </c>
      <c r="I214" s="4" t="s">
        <v>957</v>
      </c>
      <c r="J214" s="63" t="s">
        <v>1917</v>
      </c>
      <c r="K214" s="63" t="s">
        <v>961</v>
      </c>
      <c r="L214" s="69" t="s">
        <v>950</v>
      </c>
      <c r="M214" s="97">
        <f t="shared" si="34"/>
        <v>744.4</v>
      </c>
      <c r="N214" s="97">
        <f t="shared" si="39"/>
        <v>186.1</v>
      </c>
      <c r="O214" s="70">
        <v>744.4</v>
      </c>
      <c r="P214" s="65">
        <v>1170</v>
      </c>
      <c r="Q214" s="65">
        <f t="shared" si="35"/>
        <v>257.39999999999998</v>
      </c>
      <c r="R214" s="65">
        <f t="shared" si="36"/>
        <v>1427.4</v>
      </c>
      <c r="S214" s="272"/>
      <c r="T214" s="64">
        <v>15</v>
      </c>
      <c r="U214" s="274"/>
      <c r="V214" s="38">
        <v>1341</v>
      </c>
      <c r="W214" s="38">
        <f t="shared" si="37"/>
        <v>295.02</v>
      </c>
      <c r="X214" s="38">
        <f t="shared" si="38"/>
        <v>1636.02</v>
      </c>
    </row>
    <row r="215" spans="1:24" ht="15" customHeight="1" x14ac:dyDescent="0.35">
      <c r="A215" s="56" t="s">
        <v>2453</v>
      </c>
      <c r="B215" s="2">
        <v>197</v>
      </c>
      <c r="C215" s="77">
        <v>10005371</v>
      </c>
      <c r="D215" s="74" t="s">
        <v>1796</v>
      </c>
      <c r="E215" s="74" t="s">
        <v>2176</v>
      </c>
      <c r="F215" s="75">
        <v>4.9000000000000002E-2</v>
      </c>
      <c r="G215" s="64" t="s">
        <v>3</v>
      </c>
      <c r="H215" s="78">
        <v>42216</v>
      </c>
      <c r="I215" s="4" t="s">
        <v>957</v>
      </c>
      <c r="J215" s="63" t="s">
        <v>1931</v>
      </c>
      <c r="K215" s="63" t="s">
        <v>961</v>
      </c>
      <c r="L215" s="69" t="s">
        <v>950</v>
      </c>
      <c r="M215" s="97">
        <f t="shared" si="34"/>
        <v>1459.09</v>
      </c>
      <c r="N215" s="97">
        <f t="shared" si="39"/>
        <v>29777.35</v>
      </c>
      <c r="O215" s="70">
        <v>1459.09</v>
      </c>
      <c r="P215" s="65">
        <v>2070</v>
      </c>
      <c r="Q215" s="65">
        <f t="shared" si="35"/>
        <v>455.4</v>
      </c>
      <c r="R215" s="65">
        <f t="shared" si="36"/>
        <v>2525.4</v>
      </c>
      <c r="S215" s="272"/>
      <c r="T215" s="64">
        <v>15</v>
      </c>
      <c r="U215" s="274"/>
      <c r="V215" s="38">
        <v>2379</v>
      </c>
      <c r="W215" s="38">
        <f t="shared" si="37"/>
        <v>523.38</v>
      </c>
      <c r="X215" s="38">
        <f t="shared" si="38"/>
        <v>2902.38</v>
      </c>
    </row>
    <row r="216" spans="1:24" ht="15" customHeight="1" x14ac:dyDescent="0.35">
      <c r="A216" s="56" t="s">
        <v>2454</v>
      </c>
      <c r="B216" s="2">
        <v>198</v>
      </c>
      <c r="C216" s="77">
        <v>10005389</v>
      </c>
      <c r="D216" s="74" t="s">
        <v>1797</v>
      </c>
      <c r="E216" s="74" t="s">
        <v>2176</v>
      </c>
      <c r="F216" s="75">
        <v>5.8000000000000003E-2</v>
      </c>
      <c r="G216" s="64" t="s">
        <v>3</v>
      </c>
      <c r="H216" s="78">
        <v>42359</v>
      </c>
      <c r="I216" s="4" t="s">
        <v>957</v>
      </c>
      <c r="J216" s="63" t="s">
        <v>1930</v>
      </c>
      <c r="K216" s="63" t="s">
        <v>961</v>
      </c>
      <c r="L216" s="69" t="s">
        <v>950</v>
      </c>
      <c r="M216" s="97">
        <f t="shared" si="34"/>
        <v>2665.63</v>
      </c>
      <c r="N216" s="97">
        <f t="shared" si="39"/>
        <v>45959.14</v>
      </c>
      <c r="O216" s="70">
        <v>2665.63</v>
      </c>
      <c r="P216" s="65">
        <v>3780</v>
      </c>
      <c r="Q216" s="65">
        <f t="shared" si="35"/>
        <v>831.6</v>
      </c>
      <c r="R216" s="65">
        <f t="shared" si="36"/>
        <v>4611.6000000000004</v>
      </c>
      <c r="S216" s="272"/>
      <c r="T216" s="64">
        <v>15</v>
      </c>
      <c r="U216" s="274"/>
      <c r="V216" s="38">
        <v>4340</v>
      </c>
      <c r="W216" s="38">
        <f t="shared" si="37"/>
        <v>954.8</v>
      </c>
      <c r="X216" s="38">
        <f t="shared" si="38"/>
        <v>5294.8</v>
      </c>
    </row>
    <row r="217" spans="1:24" ht="33.75" customHeight="1" x14ac:dyDescent="0.35">
      <c r="A217" s="56" t="s">
        <v>2455</v>
      </c>
      <c r="B217" s="2">
        <v>199</v>
      </c>
      <c r="C217" s="77">
        <v>10150055</v>
      </c>
      <c r="D217" s="74" t="s">
        <v>1798</v>
      </c>
      <c r="E217" s="74" t="s">
        <v>2176</v>
      </c>
      <c r="F217" s="75">
        <v>9.5000000000000001E-2</v>
      </c>
      <c r="G217" s="64" t="s">
        <v>3</v>
      </c>
      <c r="H217" s="78">
        <v>41421</v>
      </c>
      <c r="I217" s="4" t="s">
        <v>957</v>
      </c>
      <c r="J217" s="63" t="s">
        <v>1917</v>
      </c>
      <c r="K217" s="63" t="s">
        <v>961</v>
      </c>
      <c r="L217" s="69" t="s">
        <v>950</v>
      </c>
      <c r="M217" s="97">
        <f t="shared" si="34"/>
        <v>3078.77</v>
      </c>
      <c r="N217" s="97">
        <f t="shared" si="39"/>
        <v>32408.11</v>
      </c>
      <c r="O217" s="70">
        <v>3078.77</v>
      </c>
      <c r="P217" s="65">
        <v>4770</v>
      </c>
      <c r="Q217" s="65">
        <f t="shared" si="35"/>
        <v>1049.4000000000001</v>
      </c>
      <c r="R217" s="65">
        <f t="shared" si="36"/>
        <v>5819.4</v>
      </c>
      <c r="S217" s="272"/>
      <c r="T217" s="64">
        <v>15</v>
      </c>
      <c r="U217" s="274"/>
      <c r="V217" s="38">
        <v>5481</v>
      </c>
      <c r="W217" s="38">
        <f t="shared" si="37"/>
        <v>1205.82</v>
      </c>
      <c r="X217" s="38">
        <f t="shared" si="38"/>
        <v>6686.82</v>
      </c>
    </row>
    <row r="218" spans="1:24" ht="15" customHeight="1" x14ac:dyDescent="0.35">
      <c r="A218" s="56" t="s">
        <v>2456</v>
      </c>
      <c r="B218" s="2">
        <v>200</v>
      </c>
      <c r="C218" s="77">
        <v>10089578</v>
      </c>
      <c r="D218" s="74" t="s">
        <v>1799</v>
      </c>
      <c r="E218" s="74" t="s">
        <v>2176</v>
      </c>
      <c r="F218" s="75">
        <v>5.6000000000000001E-2</v>
      </c>
      <c r="G218" s="64" t="s">
        <v>3</v>
      </c>
      <c r="H218" s="78">
        <v>41249</v>
      </c>
      <c r="I218" s="4" t="s">
        <v>957</v>
      </c>
      <c r="J218" s="63" t="s">
        <v>1917</v>
      </c>
      <c r="K218" s="63" t="s">
        <v>961</v>
      </c>
      <c r="L218" s="69" t="s">
        <v>950</v>
      </c>
      <c r="M218" s="97">
        <f t="shared" si="34"/>
        <v>17515.91</v>
      </c>
      <c r="N218" s="97">
        <f t="shared" si="39"/>
        <v>312784.11</v>
      </c>
      <c r="O218" s="70">
        <v>17515.91</v>
      </c>
      <c r="P218" s="65">
        <v>27430</v>
      </c>
      <c r="Q218" s="65">
        <f t="shared" si="35"/>
        <v>6034.6</v>
      </c>
      <c r="R218" s="65">
        <f t="shared" si="36"/>
        <v>33464.6</v>
      </c>
      <c r="S218" s="272"/>
      <c r="T218" s="64">
        <v>15</v>
      </c>
      <c r="U218" s="274"/>
      <c r="V218" s="38">
        <v>31493</v>
      </c>
      <c r="W218" s="38">
        <f t="shared" si="37"/>
        <v>6928.46</v>
      </c>
      <c r="X218" s="38">
        <f t="shared" si="38"/>
        <v>38421.46</v>
      </c>
    </row>
    <row r="219" spans="1:24" ht="15" customHeight="1" x14ac:dyDescent="0.35">
      <c r="A219" s="56" t="s">
        <v>2457</v>
      </c>
      <c r="B219" s="2">
        <v>201</v>
      </c>
      <c r="C219" s="77">
        <v>10026043</v>
      </c>
      <c r="D219" s="74" t="s">
        <v>1801</v>
      </c>
      <c r="E219" s="74" t="s">
        <v>2176</v>
      </c>
      <c r="F219" s="75">
        <v>14.58</v>
      </c>
      <c r="G219" s="64" t="s">
        <v>17</v>
      </c>
      <c r="H219" s="78">
        <v>41375</v>
      </c>
      <c r="I219" s="4" t="s">
        <v>957</v>
      </c>
      <c r="J219" s="63" t="s">
        <v>1917</v>
      </c>
      <c r="K219" s="63" t="s">
        <v>961</v>
      </c>
      <c r="L219" s="69" t="s">
        <v>950</v>
      </c>
      <c r="M219" s="97">
        <f t="shared" si="34"/>
        <v>29.43</v>
      </c>
      <c r="N219" s="97">
        <f t="shared" si="39"/>
        <v>2.02</v>
      </c>
      <c r="O219" s="70">
        <v>29.43</v>
      </c>
      <c r="P219" s="65">
        <v>50</v>
      </c>
      <c r="Q219" s="65">
        <f t="shared" si="35"/>
        <v>11</v>
      </c>
      <c r="R219" s="65">
        <f t="shared" si="36"/>
        <v>61</v>
      </c>
      <c r="S219" s="272"/>
      <c r="T219" s="64">
        <v>15</v>
      </c>
      <c r="U219" s="274"/>
      <c r="V219" s="38">
        <v>52</v>
      </c>
      <c r="W219" s="38">
        <f t="shared" si="37"/>
        <v>11.44</v>
      </c>
      <c r="X219" s="38">
        <f t="shared" si="38"/>
        <v>63.44</v>
      </c>
    </row>
    <row r="220" spans="1:24" ht="15" customHeight="1" x14ac:dyDescent="0.35">
      <c r="A220" s="56" t="s">
        <v>2458</v>
      </c>
      <c r="B220" s="2">
        <v>202</v>
      </c>
      <c r="C220" s="77">
        <v>10026472</v>
      </c>
      <c r="D220" s="74" t="s">
        <v>1802</v>
      </c>
      <c r="E220" s="74" t="s">
        <v>2176</v>
      </c>
      <c r="F220" s="75">
        <v>190.5</v>
      </c>
      <c r="G220" s="64" t="s">
        <v>17</v>
      </c>
      <c r="H220" s="78">
        <v>41375</v>
      </c>
      <c r="I220" s="4" t="s">
        <v>957</v>
      </c>
      <c r="J220" s="63" t="s">
        <v>1917</v>
      </c>
      <c r="K220" s="63" t="s">
        <v>961</v>
      </c>
      <c r="L220" s="69" t="s">
        <v>950</v>
      </c>
      <c r="M220" s="97">
        <f t="shared" si="34"/>
        <v>270.25</v>
      </c>
      <c r="N220" s="97">
        <f t="shared" si="39"/>
        <v>1.42</v>
      </c>
      <c r="O220" s="70">
        <v>270.25</v>
      </c>
      <c r="P220" s="65">
        <v>420</v>
      </c>
      <c r="Q220" s="65">
        <f t="shared" si="35"/>
        <v>92.4</v>
      </c>
      <c r="R220" s="65">
        <f t="shared" si="36"/>
        <v>512.4</v>
      </c>
      <c r="S220" s="272"/>
      <c r="T220" s="64">
        <v>15</v>
      </c>
      <c r="U220" s="274"/>
      <c r="V220" s="38">
        <v>480</v>
      </c>
      <c r="W220" s="38">
        <f t="shared" si="37"/>
        <v>105.6</v>
      </c>
      <c r="X220" s="38">
        <f t="shared" si="38"/>
        <v>585.6</v>
      </c>
    </row>
    <row r="221" spans="1:24" ht="15" customHeight="1" x14ac:dyDescent="0.35">
      <c r="A221" s="56" t="s">
        <v>2459</v>
      </c>
      <c r="B221" s="2">
        <v>203</v>
      </c>
      <c r="C221" s="77">
        <v>10005413</v>
      </c>
      <c r="D221" s="74" t="s">
        <v>1803</v>
      </c>
      <c r="E221" s="74" t="s">
        <v>2176</v>
      </c>
      <c r="F221" s="75">
        <v>2</v>
      </c>
      <c r="G221" s="64" t="s">
        <v>0</v>
      </c>
      <c r="H221" s="78">
        <v>41375</v>
      </c>
      <c r="I221" s="4" t="s">
        <v>957</v>
      </c>
      <c r="J221" s="63" t="s">
        <v>1917</v>
      </c>
      <c r="K221" s="63" t="s">
        <v>961</v>
      </c>
      <c r="L221" s="69" t="s">
        <v>950</v>
      </c>
      <c r="M221" s="97">
        <f t="shared" si="34"/>
        <v>2140.4499999999998</v>
      </c>
      <c r="N221" s="97">
        <f t="shared" si="39"/>
        <v>1070.23</v>
      </c>
      <c r="O221" s="70">
        <v>2140.4499999999998</v>
      </c>
      <c r="P221" s="65">
        <v>3310</v>
      </c>
      <c r="Q221" s="65">
        <f t="shared" si="35"/>
        <v>728.2</v>
      </c>
      <c r="R221" s="65">
        <f t="shared" si="36"/>
        <v>4038.2</v>
      </c>
      <c r="S221" s="272"/>
      <c r="T221" s="64">
        <v>15</v>
      </c>
      <c r="U221" s="274"/>
      <c r="V221" s="38">
        <v>3799</v>
      </c>
      <c r="W221" s="38">
        <f t="shared" si="37"/>
        <v>835.78</v>
      </c>
      <c r="X221" s="38">
        <f t="shared" si="38"/>
        <v>4634.78</v>
      </c>
    </row>
    <row r="222" spans="1:24" ht="15" customHeight="1" x14ac:dyDescent="0.35">
      <c r="A222" s="56" t="s">
        <v>2460</v>
      </c>
      <c r="B222" s="2">
        <v>204</v>
      </c>
      <c r="C222" s="77">
        <v>10136876</v>
      </c>
      <c r="D222" s="74" t="s">
        <v>1804</v>
      </c>
      <c r="E222" s="74" t="s">
        <v>2176</v>
      </c>
      <c r="F222" s="75">
        <v>9</v>
      </c>
      <c r="G222" s="64" t="s">
        <v>0</v>
      </c>
      <c r="H222" s="78">
        <v>41577</v>
      </c>
      <c r="I222" s="4" t="s">
        <v>957</v>
      </c>
      <c r="J222" s="63" t="s">
        <v>1917</v>
      </c>
      <c r="K222" s="63" t="s">
        <v>961</v>
      </c>
      <c r="L222" s="69" t="s">
        <v>950</v>
      </c>
      <c r="M222" s="97">
        <f t="shared" si="34"/>
        <v>11061</v>
      </c>
      <c r="N222" s="97">
        <f t="shared" si="39"/>
        <v>1229</v>
      </c>
      <c r="O222" s="70">
        <v>11061</v>
      </c>
      <c r="P222" s="65">
        <v>17300</v>
      </c>
      <c r="Q222" s="65">
        <f t="shared" si="35"/>
        <v>3806</v>
      </c>
      <c r="R222" s="65">
        <f t="shared" si="36"/>
        <v>21106</v>
      </c>
      <c r="S222" s="272"/>
      <c r="T222" s="64">
        <v>15</v>
      </c>
      <c r="U222" s="274"/>
      <c r="V222" s="38">
        <v>19863</v>
      </c>
      <c r="W222" s="38">
        <f t="shared" si="37"/>
        <v>4369.8599999999997</v>
      </c>
      <c r="X222" s="38">
        <f t="shared" si="38"/>
        <v>24232.86</v>
      </c>
    </row>
    <row r="223" spans="1:24" ht="15" customHeight="1" x14ac:dyDescent="0.35">
      <c r="A223" s="56" t="s">
        <v>2461</v>
      </c>
      <c r="B223" s="2">
        <v>205</v>
      </c>
      <c r="C223" s="77">
        <v>10005415</v>
      </c>
      <c r="D223" s="74" t="s">
        <v>1805</v>
      </c>
      <c r="E223" s="74" t="s">
        <v>2176</v>
      </c>
      <c r="F223" s="75">
        <v>34</v>
      </c>
      <c r="G223" s="64" t="s">
        <v>0</v>
      </c>
      <c r="H223" s="78">
        <v>41577</v>
      </c>
      <c r="I223" s="4" t="s">
        <v>957</v>
      </c>
      <c r="J223" s="63" t="s">
        <v>1917</v>
      </c>
      <c r="K223" s="63" t="s">
        <v>961</v>
      </c>
      <c r="L223" s="69" t="s">
        <v>950</v>
      </c>
      <c r="M223" s="97">
        <f t="shared" si="34"/>
        <v>20908.54</v>
      </c>
      <c r="N223" s="97">
        <f t="shared" si="39"/>
        <v>614.96</v>
      </c>
      <c r="O223" s="70">
        <v>20908.54</v>
      </c>
      <c r="P223" s="65">
        <v>32700</v>
      </c>
      <c r="Q223" s="65">
        <f t="shared" si="35"/>
        <v>7194</v>
      </c>
      <c r="R223" s="65">
        <f t="shared" si="36"/>
        <v>39894</v>
      </c>
      <c r="S223" s="272"/>
      <c r="T223" s="64">
        <v>15</v>
      </c>
      <c r="U223" s="274"/>
      <c r="V223" s="38">
        <v>37547</v>
      </c>
      <c r="W223" s="38">
        <f t="shared" si="37"/>
        <v>8260.34</v>
      </c>
      <c r="X223" s="38">
        <f t="shared" si="38"/>
        <v>45807.34</v>
      </c>
    </row>
    <row r="224" spans="1:24" ht="15" customHeight="1" x14ac:dyDescent="0.35">
      <c r="A224" s="56" t="s">
        <v>2462</v>
      </c>
      <c r="B224" s="2">
        <v>206</v>
      </c>
      <c r="C224" s="77">
        <v>10136902</v>
      </c>
      <c r="D224" s="74" t="s">
        <v>1806</v>
      </c>
      <c r="E224" s="74" t="s">
        <v>2176</v>
      </c>
      <c r="F224" s="75">
        <v>1</v>
      </c>
      <c r="G224" s="64" t="s">
        <v>0</v>
      </c>
      <c r="H224" s="78">
        <v>41577</v>
      </c>
      <c r="I224" s="4" t="s">
        <v>957</v>
      </c>
      <c r="J224" s="63" t="s">
        <v>1917</v>
      </c>
      <c r="K224" s="63" t="s">
        <v>961</v>
      </c>
      <c r="L224" s="69" t="s">
        <v>950</v>
      </c>
      <c r="M224" s="97">
        <f t="shared" si="34"/>
        <v>5470</v>
      </c>
      <c r="N224" s="97">
        <f t="shared" si="39"/>
        <v>5470</v>
      </c>
      <c r="O224" s="70">
        <v>5470</v>
      </c>
      <c r="P224" s="65">
        <v>8560</v>
      </c>
      <c r="Q224" s="65">
        <f t="shared" si="35"/>
        <v>1883.2</v>
      </c>
      <c r="R224" s="65">
        <f t="shared" si="36"/>
        <v>10443.200000000001</v>
      </c>
      <c r="S224" s="272"/>
      <c r="T224" s="64">
        <v>15</v>
      </c>
      <c r="U224" s="274"/>
      <c r="V224" s="38">
        <v>9823</v>
      </c>
      <c r="W224" s="38">
        <f t="shared" si="37"/>
        <v>2161.06</v>
      </c>
      <c r="X224" s="38">
        <f t="shared" si="38"/>
        <v>11984.06</v>
      </c>
    </row>
    <row r="225" spans="1:24" ht="15" customHeight="1" x14ac:dyDescent="0.35">
      <c r="A225" s="56" t="s">
        <v>2463</v>
      </c>
      <c r="B225" s="2">
        <v>207</v>
      </c>
      <c r="C225" s="77">
        <v>10031145</v>
      </c>
      <c r="D225" s="74" t="s">
        <v>1843</v>
      </c>
      <c r="E225" s="74" t="s">
        <v>2167</v>
      </c>
      <c r="F225" s="75">
        <v>7</v>
      </c>
      <c r="G225" s="64" t="s">
        <v>0</v>
      </c>
      <c r="H225" s="78">
        <v>41375</v>
      </c>
      <c r="I225" s="4" t="s">
        <v>957</v>
      </c>
      <c r="J225" s="63" t="s">
        <v>1917</v>
      </c>
      <c r="K225" s="63" t="s">
        <v>961</v>
      </c>
      <c r="L225" s="69" t="s">
        <v>950</v>
      </c>
      <c r="M225" s="97">
        <f t="shared" si="34"/>
        <v>324.63</v>
      </c>
      <c r="N225" s="97">
        <f t="shared" si="39"/>
        <v>46.38</v>
      </c>
      <c r="O225" s="70">
        <v>324.63</v>
      </c>
      <c r="P225" s="65">
        <v>500</v>
      </c>
      <c r="Q225" s="65">
        <f t="shared" si="35"/>
        <v>110</v>
      </c>
      <c r="R225" s="65">
        <f t="shared" si="36"/>
        <v>610</v>
      </c>
      <c r="S225" s="272"/>
      <c r="T225" s="64">
        <v>15</v>
      </c>
      <c r="U225" s="274"/>
      <c r="V225" s="38">
        <v>576</v>
      </c>
      <c r="W225" s="38">
        <f t="shared" si="37"/>
        <v>126.72</v>
      </c>
      <c r="X225" s="38">
        <f t="shared" si="38"/>
        <v>702.72</v>
      </c>
    </row>
    <row r="226" spans="1:24" ht="15.65" customHeight="1" x14ac:dyDescent="0.35">
      <c r="A226" s="56" t="s">
        <v>2464</v>
      </c>
      <c r="B226" s="2">
        <v>208</v>
      </c>
      <c r="C226" s="77">
        <v>10010356</v>
      </c>
      <c r="D226" s="74" t="s">
        <v>1845</v>
      </c>
      <c r="E226" s="74" t="s">
        <v>2176</v>
      </c>
      <c r="F226" s="75">
        <f>2-1</f>
        <v>1</v>
      </c>
      <c r="G226" s="64" t="s">
        <v>0</v>
      </c>
      <c r="H226" s="78">
        <v>42004</v>
      </c>
      <c r="I226" s="4" t="s">
        <v>957</v>
      </c>
      <c r="J226" s="63" t="s">
        <v>1917</v>
      </c>
      <c r="K226" s="63" t="s">
        <v>961</v>
      </c>
      <c r="L226" s="69" t="s">
        <v>950</v>
      </c>
      <c r="M226" s="97">
        <f t="shared" si="34"/>
        <v>84.5</v>
      </c>
      <c r="N226" s="97">
        <f t="shared" si="39"/>
        <v>84.5</v>
      </c>
      <c r="O226" s="70">
        <f>169/2*1</f>
        <v>84.5</v>
      </c>
      <c r="P226" s="65">
        <v>130</v>
      </c>
      <c r="Q226" s="65">
        <f t="shared" si="35"/>
        <v>28.6</v>
      </c>
      <c r="R226" s="65">
        <f t="shared" si="36"/>
        <v>158.6</v>
      </c>
      <c r="S226" s="272"/>
      <c r="T226" s="64">
        <v>15</v>
      </c>
      <c r="U226" s="274"/>
      <c r="V226" s="38">
        <v>153</v>
      </c>
      <c r="W226" s="38">
        <f t="shared" si="37"/>
        <v>33.659999999999997</v>
      </c>
      <c r="X226" s="38">
        <f t="shared" si="38"/>
        <v>186.66</v>
      </c>
    </row>
    <row r="227" spans="1:24" ht="15" customHeight="1" x14ac:dyDescent="0.35">
      <c r="A227" s="56" t="s">
        <v>2465</v>
      </c>
      <c r="B227" s="2">
        <v>209</v>
      </c>
      <c r="C227" s="77">
        <v>10036220</v>
      </c>
      <c r="D227" s="74" t="s">
        <v>1846</v>
      </c>
      <c r="E227" s="74" t="s">
        <v>2167</v>
      </c>
      <c r="F227" s="75">
        <f>8-4</f>
        <v>4</v>
      </c>
      <c r="G227" s="64" t="s">
        <v>0</v>
      </c>
      <c r="H227" s="78">
        <v>42004</v>
      </c>
      <c r="I227" s="4" t="s">
        <v>957</v>
      </c>
      <c r="J227" s="63" t="s">
        <v>1917</v>
      </c>
      <c r="K227" s="63" t="s">
        <v>961</v>
      </c>
      <c r="L227" s="69" t="s">
        <v>950</v>
      </c>
      <c r="M227" s="97">
        <f t="shared" si="34"/>
        <v>744.57</v>
      </c>
      <c r="N227" s="97">
        <f t="shared" si="39"/>
        <v>186.14</v>
      </c>
      <c r="O227" s="70">
        <f>1489.14/8*4</f>
        <v>744.57</v>
      </c>
      <c r="P227" s="65">
        <v>1180</v>
      </c>
      <c r="Q227" s="65">
        <f t="shared" si="35"/>
        <v>259.60000000000002</v>
      </c>
      <c r="R227" s="65">
        <f t="shared" si="36"/>
        <v>1439.6</v>
      </c>
      <c r="S227" s="272"/>
      <c r="T227" s="64">
        <v>15</v>
      </c>
      <c r="U227" s="274"/>
      <c r="V227" s="38">
        <v>1350</v>
      </c>
      <c r="W227" s="38">
        <f t="shared" si="37"/>
        <v>297</v>
      </c>
      <c r="X227" s="38">
        <f t="shared" si="38"/>
        <v>1647</v>
      </c>
    </row>
    <row r="228" spans="1:24" ht="15" customHeight="1" x14ac:dyDescent="0.35">
      <c r="A228" s="56" t="s">
        <v>2466</v>
      </c>
      <c r="B228" s="2">
        <v>210</v>
      </c>
      <c r="C228" s="77">
        <v>10119449</v>
      </c>
      <c r="D228" s="74" t="s">
        <v>1847</v>
      </c>
      <c r="E228" s="74" t="s">
        <v>2167</v>
      </c>
      <c r="F228" s="75">
        <v>2</v>
      </c>
      <c r="G228" s="64" t="s">
        <v>0</v>
      </c>
      <c r="H228" s="78">
        <v>41375</v>
      </c>
      <c r="I228" s="4" t="s">
        <v>957</v>
      </c>
      <c r="J228" s="63" t="s">
        <v>1917</v>
      </c>
      <c r="K228" s="63" t="s">
        <v>961</v>
      </c>
      <c r="L228" s="69" t="s">
        <v>950</v>
      </c>
      <c r="M228" s="97">
        <f t="shared" si="34"/>
        <v>188</v>
      </c>
      <c r="N228" s="97">
        <f t="shared" si="39"/>
        <v>94</v>
      </c>
      <c r="O228" s="70">
        <v>188</v>
      </c>
      <c r="P228" s="65">
        <v>290</v>
      </c>
      <c r="Q228" s="65">
        <f t="shared" si="35"/>
        <v>63.8</v>
      </c>
      <c r="R228" s="65">
        <f t="shared" si="36"/>
        <v>353.8</v>
      </c>
      <c r="S228" s="272"/>
      <c r="T228" s="64">
        <v>15</v>
      </c>
      <c r="U228" s="274"/>
      <c r="V228" s="38">
        <v>334</v>
      </c>
      <c r="W228" s="38">
        <f t="shared" si="37"/>
        <v>73.48</v>
      </c>
      <c r="X228" s="38">
        <f t="shared" si="38"/>
        <v>407.48</v>
      </c>
    </row>
    <row r="229" spans="1:24" ht="15" customHeight="1" x14ac:dyDescent="0.35">
      <c r="A229" s="56" t="s">
        <v>2467</v>
      </c>
      <c r="B229" s="2">
        <v>211</v>
      </c>
      <c r="C229" s="77">
        <v>10001271</v>
      </c>
      <c r="D229" s="74" t="s">
        <v>1848</v>
      </c>
      <c r="E229" s="74" t="s">
        <v>2167</v>
      </c>
      <c r="F229" s="75">
        <f>14-10</f>
        <v>4</v>
      </c>
      <c r="G229" s="64" t="s">
        <v>0</v>
      </c>
      <c r="H229" s="78">
        <v>42004</v>
      </c>
      <c r="I229" s="4" t="s">
        <v>957</v>
      </c>
      <c r="J229" s="63" t="s">
        <v>1917</v>
      </c>
      <c r="K229" s="63" t="s">
        <v>961</v>
      </c>
      <c r="L229" s="69" t="s">
        <v>950</v>
      </c>
      <c r="M229" s="97">
        <f t="shared" si="34"/>
        <v>2177.77</v>
      </c>
      <c r="N229" s="97">
        <f t="shared" si="39"/>
        <v>544.44000000000005</v>
      </c>
      <c r="O229" s="70">
        <f>7622.2/14*4</f>
        <v>2177.77</v>
      </c>
      <c r="P229" s="65">
        <v>3440</v>
      </c>
      <c r="Q229" s="65">
        <f t="shared" si="35"/>
        <v>756.8</v>
      </c>
      <c r="R229" s="65">
        <f t="shared" si="36"/>
        <v>4196.8</v>
      </c>
      <c r="S229" s="272"/>
      <c r="T229" s="64">
        <v>15</v>
      </c>
      <c r="U229" s="274"/>
      <c r="V229" s="38">
        <v>3948</v>
      </c>
      <c r="W229" s="38">
        <f t="shared" si="37"/>
        <v>868.56</v>
      </c>
      <c r="X229" s="38">
        <f t="shared" si="38"/>
        <v>4816.5600000000004</v>
      </c>
    </row>
    <row r="230" spans="1:24" ht="15" customHeight="1" x14ac:dyDescent="0.35">
      <c r="A230" s="56" t="s">
        <v>2468</v>
      </c>
      <c r="B230" s="2">
        <v>212</v>
      </c>
      <c r="C230" s="77">
        <v>10143854</v>
      </c>
      <c r="D230" s="74" t="s">
        <v>1849</v>
      </c>
      <c r="E230" s="74" t="s">
        <v>2167</v>
      </c>
      <c r="F230" s="75">
        <v>14</v>
      </c>
      <c r="G230" s="64" t="s">
        <v>0</v>
      </c>
      <c r="H230" s="78">
        <v>42004</v>
      </c>
      <c r="I230" s="4" t="s">
        <v>957</v>
      </c>
      <c r="J230" s="63" t="s">
        <v>1917</v>
      </c>
      <c r="K230" s="63" t="s">
        <v>961</v>
      </c>
      <c r="L230" s="69" t="s">
        <v>950</v>
      </c>
      <c r="M230" s="97">
        <f t="shared" si="34"/>
        <v>36981</v>
      </c>
      <c r="N230" s="97">
        <f t="shared" si="39"/>
        <v>2641.5</v>
      </c>
      <c r="O230" s="70">
        <v>36981</v>
      </c>
      <c r="P230" s="65">
        <v>58390</v>
      </c>
      <c r="Q230" s="65">
        <f t="shared" si="35"/>
        <v>12845.8</v>
      </c>
      <c r="R230" s="65">
        <f t="shared" si="36"/>
        <v>71235.8</v>
      </c>
      <c r="S230" s="272"/>
      <c r="T230" s="64">
        <v>15</v>
      </c>
      <c r="U230" s="274"/>
      <c r="V230" s="38">
        <v>67040</v>
      </c>
      <c r="W230" s="38">
        <f t="shared" si="37"/>
        <v>14748.8</v>
      </c>
      <c r="X230" s="38">
        <f t="shared" si="38"/>
        <v>81788.800000000003</v>
      </c>
    </row>
    <row r="231" spans="1:24" ht="15" customHeight="1" x14ac:dyDescent="0.35">
      <c r="A231" s="56" t="s">
        <v>2469</v>
      </c>
      <c r="B231" s="2">
        <v>213</v>
      </c>
      <c r="C231" s="77">
        <v>10141686</v>
      </c>
      <c r="D231" s="74" t="s">
        <v>68</v>
      </c>
      <c r="E231" s="74" t="s">
        <v>2167</v>
      </c>
      <c r="F231" s="75">
        <v>12</v>
      </c>
      <c r="G231" s="64" t="s">
        <v>0</v>
      </c>
      <c r="H231" s="78">
        <v>42004</v>
      </c>
      <c r="I231" s="4" t="s">
        <v>957</v>
      </c>
      <c r="J231" s="63" t="s">
        <v>1917</v>
      </c>
      <c r="K231" s="63" t="s">
        <v>961</v>
      </c>
      <c r="L231" s="69" t="s">
        <v>950</v>
      </c>
      <c r="M231" s="97">
        <f t="shared" si="34"/>
        <v>38058</v>
      </c>
      <c r="N231" s="97">
        <f t="shared" si="39"/>
        <v>3171.5</v>
      </c>
      <c r="O231" s="70">
        <v>38058</v>
      </c>
      <c r="P231" s="65">
        <v>60090</v>
      </c>
      <c r="Q231" s="65">
        <f t="shared" si="35"/>
        <v>13219.8</v>
      </c>
      <c r="R231" s="65">
        <f t="shared" si="36"/>
        <v>73309.8</v>
      </c>
      <c r="S231" s="272"/>
      <c r="T231" s="64">
        <v>15</v>
      </c>
      <c r="U231" s="274"/>
      <c r="V231" s="38">
        <v>68993</v>
      </c>
      <c r="W231" s="38">
        <f t="shared" si="37"/>
        <v>15178.46</v>
      </c>
      <c r="X231" s="38">
        <f t="shared" si="38"/>
        <v>84171.46</v>
      </c>
    </row>
    <row r="232" spans="1:24" ht="15" customHeight="1" x14ac:dyDescent="0.35">
      <c r="A232" s="56" t="s">
        <v>2470</v>
      </c>
      <c r="B232" s="2">
        <v>214</v>
      </c>
      <c r="C232" s="77">
        <v>10089937</v>
      </c>
      <c r="D232" s="74" t="s">
        <v>1850</v>
      </c>
      <c r="E232" s="74" t="s">
        <v>2167</v>
      </c>
      <c r="F232" s="75">
        <v>6</v>
      </c>
      <c r="G232" s="64" t="s">
        <v>0</v>
      </c>
      <c r="H232" s="78">
        <v>42004</v>
      </c>
      <c r="I232" s="4" t="s">
        <v>957</v>
      </c>
      <c r="J232" s="63" t="s">
        <v>1917</v>
      </c>
      <c r="K232" s="63" t="s">
        <v>961</v>
      </c>
      <c r="L232" s="69" t="s">
        <v>950</v>
      </c>
      <c r="M232" s="97">
        <f t="shared" si="34"/>
        <v>4275</v>
      </c>
      <c r="N232" s="97">
        <f t="shared" si="39"/>
        <v>712.5</v>
      </c>
      <c r="O232" s="70">
        <v>4275</v>
      </c>
      <c r="P232" s="65">
        <v>6750</v>
      </c>
      <c r="Q232" s="65">
        <f t="shared" si="35"/>
        <v>1485</v>
      </c>
      <c r="R232" s="65">
        <f t="shared" si="36"/>
        <v>8235</v>
      </c>
      <c r="S232" s="272"/>
      <c r="T232" s="64">
        <v>15</v>
      </c>
      <c r="U232" s="274"/>
      <c r="V232" s="38">
        <v>7750</v>
      </c>
      <c r="W232" s="38">
        <f t="shared" si="37"/>
        <v>1705</v>
      </c>
      <c r="X232" s="38">
        <f t="shared" si="38"/>
        <v>9455</v>
      </c>
    </row>
    <row r="233" spans="1:24" ht="35.25" customHeight="1" x14ac:dyDescent="0.35">
      <c r="A233" s="56" t="s">
        <v>2471</v>
      </c>
      <c r="B233" s="2">
        <v>215</v>
      </c>
      <c r="C233" s="77">
        <v>10148764</v>
      </c>
      <c r="D233" s="74" t="s">
        <v>1851</v>
      </c>
      <c r="E233" s="74" t="s">
        <v>2167</v>
      </c>
      <c r="F233" s="75">
        <v>4</v>
      </c>
      <c r="G233" s="64" t="s">
        <v>0</v>
      </c>
      <c r="H233" s="78">
        <v>42004</v>
      </c>
      <c r="I233" s="4" t="s">
        <v>957</v>
      </c>
      <c r="J233" s="63" t="s">
        <v>1917</v>
      </c>
      <c r="K233" s="63" t="s">
        <v>961</v>
      </c>
      <c r="L233" s="69" t="s">
        <v>950</v>
      </c>
      <c r="M233" s="97">
        <f t="shared" si="34"/>
        <v>1182</v>
      </c>
      <c r="N233" s="97">
        <f t="shared" si="39"/>
        <v>295.5</v>
      </c>
      <c r="O233" s="70">
        <v>1182</v>
      </c>
      <c r="P233" s="65">
        <v>1870</v>
      </c>
      <c r="Q233" s="65">
        <f t="shared" si="35"/>
        <v>411.4</v>
      </c>
      <c r="R233" s="65">
        <f t="shared" si="36"/>
        <v>2281.4</v>
      </c>
      <c r="S233" s="272"/>
      <c r="T233" s="64">
        <v>15</v>
      </c>
      <c r="U233" s="274"/>
      <c r="V233" s="38">
        <v>2143</v>
      </c>
      <c r="W233" s="38">
        <f t="shared" si="37"/>
        <v>471.46</v>
      </c>
      <c r="X233" s="38">
        <f t="shared" si="38"/>
        <v>2614.46</v>
      </c>
    </row>
    <row r="234" spans="1:24" ht="35.25" customHeight="1" x14ac:dyDescent="0.35">
      <c r="A234" s="56" t="s">
        <v>2472</v>
      </c>
      <c r="B234" s="2">
        <v>216</v>
      </c>
      <c r="C234" s="77">
        <v>10029561</v>
      </c>
      <c r="D234" s="74" t="s">
        <v>1782</v>
      </c>
      <c r="E234" s="74" t="s">
        <v>2167</v>
      </c>
      <c r="F234" s="75">
        <v>2</v>
      </c>
      <c r="G234" s="64" t="s">
        <v>0</v>
      </c>
      <c r="H234" s="78">
        <v>41092</v>
      </c>
      <c r="I234" s="4" t="s">
        <v>957</v>
      </c>
      <c r="J234" s="63" t="s">
        <v>1917</v>
      </c>
      <c r="K234" s="63" t="s">
        <v>961</v>
      </c>
      <c r="L234" s="69" t="s">
        <v>950</v>
      </c>
      <c r="M234" s="97">
        <f t="shared" si="34"/>
        <v>138</v>
      </c>
      <c r="N234" s="97">
        <f t="shared" si="39"/>
        <v>69</v>
      </c>
      <c r="O234" s="70">
        <v>138</v>
      </c>
      <c r="P234" s="65">
        <v>220</v>
      </c>
      <c r="Q234" s="65">
        <f t="shared" si="35"/>
        <v>48.4</v>
      </c>
      <c r="R234" s="65">
        <f t="shared" si="36"/>
        <v>268.39999999999998</v>
      </c>
      <c r="S234" s="272"/>
      <c r="T234" s="64">
        <v>15</v>
      </c>
      <c r="U234" s="274"/>
      <c r="V234" s="38">
        <v>252</v>
      </c>
      <c r="W234" s="38">
        <f t="shared" si="37"/>
        <v>55.44</v>
      </c>
      <c r="X234" s="38">
        <f t="shared" si="38"/>
        <v>307.44</v>
      </c>
    </row>
    <row r="235" spans="1:24" ht="56.25" customHeight="1" x14ac:dyDescent="0.35">
      <c r="A235" s="56" t="s">
        <v>2473</v>
      </c>
      <c r="B235" s="2">
        <v>217</v>
      </c>
      <c r="C235" s="77">
        <v>10151648</v>
      </c>
      <c r="D235" s="74" t="s">
        <v>1900</v>
      </c>
      <c r="E235" s="74" t="s">
        <v>2176</v>
      </c>
      <c r="F235" s="75">
        <v>1.782</v>
      </c>
      <c r="G235" s="64" t="s">
        <v>3</v>
      </c>
      <c r="H235" s="78">
        <v>42074</v>
      </c>
      <c r="I235" s="4" t="s">
        <v>957</v>
      </c>
      <c r="J235" s="63" t="s">
        <v>1928</v>
      </c>
      <c r="K235" s="63" t="s">
        <v>961</v>
      </c>
      <c r="L235" s="69" t="s">
        <v>950</v>
      </c>
      <c r="M235" s="97">
        <f t="shared" si="34"/>
        <v>58028.7</v>
      </c>
      <c r="N235" s="97">
        <f t="shared" si="39"/>
        <v>32563.8</v>
      </c>
      <c r="O235" s="70">
        <v>58028.7</v>
      </c>
      <c r="P235" s="65">
        <v>85320</v>
      </c>
      <c r="Q235" s="65">
        <f t="shared" si="35"/>
        <v>18770.400000000001</v>
      </c>
      <c r="R235" s="65">
        <f t="shared" si="36"/>
        <v>104090.4</v>
      </c>
      <c r="S235" s="272"/>
      <c r="T235" s="64">
        <v>15</v>
      </c>
      <c r="U235" s="274"/>
      <c r="V235" s="38">
        <v>97962</v>
      </c>
      <c r="W235" s="38">
        <f t="shared" si="37"/>
        <v>21551.64</v>
      </c>
      <c r="X235" s="38">
        <f t="shared" si="38"/>
        <v>119513.64</v>
      </c>
    </row>
    <row r="236" spans="1:24" ht="50.25" customHeight="1" x14ac:dyDescent="0.35">
      <c r="A236" s="56" t="s">
        <v>2474</v>
      </c>
      <c r="B236" s="2">
        <v>218</v>
      </c>
      <c r="C236" s="77">
        <v>10089164</v>
      </c>
      <c r="D236" s="74" t="s">
        <v>1901</v>
      </c>
      <c r="E236" s="74" t="s">
        <v>2176</v>
      </c>
      <c r="F236" s="75">
        <f>3.792-0.02</f>
        <v>3.7719999999999998</v>
      </c>
      <c r="G236" s="64" t="s">
        <v>3</v>
      </c>
      <c r="H236" s="78">
        <v>41516</v>
      </c>
      <c r="I236" s="4" t="s">
        <v>957</v>
      </c>
      <c r="J236" s="63" t="s">
        <v>1917</v>
      </c>
      <c r="K236" s="63" t="s">
        <v>961</v>
      </c>
      <c r="L236" s="69" t="s">
        <v>950</v>
      </c>
      <c r="M236" s="97">
        <f t="shared" si="34"/>
        <v>304622.07</v>
      </c>
      <c r="N236" s="97">
        <f t="shared" si="39"/>
        <v>80758.77</v>
      </c>
      <c r="O236" s="70">
        <f>306237.25/3.792*3.772</f>
        <v>304622.07</v>
      </c>
      <c r="P236" s="65">
        <v>465830</v>
      </c>
      <c r="Q236" s="65">
        <f t="shared" si="35"/>
        <v>102482.6</v>
      </c>
      <c r="R236" s="65">
        <f t="shared" si="36"/>
        <v>568312.6</v>
      </c>
      <c r="S236" s="272"/>
      <c r="T236" s="64">
        <v>15</v>
      </c>
      <c r="U236" s="274"/>
      <c r="V236" s="38">
        <v>534822</v>
      </c>
      <c r="W236" s="38">
        <f t="shared" si="37"/>
        <v>117660.84</v>
      </c>
      <c r="X236" s="38">
        <f t="shared" si="38"/>
        <v>652482.84</v>
      </c>
    </row>
    <row r="237" spans="1:24" ht="53.25" customHeight="1" x14ac:dyDescent="0.35">
      <c r="A237" s="56" t="s">
        <v>2475</v>
      </c>
      <c r="B237" s="2">
        <v>219</v>
      </c>
      <c r="C237" s="77">
        <v>10011622</v>
      </c>
      <c r="D237" s="74" t="s">
        <v>1902</v>
      </c>
      <c r="E237" s="74" t="s">
        <v>2176</v>
      </c>
      <c r="F237" s="75">
        <v>1.6830000000000001</v>
      </c>
      <c r="G237" s="64" t="s">
        <v>3</v>
      </c>
      <c r="H237" s="78">
        <v>42130</v>
      </c>
      <c r="I237" s="4" t="s">
        <v>957</v>
      </c>
      <c r="J237" s="63" t="s">
        <v>1917</v>
      </c>
      <c r="K237" s="63" t="s">
        <v>961</v>
      </c>
      <c r="L237" s="69" t="s">
        <v>950</v>
      </c>
      <c r="M237" s="97">
        <f t="shared" si="34"/>
        <v>44405.66</v>
      </c>
      <c r="N237" s="97">
        <f t="shared" si="39"/>
        <v>26384.82</v>
      </c>
      <c r="O237" s="70">
        <v>44405.66</v>
      </c>
      <c r="P237" s="65">
        <v>64600</v>
      </c>
      <c r="Q237" s="65">
        <f t="shared" si="35"/>
        <v>14212</v>
      </c>
      <c r="R237" s="65">
        <f t="shared" si="36"/>
        <v>78812</v>
      </c>
      <c r="S237" s="272"/>
      <c r="T237" s="64">
        <v>15</v>
      </c>
      <c r="U237" s="274"/>
      <c r="V237" s="38">
        <v>74173</v>
      </c>
      <c r="W237" s="38">
        <f t="shared" si="37"/>
        <v>16318.06</v>
      </c>
      <c r="X237" s="38">
        <f t="shared" si="38"/>
        <v>90491.06</v>
      </c>
    </row>
    <row r="238" spans="1:24" ht="39.75" customHeight="1" x14ac:dyDescent="0.35">
      <c r="A238" s="56" t="s">
        <v>2476</v>
      </c>
      <c r="B238" s="2">
        <v>220</v>
      </c>
      <c r="C238" s="77">
        <v>10024007</v>
      </c>
      <c r="D238" s="74" t="s">
        <v>1903</v>
      </c>
      <c r="E238" s="74" t="s">
        <v>2176</v>
      </c>
      <c r="F238" s="75">
        <v>2.0139999999999998</v>
      </c>
      <c r="G238" s="64" t="s">
        <v>3</v>
      </c>
      <c r="H238" s="78">
        <v>39576</v>
      </c>
      <c r="I238" s="4" t="s">
        <v>957</v>
      </c>
      <c r="J238" s="63" t="s">
        <v>1917</v>
      </c>
      <c r="K238" s="63" t="s">
        <v>961</v>
      </c>
      <c r="L238" s="69" t="s">
        <v>950</v>
      </c>
      <c r="M238" s="97">
        <f t="shared" si="34"/>
        <v>58900.11</v>
      </c>
      <c r="N238" s="97">
        <f t="shared" si="39"/>
        <v>29245.34</v>
      </c>
      <c r="O238" s="70">
        <v>58900.11</v>
      </c>
      <c r="P238" s="65">
        <v>115310</v>
      </c>
      <c r="Q238" s="65">
        <f t="shared" si="35"/>
        <v>25368.2</v>
      </c>
      <c r="R238" s="65">
        <f t="shared" si="36"/>
        <v>140678.20000000001</v>
      </c>
      <c r="S238" s="272"/>
      <c r="T238" s="64">
        <v>15</v>
      </c>
      <c r="U238" s="274"/>
      <c r="V238" s="38">
        <v>132388</v>
      </c>
      <c r="W238" s="38">
        <f t="shared" si="37"/>
        <v>29125.360000000001</v>
      </c>
      <c r="X238" s="38">
        <f t="shared" si="38"/>
        <v>161513.35999999999</v>
      </c>
    </row>
    <row r="239" spans="1:24" ht="34.5" customHeight="1" x14ac:dyDescent="0.35">
      <c r="A239" s="56" t="s">
        <v>2477</v>
      </c>
      <c r="B239" s="2">
        <v>221</v>
      </c>
      <c r="C239" s="77">
        <v>10005295</v>
      </c>
      <c r="D239" s="74" t="s">
        <v>9</v>
      </c>
      <c r="E239" s="74" t="s">
        <v>2167</v>
      </c>
      <c r="F239" s="75">
        <v>0.20699999999999999</v>
      </c>
      <c r="G239" s="64" t="s">
        <v>3</v>
      </c>
      <c r="H239" s="61">
        <v>42401</v>
      </c>
      <c r="I239" s="59" t="s">
        <v>957</v>
      </c>
      <c r="J239" s="88" t="s">
        <v>1980</v>
      </c>
      <c r="K239" s="63" t="s">
        <v>961</v>
      </c>
      <c r="L239" s="63" t="s">
        <v>950</v>
      </c>
      <c r="M239" s="104">
        <f t="shared" si="34"/>
        <v>10732.4</v>
      </c>
      <c r="N239" s="104">
        <f t="shared" si="39"/>
        <v>51847.34</v>
      </c>
      <c r="O239" s="76">
        <v>10732.4</v>
      </c>
      <c r="P239" s="65">
        <v>15050</v>
      </c>
      <c r="Q239" s="65">
        <f t="shared" si="35"/>
        <v>3311</v>
      </c>
      <c r="R239" s="65">
        <f t="shared" si="36"/>
        <v>18361</v>
      </c>
      <c r="S239" s="272"/>
      <c r="T239" s="64">
        <v>15</v>
      </c>
      <c r="U239" s="274"/>
      <c r="V239" s="38">
        <v>17282</v>
      </c>
      <c r="W239" s="38">
        <f t="shared" si="37"/>
        <v>3802.04</v>
      </c>
      <c r="X239" s="38">
        <f t="shared" si="38"/>
        <v>21084.04</v>
      </c>
    </row>
    <row r="240" spans="1:24" ht="27" customHeight="1" x14ac:dyDescent="0.35">
      <c r="A240" s="56" t="s">
        <v>2478</v>
      </c>
      <c r="B240" s="2">
        <v>222</v>
      </c>
      <c r="C240" s="39">
        <v>10104439</v>
      </c>
      <c r="D240" s="40" t="s">
        <v>1292</v>
      </c>
      <c r="E240" s="40" t="s">
        <v>2174</v>
      </c>
      <c r="F240" s="43">
        <f>5-1-1</f>
        <v>3</v>
      </c>
      <c r="G240" s="64" t="s">
        <v>0</v>
      </c>
      <c r="H240" s="42" t="s">
        <v>494</v>
      </c>
      <c r="I240" s="94" t="s">
        <v>1316</v>
      </c>
      <c r="J240" s="63" t="s">
        <v>1917</v>
      </c>
      <c r="K240" s="63" t="s">
        <v>961</v>
      </c>
      <c r="L240" s="69" t="s">
        <v>950</v>
      </c>
      <c r="M240" s="97">
        <f t="shared" si="34"/>
        <v>259138.59</v>
      </c>
      <c r="N240" s="97">
        <f t="shared" si="39"/>
        <v>86379.53</v>
      </c>
      <c r="O240" s="70">
        <f>431897.65/5*3</f>
        <v>259138.59</v>
      </c>
      <c r="P240" s="65">
        <v>409170</v>
      </c>
      <c r="Q240" s="65">
        <f t="shared" si="35"/>
        <v>90017.4</v>
      </c>
      <c r="R240" s="65">
        <f t="shared" si="36"/>
        <v>499187.4</v>
      </c>
      <c r="S240" s="272"/>
      <c r="T240" s="64">
        <v>15</v>
      </c>
      <c r="U240" s="274"/>
      <c r="V240" s="38">
        <v>469774</v>
      </c>
      <c r="W240" s="38">
        <f t="shared" si="37"/>
        <v>103350.28</v>
      </c>
      <c r="X240" s="38">
        <f t="shared" si="38"/>
        <v>573124.28</v>
      </c>
    </row>
    <row r="241" spans="1:24" ht="29.5" customHeight="1" x14ac:dyDescent="0.35">
      <c r="A241" s="56" t="s">
        <v>2479</v>
      </c>
      <c r="B241" s="2">
        <v>223</v>
      </c>
      <c r="C241" s="39">
        <v>10144750</v>
      </c>
      <c r="D241" s="40" t="s">
        <v>1293</v>
      </c>
      <c r="E241" s="40" t="s">
        <v>2174</v>
      </c>
      <c r="F241" s="43">
        <v>3</v>
      </c>
      <c r="G241" s="64" t="s">
        <v>0</v>
      </c>
      <c r="H241" s="42" t="s">
        <v>494</v>
      </c>
      <c r="I241" s="94" t="s">
        <v>1316</v>
      </c>
      <c r="J241" s="63" t="s">
        <v>1917</v>
      </c>
      <c r="K241" s="63" t="s">
        <v>961</v>
      </c>
      <c r="L241" s="69" t="s">
        <v>950</v>
      </c>
      <c r="M241" s="97">
        <f t="shared" si="34"/>
        <v>564069.15</v>
      </c>
      <c r="N241" s="97">
        <f t="shared" si="39"/>
        <v>188023.05</v>
      </c>
      <c r="O241" s="70">
        <v>564069.15</v>
      </c>
      <c r="P241" s="65">
        <v>890650</v>
      </c>
      <c r="Q241" s="65">
        <f t="shared" si="35"/>
        <v>195943</v>
      </c>
      <c r="R241" s="65">
        <f t="shared" si="36"/>
        <v>1086593</v>
      </c>
      <c r="S241" s="272"/>
      <c r="T241" s="64">
        <v>15</v>
      </c>
      <c r="U241" s="274"/>
      <c r="V241" s="38">
        <v>1022560</v>
      </c>
      <c r="W241" s="38">
        <f t="shared" si="37"/>
        <v>224963.20000000001</v>
      </c>
      <c r="X241" s="38">
        <f t="shared" si="38"/>
        <v>1247523.2</v>
      </c>
    </row>
    <row r="242" spans="1:24" ht="28" customHeight="1" x14ac:dyDescent="0.35">
      <c r="A242" s="56" t="s">
        <v>2480</v>
      </c>
      <c r="B242" s="2">
        <v>224</v>
      </c>
      <c r="C242" s="44">
        <v>10087729</v>
      </c>
      <c r="D242" s="40" t="s">
        <v>1294</v>
      </c>
      <c r="E242" s="40" t="s">
        <v>2174</v>
      </c>
      <c r="F242" s="43">
        <v>1</v>
      </c>
      <c r="G242" s="64" t="s">
        <v>0</v>
      </c>
      <c r="H242" s="42" t="s">
        <v>494</v>
      </c>
      <c r="I242" s="94" t="s">
        <v>1316</v>
      </c>
      <c r="J242" s="63" t="s">
        <v>1917</v>
      </c>
      <c r="K242" s="63" t="s">
        <v>961</v>
      </c>
      <c r="L242" s="69" t="s">
        <v>950</v>
      </c>
      <c r="M242" s="97">
        <f t="shared" si="34"/>
        <v>26481</v>
      </c>
      <c r="N242" s="97">
        <f t="shared" si="39"/>
        <v>26481</v>
      </c>
      <c r="O242" s="70">
        <v>26481</v>
      </c>
      <c r="P242" s="65">
        <v>41810</v>
      </c>
      <c r="Q242" s="65">
        <f t="shared" si="35"/>
        <v>9198.2000000000007</v>
      </c>
      <c r="R242" s="65">
        <f t="shared" si="36"/>
        <v>51008.2</v>
      </c>
      <c r="S242" s="272"/>
      <c r="T242" s="64">
        <v>15</v>
      </c>
      <c r="U242" s="274"/>
      <c r="V242" s="38">
        <v>48006</v>
      </c>
      <c r="W242" s="38">
        <f t="shared" si="37"/>
        <v>10561.32</v>
      </c>
      <c r="X242" s="38">
        <f t="shared" si="38"/>
        <v>58567.32</v>
      </c>
    </row>
    <row r="243" spans="1:24" ht="32.5" customHeight="1" x14ac:dyDescent="0.35">
      <c r="A243" s="56" t="s">
        <v>2481</v>
      </c>
      <c r="B243" s="2">
        <v>225</v>
      </c>
      <c r="C243" s="39">
        <v>10155524</v>
      </c>
      <c r="D243" s="40" t="s">
        <v>1295</v>
      </c>
      <c r="E243" s="40" t="s">
        <v>2174</v>
      </c>
      <c r="F243" s="43">
        <v>8</v>
      </c>
      <c r="G243" s="64" t="s">
        <v>0</v>
      </c>
      <c r="H243" s="42" t="s">
        <v>494</v>
      </c>
      <c r="I243" s="94" t="s">
        <v>1316</v>
      </c>
      <c r="J243" s="63" t="s">
        <v>1917</v>
      </c>
      <c r="K243" s="63" t="s">
        <v>961</v>
      </c>
      <c r="L243" s="69" t="s">
        <v>950</v>
      </c>
      <c r="M243" s="97">
        <f t="shared" si="34"/>
        <v>320544</v>
      </c>
      <c r="N243" s="97">
        <f t="shared" si="39"/>
        <v>40068</v>
      </c>
      <c r="O243" s="70">
        <v>320544</v>
      </c>
      <c r="P243" s="65">
        <v>506130</v>
      </c>
      <c r="Q243" s="65">
        <f t="shared" si="35"/>
        <v>111348.6</v>
      </c>
      <c r="R243" s="65">
        <f t="shared" si="36"/>
        <v>617478.6</v>
      </c>
      <c r="S243" s="272"/>
      <c r="T243" s="64">
        <v>15</v>
      </c>
      <c r="U243" s="274"/>
      <c r="V243" s="38">
        <v>581091</v>
      </c>
      <c r="W243" s="38">
        <f t="shared" si="37"/>
        <v>127840.02</v>
      </c>
      <c r="X243" s="38">
        <f t="shared" si="38"/>
        <v>708931.02</v>
      </c>
    </row>
    <row r="244" spans="1:24" ht="15" customHeight="1" x14ac:dyDescent="0.35">
      <c r="A244" s="56" t="s">
        <v>2482</v>
      </c>
      <c r="B244" s="2">
        <v>226</v>
      </c>
      <c r="C244" s="39">
        <v>10150660</v>
      </c>
      <c r="D244" s="40" t="s">
        <v>1296</v>
      </c>
      <c r="E244" s="40" t="s">
        <v>2172</v>
      </c>
      <c r="F244" s="43">
        <v>3</v>
      </c>
      <c r="G244" s="64" t="s">
        <v>0</v>
      </c>
      <c r="H244" s="42" t="s">
        <v>494</v>
      </c>
      <c r="I244" s="94" t="s">
        <v>1316</v>
      </c>
      <c r="J244" s="63" t="s">
        <v>1917</v>
      </c>
      <c r="K244" s="63" t="s">
        <v>961</v>
      </c>
      <c r="L244" s="69" t="s">
        <v>950</v>
      </c>
      <c r="M244" s="97">
        <f t="shared" si="34"/>
        <v>13048.56</v>
      </c>
      <c r="N244" s="97">
        <f t="shared" si="39"/>
        <v>4349.5200000000004</v>
      </c>
      <c r="O244" s="70">
        <v>13048.56</v>
      </c>
      <c r="P244" s="65">
        <v>20600</v>
      </c>
      <c r="Q244" s="65">
        <f t="shared" si="35"/>
        <v>4532</v>
      </c>
      <c r="R244" s="65">
        <f t="shared" si="36"/>
        <v>25132</v>
      </c>
      <c r="S244" s="272"/>
      <c r="T244" s="64">
        <v>15</v>
      </c>
      <c r="U244" s="274"/>
      <c r="V244" s="38">
        <v>23655</v>
      </c>
      <c r="W244" s="38">
        <f t="shared" si="37"/>
        <v>5204.1000000000004</v>
      </c>
      <c r="X244" s="38">
        <f t="shared" si="38"/>
        <v>28859.1</v>
      </c>
    </row>
    <row r="245" spans="1:24" ht="30" customHeight="1" x14ac:dyDescent="0.35">
      <c r="A245" s="56" t="s">
        <v>2483</v>
      </c>
      <c r="B245" s="2">
        <v>227</v>
      </c>
      <c r="C245" s="39">
        <v>10145042</v>
      </c>
      <c r="D245" s="40" t="s">
        <v>1297</v>
      </c>
      <c r="E245" s="40" t="s">
        <v>2174</v>
      </c>
      <c r="F245" s="43">
        <v>3</v>
      </c>
      <c r="G245" s="64" t="s">
        <v>0</v>
      </c>
      <c r="H245" s="42" t="s">
        <v>494</v>
      </c>
      <c r="I245" s="94" t="s">
        <v>1316</v>
      </c>
      <c r="J245" s="63" t="s">
        <v>1917</v>
      </c>
      <c r="K245" s="63" t="s">
        <v>961</v>
      </c>
      <c r="L245" s="69" t="s">
        <v>950</v>
      </c>
      <c r="M245" s="70">
        <f t="shared" si="34"/>
        <v>781706.06</v>
      </c>
      <c r="N245" s="96">
        <f t="shared" si="39"/>
        <v>260568.69</v>
      </c>
      <c r="O245" s="70">
        <v>781706.06</v>
      </c>
      <c r="P245" s="65">
        <v>1234290</v>
      </c>
      <c r="Q245" s="65">
        <f t="shared" si="35"/>
        <v>271543.8</v>
      </c>
      <c r="R245" s="65">
        <f t="shared" si="36"/>
        <v>1505833.8</v>
      </c>
      <c r="S245" s="272"/>
      <c r="T245" s="64">
        <v>15</v>
      </c>
      <c r="U245" s="274"/>
      <c r="V245" s="38">
        <v>1417099</v>
      </c>
      <c r="W245" s="38">
        <f t="shared" si="37"/>
        <v>311761.78000000003</v>
      </c>
      <c r="X245" s="38">
        <f t="shared" si="38"/>
        <v>1728860.78</v>
      </c>
    </row>
    <row r="246" spans="1:24" ht="23.15" customHeight="1" x14ac:dyDescent="0.35">
      <c r="A246" s="56" t="s">
        <v>2484</v>
      </c>
      <c r="B246" s="2">
        <v>228</v>
      </c>
      <c r="C246" s="39">
        <v>10037659</v>
      </c>
      <c r="D246" s="40" t="s">
        <v>1298</v>
      </c>
      <c r="E246" s="40" t="s">
        <v>2174</v>
      </c>
      <c r="F246" s="43">
        <f>16-2-1</f>
        <v>13</v>
      </c>
      <c r="G246" s="64" t="s">
        <v>0</v>
      </c>
      <c r="H246" s="42" t="s">
        <v>494</v>
      </c>
      <c r="I246" s="94" t="s">
        <v>1316</v>
      </c>
      <c r="J246" s="63" t="s">
        <v>1917</v>
      </c>
      <c r="K246" s="63" t="s">
        <v>961</v>
      </c>
      <c r="L246" s="69" t="s">
        <v>950</v>
      </c>
      <c r="M246" s="70">
        <f t="shared" ref="M246:M305" si="40">O246</f>
        <v>379773.55</v>
      </c>
      <c r="N246" s="70">
        <f t="shared" si="39"/>
        <v>29213.35</v>
      </c>
      <c r="O246" s="70">
        <f>467413.6/16*13</f>
        <v>379773.55</v>
      </c>
      <c r="P246" s="65">
        <v>599650</v>
      </c>
      <c r="Q246" s="65">
        <f t="shared" si="35"/>
        <v>131923</v>
      </c>
      <c r="R246" s="65">
        <f t="shared" si="36"/>
        <v>731573</v>
      </c>
      <c r="S246" s="272"/>
      <c r="T246" s="64">
        <v>15</v>
      </c>
      <c r="U246" s="274"/>
      <c r="V246" s="38">
        <v>688464</v>
      </c>
      <c r="W246" s="38">
        <f t="shared" si="37"/>
        <v>151462.07999999999</v>
      </c>
      <c r="X246" s="38">
        <f t="shared" si="38"/>
        <v>839926.08</v>
      </c>
    </row>
    <row r="247" spans="1:24" ht="29.15" customHeight="1" x14ac:dyDescent="0.35">
      <c r="A247" s="56" t="s">
        <v>2485</v>
      </c>
      <c r="B247" s="2">
        <v>229</v>
      </c>
      <c r="C247" s="39">
        <v>10155502</v>
      </c>
      <c r="D247" s="40" t="s">
        <v>1299</v>
      </c>
      <c r="E247" s="40" t="s">
        <v>2174</v>
      </c>
      <c r="F247" s="43">
        <v>2</v>
      </c>
      <c r="G247" s="64" t="s">
        <v>0</v>
      </c>
      <c r="H247" s="42" t="s">
        <v>494</v>
      </c>
      <c r="I247" s="94" t="s">
        <v>1316</v>
      </c>
      <c r="J247" s="63" t="s">
        <v>1917</v>
      </c>
      <c r="K247" s="63" t="s">
        <v>961</v>
      </c>
      <c r="L247" s="69" t="s">
        <v>950</v>
      </c>
      <c r="M247" s="70">
        <f t="shared" si="40"/>
        <v>120907.79</v>
      </c>
      <c r="N247" s="70">
        <f t="shared" si="39"/>
        <v>60453.9</v>
      </c>
      <c r="O247" s="70">
        <v>120907.79</v>
      </c>
      <c r="P247" s="65">
        <v>190910</v>
      </c>
      <c r="Q247" s="65">
        <f t="shared" si="35"/>
        <v>42000.2</v>
      </c>
      <c r="R247" s="65">
        <f t="shared" si="36"/>
        <v>232910.2</v>
      </c>
      <c r="S247" s="272"/>
      <c r="T247" s="64">
        <v>15</v>
      </c>
      <c r="U247" s="274"/>
      <c r="V247" s="38">
        <v>219185</v>
      </c>
      <c r="W247" s="38">
        <f t="shared" si="37"/>
        <v>48220.7</v>
      </c>
      <c r="X247" s="38">
        <f t="shared" si="38"/>
        <v>267405.7</v>
      </c>
    </row>
    <row r="248" spans="1:24" ht="30" customHeight="1" x14ac:dyDescent="0.35">
      <c r="A248" s="56" t="s">
        <v>2486</v>
      </c>
      <c r="B248" s="2">
        <v>230</v>
      </c>
      <c r="C248" s="39">
        <v>10143624</v>
      </c>
      <c r="D248" s="40" t="s">
        <v>1300</v>
      </c>
      <c r="E248" s="40" t="s">
        <v>2172</v>
      </c>
      <c r="F248" s="43">
        <v>24</v>
      </c>
      <c r="G248" s="64" t="s">
        <v>0</v>
      </c>
      <c r="H248" s="42" t="s">
        <v>494</v>
      </c>
      <c r="I248" s="94" t="s">
        <v>1316</v>
      </c>
      <c r="J248" s="63" t="s">
        <v>1917</v>
      </c>
      <c r="K248" s="63" t="s">
        <v>961</v>
      </c>
      <c r="L248" s="69" t="s">
        <v>950</v>
      </c>
      <c r="M248" s="70">
        <f t="shared" si="40"/>
        <v>79687.820000000007</v>
      </c>
      <c r="N248" s="70">
        <f t="shared" si="39"/>
        <v>3320.33</v>
      </c>
      <c r="O248" s="70">
        <v>79687.820000000007</v>
      </c>
      <c r="P248" s="65">
        <v>125820</v>
      </c>
      <c r="Q248" s="65">
        <f t="shared" si="35"/>
        <v>27680.400000000001</v>
      </c>
      <c r="R248" s="65">
        <f t="shared" si="36"/>
        <v>153500.4</v>
      </c>
      <c r="S248" s="272"/>
      <c r="T248" s="64">
        <v>15</v>
      </c>
      <c r="U248" s="274"/>
      <c r="V248" s="38">
        <v>144460</v>
      </c>
      <c r="W248" s="38">
        <f t="shared" si="37"/>
        <v>31781.200000000001</v>
      </c>
      <c r="X248" s="38">
        <f t="shared" si="38"/>
        <v>176241.2</v>
      </c>
    </row>
    <row r="249" spans="1:24" ht="30" customHeight="1" x14ac:dyDescent="0.35">
      <c r="A249" s="56" t="s">
        <v>2487</v>
      </c>
      <c r="B249" s="2">
        <v>231</v>
      </c>
      <c r="C249" s="39">
        <v>10143515</v>
      </c>
      <c r="D249" s="40" t="s">
        <v>1301</v>
      </c>
      <c r="E249" s="40" t="s">
        <v>2174</v>
      </c>
      <c r="F249" s="43">
        <v>4</v>
      </c>
      <c r="G249" s="64" t="s">
        <v>0</v>
      </c>
      <c r="H249" s="42" t="s">
        <v>494</v>
      </c>
      <c r="I249" s="94" t="s">
        <v>1316</v>
      </c>
      <c r="J249" s="63" t="s">
        <v>1917</v>
      </c>
      <c r="K249" s="63" t="s">
        <v>961</v>
      </c>
      <c r="L249" s="69" t="s">
        <v>950</v>
      </c>
      <c r="M249" s="70">
        <f t="shared" si="40"/>
        <v>279535.53000000003</v>
      </c>
      <c r="N249" s="70">
        <f t="shared" si="39"/>
        <v>69883.88</v>
      </c>
      <c r="O249" s="70">
        <v>279535.53000000003</v>
      </c>
      <c r="P249" s="65">
        <v>441380</v>
      </c>
      <c r="Q249" s="65">
        <f t="shared" si="35"/>
        <v>97103.6</v>
      </c>
      <c r="R249" s="65">
        <f t="shared" si="36"/>
        <v>538483.6</v>
      </c>
      <c r="S249" s="272"/>
      <c r="T249" s="64">
        <v>15</v>
      </c>
      <c r="U249" s="274"/>
      <c r="V249" s="38">
        <v>506750</v>
      </c>
      <c r="W249" s="38">
        <f t="shared" si="37"/>
        <v>111485</v>
      </c>
      <c r="X249" s="38">
        <f t="shared" si="38"/>
        <v>618235</v>
      </c>
    </row>
    <row r="250" spans="1:24" ht="45" customHeight="1" x14ac:dyDescent="0.35">
      <c r="A250" s="56" t="s">
        <v>2488</v>
      </c>
      <c r="B250" s="2">
        <v>232</v>
      </c>
      <c r="C250" s="77">
        <v>10151109</v>
      </c>
      <c r="D250" s="74" t="s">
        <v>1754</v>
      </c>
      <c r="E250" s="74" t="s">
        <v>2167</v>
      </c>
      <c r="F250" s="75">
        <v>4</v>
      </c>
      <c r="G250" s="64" t="s">
        <v>0</v>
      </c>
      <c r="H250" s="78">
        <v>41501</v>
      </c>
      <c r="I250" s="4" t="s">
        <v>957</v>
      </c>
      <c r="J250" s="63" t="s">
        <v>1362</v>
      </c>
      <c r="K250" s="63" t="s">
        <v>961</v>
      </c>
      <c r="L250" s="69" t="s">
        <v>950</v>
      </c>
      <c r="M250" s="70">
        <f t="shared" si="40"/>
        <v>107437.96</v>
      </c>
      <c r="N250" s="70">
        <f t="shared" si="39"/>
        <v>26859.49</v>
      </c>
      <c r="O250" s="70">
        <v>107437.96</v>
      </c>
      <c r="P250" s="65">
        <v>164290</v>
      </c>
      <c r="Q250" s="65">
        <f t="shared" si="35"/>
        <v>36143.800000000003</v>
      </c>
      <c r="R250" s="65">
        <f t="shared" si="36"/>
        <v>200433.8</v>
      </c>
      <c r="S250" s="272"/>
      <c r="T250" s="64">
        <v>15</v>
      </c>
      <c r="U250" s="274"/>
      <c r="V250" s="38">
        <v>188628</v>
      </c>
      <c r="W250" s="38">
        <f t="shared" si="37"/>
        <v>41498.160000000003</v>
      </c>
      <c r="X250" s="38">
        <f t="shared" si="38"/>
        <v>230126.16</v>
      </c>
    </row>
    <row r="251" spans="1:24" ht="15" customHeight="1" x14ac:dyDescent="0.35">
      <c r="A251" s="56" t="s">
        <v>2489</v>
      </c>
      <c r="B251" s="2">
        <v>233</v>
      </c>
      <c r="C251" s="77">
        <v>10151192</v>
      </c>
      <c r="D251" s="74" t="s">
        <v>1756</v>
      </c>
      <c r="E251" s="74" t="s">
        <v>2176</v>
      </c>
      <c r="F251" s="75">
        <f>7-1</f>
        <v>6</v>
      </c>
      <c r="G251" s="64" t="s">
        <v>0</v>
      </c>
      <c r="H251" s="78">
        <v>41501</v>
      </c>
      <c r="I251" s="4" t="s">
        <v>957</v>
      </c>
      <c r="J251" s="63" t="s">
        <v>1936</v>
      </c>
      <c r="K251" s="63" t="s">
        <v>961</v>
      </c>
      <c r="L251" s="69" t="s">
        <v>950</v>
      </c>
      <c r="M251" s="70">
        <f t="shared" si="40"/>
        <v>238372.86</v>
      </c>
      <c r="N251" s="70">
        <f t="shared" si="39"/>
        <v>39728.81</v>
      </c>
      <c r="O251" s="70">
        <f>278101.67/7*6</f>
        <v>238372.86</v>
      </c>
      <c r="P251" s="65">
        <v>364520</v>
      </c>
      <c r="Q251" s="65">
        <f t="shared" si="35"/>
        <v>80194.399999999994</v>
      </c>
      <c r="R251" s="65">
        <f t="shared" si="36"/>
        <v>444714.4</v>
      </c>
      <c r="S251" s="272"/>
      <c r="T251" s="64">
        <v>15</v>
      </c>
      <c r="U251" s="274"/>
      <c r="V251" s="38">
        <v>418509</v>
      </c>
      <c r="W251" s="38">
        <f t="shared" si="37"/>
        <v>92071.98</v>
      </c>
      <c r="X251" s="38">
        <f t="shared" si="38"/>
        <v>510580.98</v>
      </c>
    </row>
    <row r="252" spans="1:24" ht="15" customHeight="1" x14ac:dyDescent="0.35">
      <c r="A252" s="56" t="s">
        <v>2490</v>
      </c>
      <c r="B252" s="2">
        <v>234</v>
      </c>
      <c r="C252" s="77">
        <v>10104572</v>
      </c>
      <c r="D252" s="74" t="s">
        <v>1759</v>
      </c>
      <c r="E252" s="74" t="s">
        <v>2167</v>
      </c>
      <c r="F252" s="75">
        <v>2</v>
      </c>
      <c r="G252" s="64" t="s">
        <v>0</v>
      </c>
      <c r="H252" s="78">
        <v>40527</v>
      </c>
      <c r="I252" s="4" t="s">
        <v>957</v>
      </c>
      <c r="J252" s="63" t="s">
        <v>1917</v>
      </c>
      <c r="K252" s="63" t="s">
        <v>961</v>
      </c>
      <c r="L252" s="69" t="s">
        <v>950</v>
      </c>
      <c r="M252" s="70">
        <f t="shared" si="40"/>
        <v>98964.34</v>
      </c>
      <c r="N252" s="70">
        <f t="shared" si="39"/>
        <v>49482.17</v>
      </c>
      <c r="O252" s="70">
        <v>98964.34</v>
      </c>
      <c r="P252" s="65">
        <v>169250</v>
      </c>
      <c r="Q252" s="65">
        <f t="shared" si="35"/>
        <v>37235</v>
      </c>
      <c r="R252" s="65">
        <f t="shared" si="36"/>
        <v>206485</v>
      </c>
      <c r="S252" s="272"/>
      <c r="T252" s="64">
        <v>15</v>
      </c>
      <c r="U252" s="274"/>
      <c r="V252" s="38">
        <v>194313</v>
      </c>
      <c r="W252" s="38">
        <f t="shared" si="37"/>
        <v>42748.86</v>
      </c>
      <c r="X252" s="38">
        <f t="shared" si="38"/>
        <v>237061.86</v>
      </c>
    </row>
    <row r="253" spans="1:24" ht="15" customHeight="1" x14ac:dyDescent="0.35">
      <c r="A253" s="56" t="s">
        <v>2491</v>
      </c>
      <c r="B253" s="2">
        <v>235</v>
      </c>
      <c r="C253" s="77">
        <v>10145042</v>
      </c>
      <c r="D253" s="74" t="s">
        <v>1761</v>
      </c>
      <c r="E253" s="74" t="s">
        <v>2167</v>
      </c>
      <c r="F253" s="75">
        <v>2</v>
      </c>
      <c r="G253" s="64" t="s">
        <v>0</v>
      </c>
      <c r="H253" s="78">
        <v>42586</v>
      </c>
      <c r="I253" s="4" t="s">
        <v>957</v>
      </c>
      <c r="J253" s="63" t="s">
        <v>1934</v>
      </c>
      <c r="K253" s="63" t="s">
        <v>961</v>
      </c>
      <c r="L253" s="69" t="s">
        <v>950</v>
      </c>
      <c r="M253" s="70">
        <f t="shared" si="40"/>
        <v>540460.41</v>
      </c>
      <c r="N253" s="70">
        <f t="shared" si="39"/>
        <v>270230.21000000002</v>
      </c>
      <c r="O253" s="70">
        <v>540460.41</v>
      </c>
      <c r="P253" s="65">
        <v>853370</v>
      </c>
      <c r="Q253" s="65">
        <f t="shared" si="35"/>
        <v>187741.4</v>
      </c>
      <c r="R253" s="65">
        <f t="shared" si="36"/>
        <v>1041111.4</v>
      </c>
      <c r="S253" s="272"/>
      <c r="T253" s="64">
        <v>15</v>
      </c>
      <c r="U253" s="274"/>
      <c r="V253" s="38">
        <v>979762</v>
      </c>
      <c r="W253" s="38">
        <f t="shared" si="37"/>
        <v>215547.64</v>
      </c>
      <c r="X253" s="38">
        <f t="shared" si="38"/>
        <v>1195309.6399999999</v>
      </c>
    </row>
    <row r="254" spans="1:24" ht="30" customHeight="1" x14ac:dyDescent="0.35">
      <c r="A254" s="56" t="s">
        <v>2492</v>
      </c>
      <c r="B254" s="2">
        <v>236</v>
      </c>
      <c r="C254" s="77">
        <v>10151193</v>
      </c>
      <c r="D254" s="74" t="s">
        <v>1764</v>
      </c>
      <c r="E254" s="74" t="s">
        <v>2167</v>
      </c>
      <c r="F254" s="75">
        <v>70</v>
      </c>
      <c r="G254" s="64" t="s">
        <v>0</v>
      </c>
      <c r="H254" s="78">
        <v>42179</v>
      </c>
      <c r="I254" s="4" t="s">
        <v>957</v>
      </c>
      <c r="J254" s="63" t="s">
        <v>1935</v>
      </c>
      <c r="K254" s="63" t="s">
        <v>961</v>
      </c>
      <c r="L254" s="69" t="s">
        <v>950</v>
      </c>
      <c r="M254" s="70">
        <f t="shared" si="40"/>
        <v>3561848.5</v>
      </c>
      <c r="N254" s="70">
        <f t="shared" si="39"/>
        <v>50883.55</v>
      </c>
      <c r="O254" s="70">
        <v>3561848.5</v>
      </c>
      <c r="P254" s="65">
        <v>5129110</v>
      </c>
      <c r="Q254" s="65">
        <f t="shared" si="35"/>
        <v>1128404.2</v>
      </c>
      <c r="R254" s="65">
        <f t="shared" si="36"/>
        <v>6257514.2000000002</v>
      </c>
      <c r="S254" s="272"/>
      <c r="T254" s="64">
        <v>15</v>
      </c>
      <c r="U254" s="274"/>
      <c r="V254" s="38">
        <v>5888759</v>
      </c>
      <c r="W254" s="38">
        <f t="shared" si="37"/>
        <v>1295526.98</v>
      </c>
      <c r="X254" s="38">
        <f t="shared" si="38"/>
        <v>7184285.9800000004</v>
      </c>
    </row>
    <row r="255" spans="1:24" ht="30" customHeight="1" x14ac:dyDescent="0.35">
      <c r="A255" s="56" t="s">
        <v>2493</v>
      </c>
      <c r="B255" s="2">
        <v>237</v>
      </c>
      <c r="C255" s="77">
        <v>10104567</v>
      </c>
      <c r="D255" s="74" t="s">
        <v>1765</v>
      </c>
      <c r="E255" s="74" t="s">
        <v>2167</v>
      </c>
      <c r="F255" s="75">
        <v>2</v>
      </c>
      <c r="G255" s="64" t="s">
        <v>0</v>
      </c>
      <c r="H255" s="78">
        <v>40157</v>
      </c>
      <c r="I255" s="4" t="s">
        <v>957</v>
      </c>
      <c r="J255" s="63" t="s">
        <v>1917</v>
      </c>
      <c r="K255" s="63" t="s">
        <v>961</v>
      </c>
      <c r="L255" s="69" t="s">
        <v>950</v>
      </c>
      <c r="M255" s="70">
        <f t="shared" si="40"/>
        <v>83793.08</v>
      </c>
      <c r="N255" s="70">
        <f t="shared" si="39"/>
        <v>41896.54</v>
      </c>
      <c r="O255" s="70">
        <v>83793.08</v>
      </c>
      <c r="P255" s="65">
        <v>155870</v>
      </c>
      <c r="Q255" s="65">
        <f t="shared" si="35"/>
        <v>34291.4</v>
      </c>
      <c r="R255" s="65">
        <f t="shared" si="36"/>
        <v>190161.4</v>
      </c>
      <c r="S255" s="272"/>
      <c r="T255" s="64">
        <v>15</v>
      </c>
      <c r="U255" s="274"/>
      <c r="V255" s="38">
        <v>178950</v>
      </c>
      <c r="W255" s="38">
        <f t="shared" si="37"/>
        <v>39369</v>
      </c>
      <c r="X255" s="38">
        <f t="shared" si="38"/>
        <v>218319</v>
      </c>
    </row>
    <row r="256" spans="1:24" ht="30" customHeight="1" x14ac:dyDescent="0.35">
      <c r="A256" s="56" t="s">
        <v>2494</v>
      </c>
      <c r="B256" s="2">
        <v>238</v>
      </c>
      <c r="C256" s="77">
        <v>10151191</v>
      </c>
      <c r="D256" s="74" t="s">
        <v>1842</v>
      </c>
      <c r="E256" s="74" t="s">
        <v>2167</v>
      </c>
      <c r="F256" s="75">
        <f>16-1</f>
        <v>15</v>
      </c>
      <c r="G256" s="64" t="s">
        <v>0</v>
      </c>
      <c r="H256" s="78">
        <v>41501</v>
      </c>
      <c r="I256" s="4" t="s">
        <v>957</v>
      </c>
      <c r="J256" s="63" t="s">
        <v>1917</v>
      </c>
      <c r="K256" s="63" t="s">
        <v>961</v>
      </c>
      <c r="L256" s="69" t="s">
        <v>950</v>
      </c>
      <c r="M256" s="70">
        <f t="shared" si="40"/>
        <v>528435</v>
      </c>
      <c r="N256" s="70">
        <f t="shared" si="39"/>
        <v>35229</v>
      </c>
      <c r="O256" s="70">
        <f>563664/16*15</f>
        <v>528435</v>
      </c>
      <c r="P256" s="65">
        <v>808090</v>
      </c>
      <c r="Q256" s="65">
        <f t="shared" si="35"/>
        <v>177779.8</v>
      </c>
      <c r="R256" s="65">
        <f t="shared" si="36"/>
        <v>985869.8</v>
      </c>
      <c r="S256" s="272"/>
      <c r="T256" s="64">
        <v>15</v>
      </c>
      <c r="U256" s="274"/>
      <c r="V256" s="38">
        <v>927768</v>
      </c>
      <c r="W256" s="38">
        <f t="shared" si="37"/>
        <v>204108.96</v>
      </c>
      <c r="X256" s="38">
        <f t="shared" si="38"/>
        <v>1131876.96</v>
      </c>
    </row>
    <row r="257" spans="1:24" ht="30" customHeight="1" x14ac:dyDescent="0.35">
      <c r="A257" s="56" t="s">
        <v>2495</v>
      </c>
      <c r="B257" s="2">
        <v>239</v>
      </c>
      <c r="C257" s="77">
        <v>10001014</v>
      </c>
      <c r="D257" s="74" t="s">
        <v>1</v>
      </c>
      <c r="E257" s="74" t="s">
        <v>2176</v>
      </c>
      <c r="F257" s="75">
        <f>48-42</f>
        <v>6</v>
      </c>
      <c r="G257" s="64" t="s">
        <v>0</v>
      </c>
      <c r="H257" s="78">
        <v>42004</v>
      </c>
      <c r="I257" s="4" t="s">
        <v>957</v>
      </c>
      <c r="J257" s="63" t="s">
        <v>1917</v>
      </c>
      <c r="K257" s="63" t="s">
        <v>961</v>
      </c>
      <c r="L257" s="69" t="s">
        <v>950</v>
      </c>
      <c r="M257" s="70">
        <f t="shared" si="40"/>
        <v>2493.44</v>
      </c>
      <c r="N257" s="70">
        <f t="shared" si="39"/>
        <v>415.57</v>
      </c>
      <c r="O257" s="70">
        <f>19947.51/48*6</f>
        <v>2493.44</v>
      </c>
      <c r="P257" s="65">
        <v>3940</v>
      </c>
      <c r="Q257" s="65">
        <f t="shared" si="35"/>
        <v>866.8</v>
      </c>
      <c r="R257" s="65">
        <f t="shared" si="36"/>
        <v>4806.8</v>
      </c>
      <c r="S257" s="272"/>
      <c r="T257" s="64">
        <v>15</v>
      </c>
      <c r="U257" s="274"/>
      <c r="V257" s="38">
        <v>4520</v>
      </c>
      <c r="W257" s="38">
        <f t="shared" si="37"/>
        <v>994.4</v>
      </c>
      <c r="X257" s="38">
        <f t="shared" si="38"/>
        <v>5514.4</v>
      </c>
    </row>
    <row r="258" spans="1:24" ht="30" customHeight="1" x14ac:dyDescent="0.35">
      <c r="A258" s="56" t="s">
        <v>2496</v>
      </c>
      <c r="B258" s="2">
        <v>240</v>
      </c>
      <c r="C258" s="77">
        <v>10018471</v>
      </c>
      <c r="D258" s="74" t="s">
        <v>1844</v>
      </c>
      <c r="E258" s="74" t="s">
        <v>2167</v>
      </c>
      <c r="F258" s="75">
        <v>1</v>
      </c>
      <c r="G258" s="64" t="s">
        <v>0</v>
      </c>
      <c r="H258" s="78">
        <v>42004</v>
      </c>
      <c r="I258" s="4" t="s">
        <v>957</v>
      </c>
      <c r="J258" s="63" t="s">
        <v>1917</v>
      </c>
      <c r="K258" s="63" t="s">
        <v>961</v>
      </c>
      <c r="L258" s="69" t="s">
        <v>950</v>
      </c>
      <c r="M258" s="70">
        <f t="shared" si="40"/>
        <v>2116.52</v>
      </c>
      <c r="N258" s="70">
        <f t="shared" si="39"/>
        <v>2116.52</v>
      </c>
      <c r="O258" s="70">
        <v>2116.52</v>
      </c>
      <c r="P258" s="65">
        <v>3340</v>
      </c>
      <c r="Q258" s="65">
        <f t="shared" si="35"/>
        <v>734.8</v>
      </c>
      <c r="R258" s="65">
        <f t="shared" si="36"/>
        <v>4074.8</v>
      </c>
      <c r="S258" s="272"/>
      <c r="T258" s="64">
        <v>15</v>
      </c>
      <c r="U258" s="274"/>
      <c r="V258" s="38">
        <v>3837</v>
      </c>
      <c r="W258" s="38">
        <f t="shared" si="37"/>
        <v>844.14</v>
      </c>
      <c r="X258" s="38">
        <f t="shared" si="38"/>
        <v>4681.1400000000003</v>
      </c>
    </row>
    <row r="259" spans="1:24" ht="30" customHeight="1" x14ac:dyDescent="0.35">
      <c r="A259" s="56" t="s">
        <v>2497</v>
      </c>
      <c r="B259" s="2">
        <v>241</v>
      </c>
      <c r="C259" s="59">
        <v>10150033</v>
      </c>
      <c r="D259" s="59" t="s">
        <v>516</v>
      </c>
      <c r="E259" s="59" t="s">
        <v>2167</v>
      </c>
      <c r="F259" s="79">
        <v>0.108</v>
      </c>
      <c r="G259" s="64" t="s">
        <v>3</v>
      </c>
      <c r="H259" s="80">
        <v>42461</v>
      </c>
      <c r="I259" s="59" t="s">
        <v>957</v>
      </c>
      <c r="J259" s="63" t="s">
        <v>954</v>
      </c>
      <c r="K259" s="63" t="s">
        <v>961</v>
      </c>
      <c r="L259" s="63" t="s">
        <v>950</v>
      </c>
      <c r="M259" s="76">
        <f t="shared" si="40"/>
        <v>5052.97</v>
      </c>
      <c r="N259" s="76">
        <f t="shared" si="39"/>
        <v>46786.76</v>
      </c>
      <c r="O259" s="76">
        <v>5052.97</v>
      </c>
      <c r="P259" s="65">
        <v>7050</v>
      </c>
      <c r="Q259" s="65">
        <f t="shared" si="35"/>
        <v>1551</v>
      </c>
      <c r="R259" s="65">
        <f t="shared" si="36"/>
        <v>8601</v>
      </c>
      <c r="S259" s="272"/>
      <c r="T259" s="64">
        <v>15</v>
      </c>
      <c r="U259" s="274"/>
      <c r="V259" s="38">
        <v>8099</v>
      </c>
      <c r="W259" s="38">
        <f t="shared" si="37"/>
        <v>1781.78</v>
      </c>
      <c r="X259" s="38">
        <f t="shared" si="38"/>
        <v>9880.7800000000007</v>
      </c>
    </row>
    <row r="260" spans="1:24" ht="52.5" customHeight="1" x14ac:dyDescent="0.35">
      <c r="A260" s="56" t="s">
        <v>2498</v>
      </c>
      <c r="B260" s="2">
        <v>242</v>
      </c>
      <c r="C260" s="11">
        <v>10001040</v>
      </c>
      <c r="D260" s="3" t="s">
        <v>1380</v>
      </c>
      <c r="E260" s="59" t="s">
        <v>2167</v>
      </c>
      <c r="F260" s="14">
        <f>3-2</f>
        <v>1</v>
      </c>
      <c r="G260" s="64" t="s">
        <v>0</v>
      </c>
      <c r="H260" s="5">
        <v>41487</v>
      </c>
      <c r="I260" s="4" t="s">
        <v>957</v>
      </c>
      <c r="J260" s="6" t="s">
        <v>1388</v>
      </c>
      <c r="K260" s="63" t="s">
        <v>961</v>
      </c>
      <c r="L260" s="69" t="s">
        <v>950</v>
      </c>
      <c r="M260" s="70">
        <f t="shared" si="40"/>
        <v>19160.46</v>
      </c>
      <c r="N260" s="70">
        <f t="shared" si="39"/>
        <v>19160.46</v>
      </c>
      <c r="O260" s="70">
        <f>57481.37/3*1</f>
        <v>19160.46</v>
      </c>
      <c r="P260" s="65">
        <v>29300</v>
      </c>
      <c r="Q260" s="65">
        <f t="shared" ref="Q260:Q319" si="41">P260*0.22</f>
        <v>6446</v>
      </c>
      <c r="R260" s="65">
        <f t="shared" ref="R260:R319" si="42">P260+Q260</f>
        <v>35746</v>
      </c>
      <c r="S260" s="272"/>
      <c r="T260" s="64">
        <v>15</v>
      </c>
      <c r="U260" s="274"/>
      <c r="V260" s="38">
        <v>33640</v>
      </c>
      <c r="W260" s="38">
        <f t="shared" ref="W260:W319" si="43">V260*0.22</f>
        <v>7400.8</v>
      </c>
      <c r="X260" s="38">
        <f t="shared" si="38"/>
        <v>41040.800000000003</v>
      </c>
    </row>
    <row r="261" spans="1:24" ht="30" customHeight="1" x14ac:dyDescent="0.35">
      <c r="A261" s="56" t="s">
        <v>2499</v>
      </c>
      <c r="B261" s="2">
        <v>243</v>
      </c>
      <c r="C261" s="11">
        <v>10108121</v>
      </c>
      <c r="D261" s="3" t="s">
        <v>1381</v>
      </c>
      <c r="E261" s="59" t="s">
        <v>2167</v>
      </c>
      <c r="F261" s="14">
        <v>6</v>
      </c>
      <c r="G261" s="64" t="s">
        <v>0</v>
      </c>
      <c r="H261" s="5">
        <v>41487</v>
      </c>
      <c r="I261" s="4" t="s">
        <v>957</v>
      </c>
      <c r="J261" s="6" t="s">
        <v>1388</v>
      </c>
      <c r="K261" s="63" t="s">
        <v>961</v>
      </c>
      <c r="L261" s="69" t="s">
        <v>950</v>
      </c>
      <c r="M261" s="70">
        <f t="shared" si="40"/>
        <v>118960.75</v>
      </c>
      <c r="N261" s="70">
        <f t="shared" si="39"/>
        <v>19826.79</v>
      </c>
      <c r="O261" s="70">
        <v>118960.75</v>
      </c>
      <c r="P261" s="65">
        <v>181920</v>
      </c>
      <c r="Q261" s="65">
        <f t="shared" si="41"/>
        <v>40022.400000000001</v>
      </c>
      <c r="R261" s="65">
        <f t="shared" si="42"/>
        <v>221942.39999999999</v>
      </c>
      <c r="S261" s="272"/>
      <c r="T261" s="64">
        <v>15</v>
      </c>
      <c r="U261" s="274"/>
      <c r="V261" s="38">
        <v>208858</v>
      </c>
      <c r="W261" s="38">
        <f t="shared" si="43"/>
        <v>45948.76</v>
      </c>
      <c r="X261" s="38">
        <f t="shared" si="38"/>
        <v>254806.76</v>
      </c>
    </row>
    <row r="262" spans="1:24" ht="33.75" customHeight="1" x14ac:dyDescent="0.35">
      <c r="A262" s="56" t="s">
        <v>2500</v>
      </c>
      <c r="B262" s="2">
        <v>244</v>
      </c>
      <c r="C262" s="11">
        <v>10106619</v>
      </c>
      <c r="D262" s="3" t="s">
        <v>1382</v>
      </c>
      <c r="E262" s="59" t="s">
        <v>2167</v>
      </c>
      <c r="F262" s="14">
        <v>2</v>
      </c>
      <c r="G262" s="64" t="s">
        <v>0</v>
      </c>
      <c r="H262" s="5">
        <v>41487</v>
      </c>
      <c r="I262" s="4" t="s">
        <v>957</v>
      </c>
      <c r="J262" s="6" t="s">
        <v>1389</v>
      </c>
      <c r="K262" s="63" t="s">
        <v>961</v>
      </c>
      <c r="L262" s="69" t="s">
        <v>950</v>
      </c>
      <c r="M262" s="70">
        <f t="shared" si="40"/>
        <v>43185.41</v>
      </c>
      <c r="N262" s="70">
        <f t="shared" si="39"/>
        <v>21592.71</v>
      </c>
      <c r="O262" s="70">
        <v>43185.41</v>
      </c>
      <c r="P262" s="65">
        <v>66040</v>
      </c>
      <c r="Q262" s="65">
        <f t="shared" si="41"/>
        <v>14528.8</v>
      </c>
      <c r="R262" s="65">
        <f t="shared" si="42"/>
        <v>80568.800000000003</v>
      </c>
      <c r="S262" s="272"/>
      <c r="T262" s="64">
        <v>15</v>
      </c>
      <c r="U262" s="274"/>
      <c r="V262" s="38">
        <v>75820</v>
      </c>
      <c r="W262" s="38">
        <f t="shared" si="43"/>
        <v>16680.400000000001</v>
      </c>
      <c r="X262" s="38">
        <f t="shared" ref="X262:X321" si="44">V262+W262</f>
        <v>92500.4</v>
      </c>
    </row>
    <row r="263" spans="1:24" ht="30" customHeight="1" x14ac:dyDescent="0.35">
      <c r="A263" s="56" t="s">
        <v>2501</v>
      </c>
      <c r="B263" s="2">
        <v>245</v>
      </c>
      <c r="C263" s="11">
        <v>10143514</v>
      </c>
      <c r="D263" s="3" t="s">
        <v>1383</v>
      </c>
      <c r="E263" s="59" t="s">
        <v>2167</v>
      </c>
      <c r="F263" s="14">
        <v>3</v>
      </c>
      <c r="G263" s="64" t="s">
        <v>0</v>
      </c>
      <c r="H263" s="5">
        <v>41122</v>
      </c>
      <c r="I263" s="4" t="s">
        <v>957</v>
      </c>
      <c r="J263" s="6" t="s">
        <v>1390</v>
      </c>
      <c r="K263" s="63" t="s">
        <v>961</v>
      </c>
      <c r="L263" s="69" t="s">
        <v>950</v>
      </c>
      <c r="M263" s="70">
        <f t="shared" si="40"/>
        <v>626401.81000000006</v>
      </c>
      <c r="N263" s="70">
        <f t="shared" si="39"/>
        <v>208800.6</v>
      </c>
      <c r="O263" s="70">
        <v>626401.81000000006</v>
      </c>
      <c r="P263" s="65">
        <v>986240</v>
      </c>
      <c r="Q263" s="65">
        <f t="shared" si="41"/>
        <v>216972.79999999999</v>
      </c>
      <c r="R263" s="65">
        <f t="shared" si="42"/>
        <v>1203212.8</v>
      </c>
      <c r="S263" s="272"/>
      <c r="T263" s="64">
        <v>15</v>
      </c>
      <c r="U263" s="274"/>
      <c r="V263" s="38">
        <v>1132305</v>
      </c>
      <c r="W263" s="38">
        <f t="shared" si="43"/>
        <v>249107.1</v>
      </c>
      <c r="X263" s="38">
        <f t="shared" si="44"/>
        <v>1381412.1</v>
      </c>
    </row>
    <row r="264" spans="1:24" ht="30" customHeight="1" x14ac:dyDescent="0.35">
      <c r="A264" s="56" t="s">
        <v>2502</v>
      </c>
      <c r="B264" s="2">
        <v>246</v>
      </c>
      <c r="C264" s="11">
        <v>10143548</v>
      </c>
      <c r="D264" s="3" t="s">
        <v>131</v>
      </c>
      <c r="E264" s="59" t="s">
        <v>2167</v>
      </c>
      <c r="F264" s="14">
        <f>407-1-8-70-30-1-10</f>
        <v>287</v>
      </c>
      <c r="G264" s="64" t="s">
        <v>0</v>
      </c>
      <c r="H264" s="5">
        <v>41122</v>
      </c>
      <c r="I264" s="4" t="s">
        <v>957</v>
      </c>
      <c r="J264" s="6" t="s">
        <v>1387</v>
      </c>
      <c r="K264" s="63" t="s">
        <v>961</v>
      </c>
      <c r="L264" s="69" t="s">
        <v>950</v>
      </c>
      <c r="M264" s="70">
        <f t="shared" si="40"/>
        <v>2402738.71</v>
      </c>
      <c r="N264" s="70">
        <f>O264/F264</f>
        <v>8371.91</v>
      </c>
      <c r="O264" s="70">
        <f>3398996.23/406*287</f>
        <v>2402738.71</v>
      </c>
      <c r="P264" s="65">
        <v>3782990</v>
      </c>
      <c r="Q264" s="65">
        <f t="shared" si="41"/>
        <v>832257.8</v>
      </c>
      <c r="R264" s="65">
        <f t="shared" si="42"/>
        <v>4615247.8</v>
      </c>
      <c r="S264" s="272"/>
      <c r="T264" s="64">
        <v>15</v>
      </c>
      <c r="U264" s="274"/>
      <c r="V264" s="38">
        <v>4343272</v>
      </c>
      <c r="W264" s="38">
        <f t="shared" si="43"/>
        <v>955519.84</v>
      </c>
      <c r="X264" s="38">
        <f t="shared" si="44"/>
        <v>5298791.84</v>
      </c>
    </row>
    <row r="265" spans="1:24" ht="30" customHeight="1" x14ac:dyDescent="0.35">
      <c r="A265" s="56" t="s">
        <v>2503</v>
      </c>
      <c r="B265" s="2">
        <v>247</v>
      </c>
      <c r="C265" s="11">
        <v>10143629</v>
      </c>
      <c r="D265" s="3" t="s">
        <v>1384</v>
      </c>
      <c r="E265" s="59" t="s">
        <v>2167</v>
      </c>
      <c r="F265" s="14">
        <v>81</v>
      </c>
      <c r="G265" s="64" t="s">
        <v>0</v>
      </c>
      <c r="H265" s="5">
        <v>41122</v>
      </c>
      <c r="I265" s="4" t="s">
        <v>957</v>
      </c>
      <c r="J265" s="6" t="s">
        <v>1388</v>
      </c>
      <c r="K265" s="63" t="s">
        <v>961</v>
      </c>
      <c r="L265" s="69" t="s">
        <v>950</v>
      </c>
      <c r="M265" s="70">
        <f t="shared" si="40"/>
        <v>745793.94</v>
      </c>
      <c r="N265" s="70">
        <f>O265/F265</f>
        <v>9207.33</v>
      </c>
      <c r="O265" s="70">
        <v>745793.94</v>
      </c>
      <c r="P265" s="65">
        <v>1174210</v>
      </c>
      <c r="Q265" s="65">
        <f t="shared" si="41"/>
        <v>258326.2</v>
      </c>
      <c r="R265" s="65">
        <f t="shared" si="42"/>
        <v>1432536.2</v>
      </c>
      <c r="S265" s="272"/>
      <c r="T265" s="64">
        <v>15</v>
      </c>
      <c r="U265" s="274"/>
      <c r="V265" s="38">
        <v>1348122</v>
      </c>
      <c r="W265" s="38">
        <f t="shared" si="43"/>
        <v>296586.84000000003</v>
      </c>
      <c r="X265" s="38">
        <f t="shared" si="44"/>
        <v>1644708.84</v>
      </c>
    </row>
    <row r="266" spans="1:24" ht="30" customHeight="1" x14ac:dyDescent="0.35">
      <c r="A266" s="56" t="s">
        <v>2504</v>
      </c>
      <c r="B266" s="2">
        <v>248</v>
      </c>
      <c r="C266" s="11">
        <v>10143515</v>
      </c>
      <c r="D266" s="3" t="s">
        <v>1301</v>
      </c>
      <c r="E266" s="59" t="s">
        <v>2167</v>
      </c>
      <c r="F266" s="14">
        <v>7</v>
      </c>
      <c r="G266" s="64" t="s">
        <v>0</v>
      </c>
      <c r="H266" s="5">
        <v>41122</v>
      </c>
      <c r="I266" s="4" t="s">
        <v>957</v>
      </c>
      <c r="J266" s="6" t="s">
        <v>1391</v>
      </c>
      <c r="K266" s="63" t="s">
        <v>961</v>
      </c>
      <c r="L266" s="69" t="s">
        <v>950</v>
      </c>
      <c r="M266" s="70">
        <f t="shared" si="40"/>
        <v>490457.13</v>
      </c>
      <c r="N266" s="70">
        <f>O266/F266</f>
        <v>70065.3</v>
      </c>
      <c r="O266" s="70">
        <v>490457.13</v>
      </c>
      <c r="P266" s="65">
        <v>774420</v>
      </c>
      <c r="Q266" s="65">
        <f t="shared" si="41"/>
        <v>170372.4</v>
      </c>
      <c r="R266" s="65">
        <f t="shared" si="42"/>
        <v>944792.4</v>
      </c>
      <c r="S266" s="276"/>
      <c r="T266" s="64">
        <v>15</v>
      </c>
      <c r="U266" s="274"/>
      <c r="V266" s="38">
        <v>889114</v>
      </c>
      <c r="W266" s="38">
        <f t="shared" si="43"/>
        <v>195605.08</v>
      </c>
      <c r="X266" s="38">
        <f t="shared" si="44"/>
        <v>1084719.08</v>
      </c>
    </row>
    <row r="267" spans="1:24" ht="15" customHeight="1" x14ac:dyDescent="0.35">
      <c r="A267" s="56"/>
      <c r="B267" s="15"/>
      <c r="C267" s="11"/>
      <c r="D267" s="3"/>
      <c r="E267" s="59"/>
      <c r="F267" s="14"/>
      <c r="G267" s="64"/>
      <c r="H267" s="5"/>
      <c r="I267" s="4"/>
      <c r="J267" s="6"/>
      <c r="K267" s="63"/>
      <c r="L267" s="69"/>
      <c r="M267" s="70"/>
      <c r="N267" s="70"/>
      <c r="O267" s="71">
        <f>SUM(O172:O266)</f>
        <v>15275386.74</v>
      </c>
      <c r="P267" s="71">
        <f t="shared" ref="P267:R267" si="45">SUM(P172:P266)</f>
        <v>23461010</v>
      </c>
      <c r="Q267" s="71">
        <f t="shared" si="45"/>
        <v>5161422.2</v>
      </c>
      <c r="R267" s="71">
        <f t="shared" si="45"/>
        <v>28622432.199999999</v>
      </c>
      <c r="S267" s="72">
        <f>R267/100*10</f>
        <v>2862243.22</v>
      </c>
      <c r="T267" s="73">
        <v>15</v>
      </c>
      <c r="U267" s="275"/>
      <c r="V267" s="38"/>
      <c r="W267" s="38"/>
      <c r="X267" s="38"/>
    </row>
    <row r="268" spans="1:24" ht="39" customHeight="1" x14ac:dyDescent="0.35">
      <c r="A268" s="56" t="s">
        <v>2505</v>
      </c>
      <c r="B268" s="64">
        <v>249</v>
      </c>
      <c r="C268" s="77">
        <v>10007442</v>
      </c>
      <c r="D268" s="74" t="s">
        <v>279</v>
      </c>
      <c r="E268" s="74" t="s">
        <v>2151</v>
      </c>
      <c r="F268" s="75">
        <v>1</v>
      </c>
      <c r="G268" s="64" t="s">
        <v>0</v>
      </c>
      <c r="H268" s="101" t="s">
        <v>494</v>
      </c>
      <c r="I268" s="61" t="s">
        <v>972</v>
      </c>
      <c r="J268" s="63" t="s">
        <v>1917</v>
      </c>
      <c r="K268" s="61" t="s">
        <v>961</v>
      </c>
      <c r="L268" s="61" t="s">
        <v>845</v>
      </c>
      <c r="M268" s="65">
        <f t="shared" si="40"/>
        <v>442.83</v>
      </c>
      <c r="N268" s="65">
        <f t="shared" ref="N268:N314" si="46">O268/F268</f>
        <v>442.83</v>
      </c>
      <c r="O268" s="65">
        <v>442.83</v>
      </c>
      <c r="P268" s="65">
        <v>410</v>
      </c>
      <c r="Q268" s="65">
        <f t="shared" si="41"/>
        <v>90.2</v>
      </c>
      <c r="R268" s="65">
        <f t="shared" si="42"/>
        <v>500.2</v>
      </c>
      <c r="S268" s="272"/>
      <c r="T268" s="64">
        <v>16</v>
      </c>
      <c r="U268" s="274" t="s">
        <v>2255</v>
      </c>
      <c r="V268" s="38">
        <v>472</v>
      </c>
      <c r="W268" s="38">
        <f t="shared" si="43"/>
        <v>103.84</v>
      </c>
      <c r="X268" s="38">
        <f t="shared" si="44"/>
        <v>575.84</v>
      </c>
    </row>
    <row r="269" spans="1:24" ht="30" customHeight="1" x14ac:dyDescent="0.35">
      <c r="A269" s="56" t="s">
        <v>2506</v>
      </c>
      <c r="B269" s="2">
        <v>250</v>
      </c>
      <c r="C269" s="77">
        <v>10101010</v>
      </c>
      <c r="D269" s="74" t="s">
        <v>281</v>
      </c>
      <c r="E269" s="74" t="s">
        <v>2151</v>
      </c>
      <c r="F269" s="75">
        <v>1</v>
      </c>
      <c r="G269" s="64" t="s">
        <v>0</v>
      </c>
      <c r="H269" s="101" t="s">
        <v>494</v>
      </c>
      <c r="I269" s="61" t="s">
        <v>972</v>
      </c>
      <c r="J269" s="63" t="s">
        <v>1917</v>
      </c>
      <c r="K269" s="61" t="s">
        <v>961</v>
      </c>
      <c r="L269" s="61" t="s">
        <v>845</v>
      </c>
      <c r="M269" s="65">
        <f t="shared" si="40"/>
        <v>2966.1</v>
      </c>
      <c r="N269" s="65">
        <f t="shared" si="46"/>
        <v>2966.1</v>
      </c>
      <c r="O269" s="65">
        <v>2966.1</v>
      </c>
      <c r="P269" s="65">
        <v>2750</v>
      </c>
      <c r="Q269" s="65">
        <f t="shared" si="41"/>
        <v>605</v>
      </c>
      <c r="R269" s="65">
        <f t="shared" si="42"/>
        <v>3355</v>
      </c>
      <c r="S269" s="272"/>
      <c r="T269" s="64">
        <v>16</v>
      </c>
      <c r="U269" s="274"/>
      <c r="V269" s="38">
        <v>3163</v>
      </c>
      <c r="W269" s="38">
        <f t="shared" si="43"/>
        <v>695.86</v>
      </c>
      <c r="X269" s="38">
        <f t="shared" si="44"/>
        <v>3858.86</v>
      </c>
    </row>
    <row r="270" spans="1:24" ht="30" customHeight="1" x14ac:dyDescent="0.35">
      <c r="A270" s="56" t="s">
        <v>2507</v>
      </c>
      <c r="B270" s="2">
        <v>251</v>
      </c>
      <c r="C270" s="77">
        <v>10046307</v>
      </c>
      <c r="D270" s="74" t="s">
        <v>325</v>
      </c>
      <c r="E270" s="74" t="s">
        <v>2151</v>
      </c>
      <c r="F270" s="75">
        <v>2</v>
      </c>
      <c r="G270" s="64" t="s">
        <v>0</v>
      </c>
      <c r="H270" s="101" t="s">
        <v>494</v>
      </c>
      <c r="I270" s="61" t="s">
        <v>972</v>
      </c>
      <c r="J270" s="63" t="s">
        <v>1917</v>
      </c>
      <c r="K270" s="61" t="s">
        <v>961</v>
      </c>
      <c r="L270" s="61" t="s">
        <v>845</v>
      </c>
      <c r="M270" s="65">
        <f t="shared" si="40"/>
        <v>8713.06</v>
      </c>
      <c r="N270" s="65">
        <f t="shared" si="46"/>
        <v>4356.53</v>
      </c>
      <c r="O270" s="65">
        <v>8713.06</v>
      </c>
      <c r="P270" s="65">
        <v>7640</v>
      </c>
      <c r="Q270" s="65">
        <f t="shared" si="41"/>
        <v>1680.8</v>
      </c>
      <c r="R270" s="65">
        <f t="shared" si="42"/>
        <v>9320.7999999999993</v>
      </c>
      <c r="S270" s="272"/>
      <c r="T270" s="64">
        <v>16</v>
      </c>
      <c r="U270" s="274"/>
      <c r="V270" s="38">
        <v>8766</v>
      </c>
      <c r="W270" s="38">
        <f t="shared" si="43"/>
        <v>1928.52</v>
      </c>
      <c r="X270" s="38">
        <f t="shared" si="44"/>
        <v>10694.52</v>
      </c>
    </row>
    <row r="271" spans="1:24" ht="27.75" customHeight="1" x14ac:dyDescent="0.35">
      <c r="A271" s="56" t="s">
        <v>2508</v>
      </c>
      <c r="B271" s="64">
        <v>252</v>
      </c>
      <c r="C271" s="77">
        <v>10047156</v>
      </c>
      <c r="D271" s="74" t="s">
        <v>364</v>
      </c>
      <c r="E271" s="74" t="s">
        <v>2151</v>
      </c>
      <c r="F271" s="75">
        <f>6-2-2</f>
        <v>2</v>
      </c>
      <c r="G271" s="64" t="s">
        <v>0</v>
      </c>
      <c r="H271" s="61">
        <v>42824</v>
      </c>
      <c r="I271" s="61" t="s">
        <v>972</v>
      </c>
      <c r="J271" s="63" t="s">
        <v>1917</v>
      </c>
      <c r="K271" s="61" t="s">
        <v>961</v>
      </c>
      <c r="L271" s="61" t="s">
        <v>845</v>
      </c>
      <c r="M271" s="102">
        <f t="shared" si="40"/>
        <v>3270.2</v>
      </c>
      <c r="N271" s="102">
        <f t="shared" si="46"/>
        <v>1635.1</v>
      </c>
      <c r="O271" s="65">
        <f>9810.6/6*2</f>
        <v>3270.2</v>
      </c>
      <c r="P271" s="65">
        <v>2430</v>
      </c>
      <c r="Q271" s="65">
        <f t="shared" si="41"/>
        <v>534.6</v>
      </c>
      <c r="R271" s="65">
        <f t="shared" si="42"/>
        <v>2964.6</v>
      </c>
      <c r="S271" s="272"/>
      <c r="T271" s="64">
        <v>16</v>
      </c>
      <c r="U271" s="274"/>
      <c r="V271" s="38">
        <v>2789</v>
      </c>
      <c r="W271" s="38">
        <f t="shared" si="43"/>
        <v>613.58000000000004</v>
      </c>
      <c r="X271" s="38">
        <f t="shared" si="44"/>
        <v>3402.58</v>
      </c>
    </row>
    <row r="272" spans="1:24" ht="45" customHeight="1" x14ac:dyDescent="0.35">
      <c r="A272" s="56" t="s">
        <v>2509</v>
      </c>
      <c r="B272" s="2">
        <v>253</v>
      </c>
      <c r="C272" s="77">
        <v>10047157</v>
      </c>
      <c r="D272" s="74" t="s">
        <v>365</v>
      </c>
      <c r="E272" s="74" t="s">
        <v>2151</v>
      </c>
      <c r="F272" s="75">
        <f>6-2</f>
        <v>4</v>
      </c>
      <c r="G272" s="64" t="s">
        <v>0</v>
      </c>
      <c r="H272" s="61">
        <v>42824</v>
      </c>
      <c r="I272" s="61" t="s">
        <v>972</v>
      </c>
      <c r="J272" s="63" t="s">
        <v>1917</v>
      </c>
      <c r="K272" s="61" t="s">
        <v>961</v>
      </c>
      <c r="L272" s="61" t="s">
        <v>845</v>
      </c>
      <c r="M272" s="65">
        <f t="shared" si="40"/>
        <v>9480</v>
      </c>
      <c r="N272" s="65">
        <f t="shared" si="46"/>
        <v>2370</v>
      </c>
      <c r="O272" s="65">
        <f>14220/6*4</f>
        <v>9480</v>
      </c>
      <c r="P272" s="65">
        <v>7040</v>
      </c>
      <c r="Q272" s="65">
        <f t="shared" si="41"/>
        <v>1548.8</v>
      </c>
      <c r="R272" s="65">
        <f t="shared" si="42"/>
        <v>8588.7999999999993</v>
      </c>
      <c r="S272" s="272"/>
      <c r="T272" s="64">
        <v>16</v>
      </c>
      <c r="U272" s="274"/>
      <c r="V272" s="38">
        <v>8086</v>
      </c>
      <c r="W272" s="38">
        <f t="shared" si="43"/>
        <v>1778.92</v>
      </c>
      <c r="X272" s="38">
        <f t="shared" si="44"/>
        <v>9864.92</v>
      </c>
    </row>
    <row r="273" spans="1:24" ht="30" customHeight="1" x14ac:dyDescent="0.35">
      <c r="A273" s="56" t="s">
        <v>2510</v>
      </c>
      <c r="B273" s="2">
        <v>254</v>
      </c>
      <c r="C273" s="77">
        <v>10047158</v>
      </c>
      <c r="D273" s="74" t="s">
        <v>366</v>
      </c>
      <c r="E273" s="74" t="s">
        <v>2151</v>
      </c>
      <c r="F273" s="75">
        <f>6-1</f>
        <v>5</v>
      </c>
      <c r="G273" s="64" t="s">
        <v>0</v>
      </c>
      <c r="H273" s="61">
        <v>42824</v>
      </c>
      <c r="I273" s="61" t="s">
        <v>972</v>
      </c>
      <c r="J273" s="63" t="s">
        <v>1917</v>
      </c>
      <c r="K273" s="61" t="s">
        <v>961</v>
      </c>
      <c r="L273" s="61" t="s">
        <v>845</v>
      </c>
      <c r="M273" s="65">
        <f t="shared" si="40"/>
        <v>12615.63</v>
      </c>
      <c r="N273" s="65">
        <f t="shared" si="46"/>
        <v>2523.13</v>
      </c>
      <c r="O273" s="65">
        <f>15138.75/6*5</f>
        <v>12615.63</v>
      </c>
      <c r="P273" s="65">
        <v>9370</v>
      </c>
      <c r="Q273" s="65">
        <f t="shared" si="41"/>
        <v>2061.4</v>
      </c>
      <c r="R273" s="65">
        <f t="shared" si="42"/>
        <v>11431.4</v>
      </c>
      <c r="S273" s="272"/>
      <c r="T273" s="64">
        <v>16</v>
      </c>
      <c r="U273" s="274"/>
      <c r="V273" s="38">
        <v>10760</v>
      </c>
      <c r="W273" s="38">
        <f t="shared" si="43"/>
        <v>2367.1999999999998</v>
      </c>
      <c r="X273" s="38">
        <f t="shared" si="44"/>
        <v>13127.2</v>
      </c>
    </row>
    <row r="274" spans="1:24" ht="30" customHeight="1" x14ac:dyDescent="0.35">
      <c r="A274" s="56" t="s">
        <v>2511</v>
      </c>
      <c r="B274" s="64">
        <v>255</v>
      </c>
      <c r="C274" s="77">
        <v>102002630</v>
      </c>
      <c r="D274" s="74" t="s">
        <v>324</v>
      </c>
      <c r="E274" s="74" t="s">
        <v>2146</v>
      </c>
      <c r="F274" s="75">
        <v>1</v>
      </c>
      <c r="G274" s="64" t="s">
        <v>0</v>
      </c>
      <c r="H274" s="61">
        <v>41431</v>
      </c>
      <c r="I274" s="101" t="s">
        <v>972</v>
      </c>
      <c r="J274" s="63" t="s">
        <v>1917</v>
      </c>
      <c r="K274" s="61" t="s">
        <v>961</v>
      </c>
      <c r="L274" s="69" t="s">
        <v>2093</v>
      </c>
      <c r="M274" s="70">
        <f t="shared" si="40"/>
        <v>6720</v>
      </c>
      <c r="N274" s="70">
        <f t="shared" si="46"/>
        <v>6720</v>
      </c>
      <c r="O274" s="70">
        <v>6720</v>
      </c>
      <c r="P274" s="65">
        <v>6230</v>
      </c>
      <c r="Q274" s="65">
        <f t="shared" si="41"/>
        <v>1370.6</v>
      </c>
      <c r="R274" s="65">
        <f t="shared" si="42"/>
        <v>7600.6</v>
      </c>
      <c r="S274" s="272"/>
      <c r="T274" s="64">
        <v>16</v>
      </c>
      <c r="U274" s="274"/>
      <c r="V274" s="38">
        <v>7148</v>
      </c>
      <c r="W274" s="38">
        <f t="shared" si="43"/>
        <v>1572.56</v>
      </c>
      <c r="X274" s="38">
        <f t="shared" si="44"/>
        <v>8720.56</v>
      </c>
    </row>
    <row r="275" spans="1:24" ht="30" customHeight="1" x14ac:dyDescent="0.35">
      <c r="A275" s="56" t="s">
        <v>2512</v>
      </c>
      <c r="B275" s="2">
        <v>256</v>
      </c>
      <c r="C275" s="109">
        <v>10136527</v>
      </c>
      <c r="D275" s="110" t="s">
        <v>338</v>
      </c>
      <c r="E275" s="74" t="s">
        <v>3986</v>
      </c>
      <c r="F275" s="114">
        <v>2</v>
      </c>
      <c r="G275" s="64" t="s">
        <v>0</v>
      </c>
      <c r="H275" s="124">
        <v>42004</v>
      </c>
      <c r="I275" s="63" t="s">
        <v>972</v>
      </c>
      <c r="J275" s="63" t="s">
        <v>1917</v>
      </c>
      <c r="K275" s="63" t="s">
        <v>961</v>
      </c>
      <c r="L275" s="61" t="s">
        <v>845</v>
      </c>
      <c r="M275" s="65">
        <f t="shared" si="40"/>
        <v>13582.88</v>
      </c>
      <c r="N275" s="65">
        <f t="shared" si="46"/>
        <v>6791.44</v>
      </c>
      <c r="O275" s="65">
        <v>13582.88</v>
      </c>
      <c r="P275" s="65">
        <v>11900</v>
      </c>
      <c r="Q275" s="65">
        <f t="shared" si="41"/>
        <v>2618</v>
      </c>
      <c r="R275" s="65">
        <f t="shared" si="42"/>
        <v>14518</v>
      </c>
      <c r="S275" s="272"/>
      <c r="T275" s="64">
        <v>16</v>
      </c>
      <c r="U275" s="274"/>
      <c r="V275" s="38">
        <v>13666</v>
      </c>
      <c r="W275" s="38">
        <f t="shared" si="43"/>
        <v>3006.52</v>
      </c>
      <c r="X275" s="38">
        <f t="shared" si="44"/>
        <v>16672.52</v>
      </c>
    </row>
    <row r="276" spans="1:24" ht="30" customHeight="1" x14ac:dyDescent="0.35">
      <c r="A276" s="56" t="s">
        <v>2513</v>
      </c>
      <c r="B276" s="2">
        <v>257</v>
      </c>
      <c r="C276" s="77">
        <v>10111002</v>
      </c>
      <c r="D276" s="74" t="s">
        <v>1255</v>
      </c>
      <c r="E276" s="74" t="s">
        <v>2161</v>
      </c>
      <c r="F276" s="75">
        <v>1</v>
      </c>
      <c r="G276" s="64" t="s">
        <v>0</v>
      </c>
      <c r="H276" s="64">
        <v>2014</v>
      </c>
      <c r="I276" s="61" t="s">
        <v>2158</v>
      </c>
      <c r="J276" s="63" t="s">
        <v>1917</v>
      </c>
      <c r="K276" s="101" t="s">
        <v>961</v>
      </c>
      <c r="L276" s="88" t="s">
        <v>845</v>
      </c>
      <c r="M276" s="76">
        <f t="shared" si="40"/>
        <v>25</v>
      </c>
      <c r="N276" s="76">
        <f t="shared" si="46"/>
        <v>25</v>
      </c>
      <c r="O276" s="76">
        <v>25</v>
      </c>
      <c r="P276" s="65">
        <v>20</v>
      </c>
      <c r="Q276" s="65">
        <f t="shared" si="41"/>
        <v>4.4000000000000004</v>
      </c>
      <c r="R276" s="65">
        <f t="shared" si="42"/>
        <v>24.4</v>
      </c>
      <c r="S276" s="272"/>
      <c r="T276" s="64">
        <v>16</v>
      </c>
      <c r="U276" s="274"/>
      <c r="V276" s="38">
        <v>26</v>
      </c>
      <c r="W276" s="38">
        <f t="shared" si="43"/>
        <v>5.72</v>
      </c>
      <c r="X276" s="38">
        <f t="shared" si="44"/>
        <v>31.72</v>
      </c>
    </row>
    <row r="277" spans="1:24" ht="46.5" customHeight="1" x14ac:dyDescent="0.35">
      <c r="A277" s="56" t="s">
        <v>2514</v>
      </c>
      <c r="B277" s="64">
        <v>258</v>
      </c>
      <c r="C277" s="77">
        <v>10143828</v>
      </c>
      <c r="D277" s="74" t="s">
        <v>91</v>
      </c>
      <c r="E277" s="74" t="s">
        <v>2167</v>
      </c>
      <c r="F277" s="75">
        <v>17</v>
      </c>
      <c r="G277" s="64" t="s">
        <v>0</v>
      </c>
      <c r="H277" s="61">
        <v>42004</v>
      </c>
      <c r="I277" s="4" t="s">
        <v>957</v>
      </c>
      <c r="J277" s="61" t="s">
        <v>1917</v>
      </c>
      <c r="K277" s="61" t="s">
        <v>1983</v>
      </c>
      <c r="L277" s="69" t="s">
        <v>2093</v>
      </c>
      <c r="M277" s="70">
        <f t="shared" si="40"/>
        <v>56967</v>
      </c>
      <c r="N277" s="70">
        <f t="shared" si="46"/>
        <v>3351</v>
      </c>
      <c r="O277" s="70">
        <v>56967</v>
      </c>
      <c r="P277" s="65">
        <v>52910</v>
      </c>
      <c r="Q277" s="65">
        <f t="shared" si="41"/>
        <v>11640.2</v>
      </c>
      <c r="R277" s="65">
        <f t="shared" si="42"/>
        <v>64550.2</v>
      </c>
      <c r="S277" s="272"/>
      <c r="T277" s="64">
        <v>16</v>
      </c>
      <c r="U277" s="274"/>
      <c r="V277" s="38">
        <v>60748</v>
      </c>
      <c r="W277" s="38">
        <f t="shared" si="43"/>
        <v>13364.56</v>
      </c>
      <c r="X277" s="38">
        <f t="shared" si="44"/>
        <v>74112.56</v>
      </c>
    </row>
    <row r="278" spans="1:24" ht="30" customHeight="1" x14ac:dyDescent="0.35">
      <c r="A278" s="56" t="s">
        <v>2515</v>
      </c>
      <c r="B278" s="2">
        <v>259</v>
      </c>
      <c r="C278" s="77">
        <v>10018390</v>
      </c>
      <c r="D278" s="74" t="s">
        <v>39</v>
      </c>
      <c r="E278" s="74" t="s">
        <v>2167</v>
      </c>
      <c r="F278" s="75">
        <v>2</v>
      </c>
      <c r="G278" s="64" t="s">
        <v>0</v>
      </c>
      <c r="H278" s="61">
        <v>42247</v>
      </c>
      <c r="I278" s="4" t="s">
        <v>957</v>
      </c>
      <c r="J278" s="61" t="s">
        <v>1917</v>
      </c>
      <c r="K278" s="61" t="s">
        <v>1989</v>
      </c>
      <c r="L278" s="88" t="s">
        <v>845</v>
      </c>
      <c r="M278" s="65">
        <f t="shared" si="40"/>
        <v>58</v>
      </c>
      <c r="N278" s="65">
        <f t="shared" si="46"/>
        <v>29</v>
      </c>
      <c r="O278" s="65">
        <v>58</v>
      </c>
      <c r="P278" s="65">
        <v>50</v>
      </c>
      <c r="Q278" s="65">
        <f t="shared" si="41"/>
        <v>11</v>
      </c>
      <c r="R278" s="65">
        <f t="shared" si="42"/>
        <v>61</v>
      </c>
      <c r="S278" s="272"/>
      <c r="T278" s="64">
        <v>16</v>
      </c>
      <c r="U278" s="274"/>
      <c r="V278" s="38">
        <v>56</v>
      </c>
      <c r="W278" s="38">
        <f t="shared" si="43"/>
        <v>12.32</v>
      </c>
      <c r="X278" s="38">
        <f t="shared" si="44"/>
        <v>68.319999999999993</v>
      </c>
    </row>
    <row r="279" spans="1:24" ht="30" customHeight="1" x14ac:dyDescent="0.35">
      <c r="A279" s="56" t="s">
        <v>4003</v>
      </c>
      <c r="B279" s="2">
        <v>260</v>
      </c>
      <c r="C279" s="77">
        <v>10119988</v>
      </c>
      <c r="D279" s="74" t="s">
        <v>45</v>
      </c>
      <c r="E279" s="74" t="s">
        <v>2167</v>
      </c>
      <c r="F279" s="75">
        <f>2+3</f>
        <v>5</v>
      </c>
      <c r="G279" s="64" t="s">
        <v>0</v>
      </c>
      <c r="H279" s="61">
        <v>42247</v>
      </c>
      <c r="I279" s="4" t="s">
        <v>957</v>
      </c>
      <c r="J279" s="61" t="s">
        <v>1917</v>
      </c>
      <c r="K279" s="61" t="s">
        <v>1991</v>
      </c>
      <c r="L279" s="88" t="s">
        <v>845</v>
      </c>
      <c r="M279" s="65">
        <f t="shared" si="40"/>
        <v>248.11</v>
      </c>
      <c r="N279" s="65">
        <f t="shared" si="46"/>
        <v>49.62</v>
      </c>
      <c r="O279" s="65">
        <v>248.11</v>
      </c>
      <c r="P279" s="65">
        <v>210</v>
      </c>
      <c r="Q279" s="65">
        <f t="shared" si="41"/>
        <v>46.2</v>
      </c>
      <c r="R279" s="65">
        <f t="shared" si="42"/>
        <v>256.2</v>
      </c>
      <c r="S279" s="272"/>
      <c r="T279" s="64">
        <v>16</v>
      </c>
      <c r="U279" s="274"/>
      <c r="V279" s="38">
        <v>240</v>
      </c>
      <c r="W279" s="38">
        <f t="shared" si="43"/>
        <v>52.8</v>
      </c>
      <c r="X279" s="38">
        <f t="shared" si="44"/>
        <v>292.8</v>
      </c>
    </row>
    <row r="280" spans="1:24" ht="30" customHeight="1" x14ac:dyDescent="0.35">
      <c r="A280" s="56" t="s">
        <v>2516</v>
      </c>
      <c r="B280" s="64">
        <v>261</v>
      </c>
      <c r="C280" s="77">
        <v>10025755</v>
      </c>
      <c r="D280" s="74" t="s">
        <v>54</v>
      </c>
      <c r="E280" s="74" t="s">
        <v>2167</v>
      </c>
      <c r="F280" s="75">
        <v>3</v>
      </c>
      <c r="G280" s="64" t="s">
        <v>0</v>
      </c>
      <c r="H280" s="61">
        <v>42004</v>
      </c>
      <c r="I280" s="4" t="s">
        <v>957</v>
      </c>
      <c r="J280" s="61" t="s">
        <v>1917</v>
      </c>
      <c r="K280" s="61" t="s">
        <v>1992</v>
      </c>
      <c r="L280" s="88" t="s">
        <v>845</v>
      </c>
      <c r="M280" s="65">
        <f t="shared" si="40"/>
        <v>235.4</v>
      </c>
      <c r="N280" s="65">
        <f t="shared" si="46"/>
        <v>78.47</v>
      </c>
      <c r="O280" s="65">
        <v>235.4</v>
      </c>
      <c r="P280" s="65">
        <v>220</v>
      </c>
      <c r="Q280" s="65">
        <f t="shared" si="41"/>
        <v>48.4</v>
      </c>
      <c r="R280" s="65">
        <f t="shared" si="42"/>
        <v>268.39999999999998</v>
      </c>
      <c r="S280" s="272"/>
      <c r="T280" s="64">
        <v>16</v>
      </c>
      <c r="U280" s="274"/>
      <c r="V280" s="38">
        <v>251</v>
      </c>
      <c r="W280" s="38">
        <f t="shared" si="43"/>
        <v>55.22</v>
      </c>
      <c r="X280" s="38">
        <f t="shared" si="44"/>
        <v>306.22000000000003</v>
      </c>
    </row>
    <row r="281" spans="1:24" ht="30" customHeight="1" x14ac:dyDescent="0.35">
      <c r="A281" s="56" t="s">
        <v>2517</v>
      </c>
      <c r="B281" s="2">
        <v>262</v>
      </c>
      <c r="C281" s="77">
        <v>10007384</v>
      </c>
      <c r="D281" s="74" t="s">
        <v>61</v>
      </c>
      <c r="E281" s="74" t="s">
        <v>2167</v>
      </c>
      <c r="F281" s="75">
        <f>4-1</f>
        <v>3</v>
      </c>
      <c r="G281" s="64" t="s">
        <v>0</v>
      </c>
      <c r="H281" s="61">
        <v>42247</v>
      </c>
      <c r="I281" s="4" t="s">
        <v>957</v>
      </c>
      <c r="J281" s="61" t="s">
        <v>1917</v>
      </c>
      <c r="K281" s="61" t="s">
        <v>1993</v>
      </c>
      <c r="L281" s="88" t="s">
        <v>845</v>
      </c>
      <c r="M281" s="65">
        <f t="shared" si="40"/>
        <v>105.75</v>
      </c>
      <c r="N281" s="65">
        <f t="shared" si="46"/>
        <v>35.25</v>
      </c>
      <c r="O281" s="65">
        <f>141/4*3</f>
        <v>105.75</v>
      </c>
      <c r="P281" s="65">
        <v>90</v>
      </c>
      <c r="Q281" s="65">
        <f t="shared" si="41"/>
        <v>19.8</v>
      </c>
      <c r="R281" s="65">
        <f t="shared" si="42"/>
        <v>109.8</v>
      </c>
      <c r="S281" s="272"/>
      <c r="T281" s="64">
        <v>16</v>
      </c>
      <c r="U281" s="274"/>
      <c r="V281" s="38">
        <v>102</v>
      </c>
      <c r="W281" s="38">
        <f t="shared" si="43"/>
        <v>22.44</v>
      </c>
      <c r="X281" s="38">
        <f t="shared" si="44"/>
        <v>124.44</v>
      </c>
    </row>
    <row r="282" spans="1:24" ht="15" customHeight="1" x14ac:dyDescent="0.35">
      <c r="A282" s="56" t="s">
        <v>2518</v>
      </c>
      <c r="B282" s="2">
        <v>263</v>
      </c>
      <c r="C282" s="77">
        <v>10007423</v>
      </c>
      <c r="D282" s="74" t="s">
        <v>62</v>
      </c>
      <c r="E282" s="74" t="s">
        <v>2167</v>
      </c>
      <c r="F282" s="75">
        <f>4-2</f>
        <v>2</v>
      </c>
      <c r="G282" s="64" t="s">
        <v>0</v>
      </c>
      <c r="H282" s="61">
        <v>42247</v>
      </c>
      <c r="I282" s="4" t="s">
        <v>957</v>
      </c>
      <c r="J282" s="61" t="s">
        <v>1917</v>
      </c>
      <c r="K282" s="61" t="s">
        <v>1994</v>
      </c>
      <c r="L282" s="88" t="s">
        <v>845</v>
      </c>
      <c r="M282" s="65">
        <f t="shared" si="40"/>
        <v>153.94999999999999</v>
      </c>
      <c r="N282" s="65">
        <f t="shared" si="46"/>
        <v>76.98</v>
      </c>
      <c r="O282" s="65">
        <f>307.9/4*2</f>
        <v>153.94999999999999</v>
      </c>
      <c r="P282" s="65">
        <v>130</v>
      </c>
      <c r="Q282" s="65">
        <f t="shared" si="41"/>
        <v>28.6</v>
      </c>
      <c r="R282" s="65">
        <f t="shared" si="42"/>
        <v>158.6</v>
      </c>
      <c r="S282" s="272"/>
      <c r="T282" s="64">
        <v>16</v>
      </c>
      <c r="U282" s="274"/>
      <c r="V282" s="38">
        <v>149</v>
      </c>
      <c r="W282" s="38">
        <f t="shared" si="43"/>
        <v>32.78</v>
      </c>
      <c r="X282" s="38">
        <f t="shared" si="44"/>
        <v>181.78</v>
      </c>
    </row>
    <row r="283" spans="1:24" ht="15" customHeight="1" x14ac:dyDescent="0.35">
      <c r="A283" s="56" t="s">
        <v>2519</v>
      </c>
      <c r="B283" s="64">
        <v>264</v>
      </c>
      <c r="C283" s="77">
        <v>10107118</v>
      </c>
      <c r="D283" s="74" t="s">
        <v>65</v>
      </c>
      <c r="E283" s="74" t="s">
        <v>2167</v>
      </c>
      <c r="F283" s="75">
        <v>4</v>
      </c>
      <c r="G283" s="64" t="s">
        <v>0</v>
      </c>
      <c r="H283" s="61">
        <v>42004</v>
      </c>
      <c r="I283" s="4" t="s">
        <v>957</v>
      </c>
      <c r="J283" s="61" t="s">
        <v>1917</v>
      </c>
      <c r="K283" s="61" t="s">
        <v>1995</v>
      </c>
      <c r="L283" s="88" t="s">
        <v>845</v>
      </c>
      <c r="M283" s="65">
        <f t="shared" si="40"/>
        <v>176</v>
      </c>
      <c r="N283" s="65">
        <f t="shared" si="46"/>
        <v>44</v>
      </c>
      <c r="O283" s="65">
        <v>176</v>
      </c>
      <c r="P283" s="65">
        <v>160</v>
      </c>
      <c r="Q283" s="65">
        <f t="shared" si="41"/>
        <v>35.200000000000003</v>
      </c>
      <c r="R283" s="65">
        <f t="shared" si="42"/>
        <v>195.2</v>
      </c>
      <c r="S283" s="272"/>
      <c r="T283" s="64">
        <v>16</v>
      </c>
      <c r="U283" s="274"/>
      <c r="V283" s="38">
        <v>188</v>
      </c>
      <c r="W283" s="38">
        <f t="shared" si="43"/>
        <v>41.36</v>
      </c>
      <c r="X283" s="38">
        <f t="shared" si="44"/>
        <v>229.36</v>
      </c>
    </row>
    <row r="284" spans="1:24" ht="30" customHeight="1" x14ac:dyDescent="0.35">
      <c r="A284" s="56" t="s">
        <v>2520</v>
      </c>
      <c r="B284" s="2">
        <v>265</v>
      </c>
      <c r="C284" s="77">
        <v>10022325</v>
      </c>
      <c r="D284" s="74" t="s">
        <v>88</v>
      </c>
      <c r="E284" s="74" t="s">
        <v>2176</v>
      </c>
      <c r="F284" s="75">
        <v>15</v>
      </c>
      <c r="G284" s="64" t="s">
        <v>0</v>
      </c>
      <c r="H284" s="61">
        <v>41857</v>
      </c>
      <c r="I284" s="4" t="s">
        <v>957</v>
      </c>
      <c r="J284" s="61" t="s">
        <v>1917</v>
      </c>
      <c r="K284" s="61" t="s">
        <v>1996</v>
      </c>
      <c r="L284" s="88" t="s">
        <v>845</v>
      </c>
      <c r="M284" s="65">
        <f t="shared" si="40"/>
        <v>510</v>
      </c>
      <c r="N284" s="65">
        <f t="shared" si="46"/>
        <v>34</v>
      </c>
      <c r="O284" s="65">
        <v>510</v>
      </c>
      <c r="P284" s="65">
        <v>470</v>
      </c>
      <c r="Q284" s="65">
        <f t="shared" si="41"/>
        <v>103.4</v>
      </c>
      <c r="R284" s="65">
        <f t="shared" si="42"/>
        <v>573.4</v>
      </c>
      <c r="S284" s="272"/>
      <c r="T284" s="64">
        <v>16</v>
      </c>
      <c r="U284" s="274"/>
      <c r="V284" s="38">
        <v>541</v>
      </c>
      <c r="W284" s="38">
        <f t="shared" si="43"/>
        <v>119.02</v>
      </c>
      <c r="X284" s="38">
        <f t="shared" si="44"/>
        <v>660.02</v>
      </c>
    </row>
    <row r="285" spans="1:24" ht="30" customHeight="1" x14ac:dyDescent="0.35">
      <c r="A285" s="56" t="s">
        <v>2521</v>
      </c>
      <c r="B285" s="2">
        <v>266</v>
      </c>
      <c r="C285" s="77">
        <v>10147310</v>
      </c>
      <c r="D285" s="74" t="s">
        <v>89</v>
      </c>
      <c r="E285" s="74" t="s">
        <v>2167</v>
      </c>
      <c r="F285" s="75">
        <v>15</v>
      </c>
      <c r="G285" s="64" t="s">
        <v>0</v>
      </c>
      <c r="H285" s="61">
        <v>41857</v>
      </c>
      <c r="I285" s="4" t="s">
        <v>957</v>
      </c>
      <c r="J285" s="61" t="s">
        <v>1917</v>
      </c>
      <c r="K285" s="61" t="s">
        <v>1997</v>
      </c>
      <c r="L285" s="88" t="s">
        <v>845</v>
      </c>
      <c r="M285" s="65">
        <f t="shared" si="40"/>
        <v>570</v>
      </c>
      <c r="N285" s="65">
        <f t="shared" si="46"/>
        <v>38</v>
      </c>
      <c r="O285" s="65">
        <v>570</v>
      </c>
      <c r="P285" s="65">
        <v>530</v>
      </c>
      <c r="Q285" s="65">
        <f t="shared" si="41"/>
        <v>116.6</v>
      </c>
      <c r="R285" s="65">
        <f t="shared" si="42"/>
        <v>646.6</v>
      </c>
      <c r="S285" s="272"/>
      <c r="T285" s="64">
        <v>16</v>
      </c>
      <c r="U285" s="274"/>
      <c r="V285" s="38">
        <v>604</v>
      </c>
      <c r="W285" s="38">
        <f t="shared" si="43"/>
        <v>132.88</v>
      </c>
      <c r="X285" s="38">
        <f t="shared" si="44"/>
        <v>736.88</v>
      </c>
    </row>
    <row r="286" spans="1:24" ht="15" customHeight="1" x14ac:dyDescent="0.35">
      <c r="A286" s="56" t="s">
        <v>2522</v>
      </c>
      <c r="B286" s="64">
        <v>267</v>
      </c>
      <c r="C286" s="77">
        <v>10001547</v>
      </c>
      <c r="D286" s="74" t="s">
        <v>134</v>
      </c>
      <c r="E286" s="74" t="s">
        <v>2167</v>
      </c>
      <c r="F286" s="75">
        <f>383-78</f>
        <v>305</v>
      </c>
      <c r="G286" s="64" t="s">
        <v>0</v>
      </c>
      <c r="H286" s="61">
        <v>42255</v>
      </c>
      <c r="I286" s="61" t="s">
        <v>957</v>
      </c>
      <c r="J286" s="88" t="s">
        <v>1917</v>
      </c>
      <c r="K286" s="61" t="s">
        <v>1998</v>
      </c>
      <c r="L286" s="88" t="s">
        <v>845</v>
      </c>
      <c r="M286" s="65">
        <f t="shared" si="40"/>
        <v>9711.2000000000007</v>
      </c>
      <c r="N286" s="65">
        <f t="shared" si="46"/>
        <v>31.84</v>
      </c>
      <c r="O286" s="65">
        <f>12194.72/383*305</f>
        <v>9711.2000000000007</v>
      </c>
      <c r="P286" s="65">
        <v>7730</v>
      </c>
      <c r="Q286" s="65">
        <f t="shared" si="41"/>
        <v>1700.6</v>
      </c>
      <c r="R286" s="65">
        <f t="shared" si="42"/>
        <v>9430.6</v>
      </c>
      <c r="S286" s="272"/>
      <c r="T286" s="64">
        <v>16</v>
      </c>
      <c r="U286" s="274"/>
      <c r="V286" s="38">
        <v>8881</v>
      </c>
      <c r="W286" s="38">
        <f t="shared" si="43"/>
        <v>1953.82</v>
      </c>
      <c r="X286" s="38">
        <f t="shared" si="44"/>
        <v>10834.82</v>
      </c>
    </row>
    <row r="287" spans="1:24" ht="15" customHeight="1" x14ac:dyDescent="0.35">
      <c r="A287" s="56" t="s">
        <v>2523</v>
      </c>
      <c r="B287" s="2">
        <v>268</v>
      </c>
      <c r="C287" s="77">
        <v>10001551</v>
      </c>
      <c r="D287" s="74" t="s">
        <v>136</v>
      </c>
      <c r="E287" s="74" t="s">
        <v>2167</v>
      </c>
      <c r="F287" s="75">
        <f>670-10-10</f>
        <v>650</v>
      </c>
      <c r="G287" s="64" t="s">
        <v>0</v>
      </c>
      <c r="H287" s="61">
        <v>42247</v>
      </c>
      <c r="I287" s="61" t="s">
        <v>957</v>
      </c>
      <c r="J287" s="88" t="s">
        <v>1917</v>
      </c>
      <c r="K287" s="61" t="s">
        <v>2000</v>
      </c>
      <c r="L287" s="88" t="s">
        <v>845</v>
      </c>
      <c r="M287" s="65">
        <f t="shared" si="40"/>
        <v>57876</v>
      </c>
      <c r="N287" s="65">
        <f t="shared" si="46"/>
        <v>89.04</v>
      </c>
      <c r="O287" s="65">
        <f>59656.8/670*650</f>
        <v>57876</v>
      </c>
      <c r="P287" s="65">
        <v>46360</v>
      </c>
      <c r="Q287" s="65">
        <f t="shared" si="41"/>
        <v>10199.200000000001</v>
      </c>
      <c r="R287" s="65">
        <f t="shared" si="42"/>
        <v>56559.199999999997</v>
      </c>
      <c r="S287" s="272"/>
      <c r="T287" s="64">
        <v>16</v>
      </c>
      <c r="U287" s="274"/>
      <c r="V287" s="38">
        <v>53229</v>
      </c>
      <c r="W287" s="38">
        <f t="shared" si="43"/>
        <v>11710.38</v>
      </c>
      <c r="X287" s="38">
        <f t="shared" si="44"/>
        <v>64939.38</v>
      </c>
    </row>
    <row r="288" spans="1:24" ht="21.75" customHeight="1" x14ac:dyDescent="0.35">
      <c r="A288" s="56" t="s">
        <v>2524</v>
      </c>
      <c r="B288" s="2">
        <v>269</v>
      </c>
      <c r="C288" s="77">
        <v>10001341</v>
      </c>
      <c r="D288" s="74" t="s">
        <v>506</v>
      </c>
      <c r="E288" s="74" t="s">
        <v>2167</v>
      </c>
      <c r="F288" s="75">
        <f>943-340-210-385</f>
        <v>8</v>
      </c>
      <c r="G288" s="64" t="s">
        <v>0</v>
      </c>
      <c r="H288" s="61">
        <v>42247</v>
      </c>
      <c r="I288" s="4" t="s">
        <v>957</v>
      </c>
      <c r="J288" s="88" t="s">
        <v>2202</v>
      </c>
      <c r="K288" s="10" t="s">
        <v>961</v>
      </c>
      <c r="L288" s="88" t="s">
        <v>845</v>
      </c>
      <c r="M288" s="76">
        <f t="shared" si="40"/>
        <v>110.4</v>
      </c>
      <c r="N288" s="76">
        <f t="shared" si="46"/>
        <v>13.8</v>
      </c>
      <c r="O288" s="76">
        <f>13013.4/943*8</f>
        <v>110.4</v>
      </c>
      <c r="P288" s="65">
        <v>90</v>
      </c>
      <c r="Q288" s="65">
        <f t="shared" si="41"/>
        <v>19.8</v>
      </c>
      <c r="R288" s="65">
        <f t="shared" si="42"/>
        <v>109.8</v>
      </c>
      <c r="S288" s="272"/>
      <c r="T288" s="64">
        <v>16</v>
      </c>
      <c r="U288" s="274"/>
      <c r="V288" s="38">
        <v>107</v>
      </c>
      <c r="W288" s="38">
        <f t="shared" si="43"/>
        <v>23.54</v>
      </c>
      <c r="X288" s="38">
        <f t="shared" si="44"/>
        <v>130.54</v>
      </c>
    </row>
    <row r="289" spans="1:24" ht="15" customHeight="1" x14ac:dyDescent="0.35">
      <c r="A289" s="56" t="s">
        <v>2525</v>
      </c>
      <c r="B289" s="64">
        <v>270</v>
      </c>
      <c r="C289" s="77">
        <v>10134994</v>
      </c>
      <c r="D289" s="74" t="s">
        <v>2</v>
      </c>
      <c r="E289" s="74" t="s">
        <v>2167</v>
      </c>
      <c r="F289" s="75">
        <v>1E-3</v>
      </c>
      <c r="G289" s="64" t="s">
        <v>3</v>
      </c>
      <c r="H289" s="101">
        <v>2014</v>
      </c>
      <c r="I289" s="4" t="s">
        <v>957</v>
      </c>
      <c r="J289" s="61" t="s">
        <v>1917</v>
      </c>
      <c r="K289" s="101" t="s">
        <v>2053</v>
      </c>
      <c r="L289" s="88" t="s">
        <v>845</v>
      </c>
      <c r="M289" s="65">
        <f t="shared" si="40"/>
        <v>71.78</v>
      </c>
      <c r="N289" s="65">
        <f t="shared" si="46"/>
        <v>71780</v>
      </c>
      <c r="O289" s="65">
        <v>71.78</v>
      </c>
      <c r="P289" s="65">
        <v>70</v>
      </c>
      <c r="Q289" s="65">
        <f t="shared" si="41"/>
        <v>15.4</v>
      </c>
      <c r="R289" s="65">
        <f t="shared" si="42"/>
        <v>85.4</v>
      </c>
      <c r="S289" s="272"/>
      <c r="T289" s="64">
        <v>16</v>
      </c>
      <c r="U289" s="274"/>
      <c r="V289" s="38">
        <v>76</v>
      </c>
      <c r="W289" s="38">
        <f t="shared" si="43"/>
        <v>16.72</v>
      </c>
      <c r="X289" s="38">
        <f t="shared" si="44"/>
        <v>92.72</v>
      </c>
    </row>
    <row r="290" spans="1:24" ht="22.5" customHeight="1" x14ac:dyDescent="0.35">
      <c r="A290" s="56" t="s">
        <v>2526</v>
      </c>
      <c r="B290" s="2">
        <v>271</v>
      </c>
      <c r="C290" s="77">
        <v>10137451</v>
      </c>
      <c r="D290" s="74" t="s">
        <v>4</v>
      </c>
      <c r="E290" s="74" t="s">
        <v>2176</v>
      </c>
      <c r="F290" s="75">
        <v>3.0000000000000001E-3</v>
      </c>
      <c r="G290" s="64" t="s">
        <v>3</v>
      </c>
      <c r="H290" s="101">
        <v>2014</v>
      </c>
      <c r="I290" s="4" t="s">
        <v>957</v>
      </c>
      <c r="J290" s="61" t="s">
        <v>1917</v>
      </c>
      <c r="K290" s="101" t="s">
        <v>2054</v>
      </c>
      <c r="L290" s="88" t="s">
        <v>845</v>
      </c>
      <c r="M290" s="65">
        <f t="shared" si="40"/>
        <v>131.49</v>
      </c>
      <c r="N290" s="65">
        <f t="shared" si="46"/>
        <v>43830</v>
      </c>
      <c r="O290" s="65">
        <v>131.49</v>
      </c>
      <c r="P290" s="65">
        <v>120</v>
      </c>
      <c r="Q290" s="65">
        <f t="shared" si="41"/>
        <v>26.4</v>
      </c>
      <c r="R290" s="65">
        <f t="shared" si="42"/>
        <v>146.4</v>
      </c>
      <c r="S290" s="272"/>
      <c r="T290" s="64">
        <v>16</v>
      </c>
      <c r="U290" s="274"/>
      <c r="V290" s="38">
        <v>140</v>
      </c>
      <c r="W290" s="38">
        <f t="shared" si="43"/>
        <v>30.8</v>
      </c>
      <c r="X290" s="38">
        <f t="shared" si="44"/>
        <v>170.8</v>
      </c>
    </row>
    <row r="291" spans="1:24" ht="15" customHeight="1" x14ac:dyDescent="0.35">
      <c r="A291" s="56" t="s">
        <v>2527</v>
      </c>
      <c r="B291" s="2">
        <v>272</v>
      </c>
      <c r="C291" s="77">
        <v>10148947</v>
      </c>
      <c r="D291" s="74" t="s">
        <v>5</v>
      </c>
      <c r="E291" s="74" t="s">
        <v>2176</v>
      </c>
      <c r="F291" s="75">
        <f>0.044-0.022</f>
        <v>2.1999999999999999E-2</v>
      </c>
      <c r="G291" s="64" t="s">
        <v>3</v>
      </c>
      <c r="H291" s="101">
        <v>2014</v>
      </c>
      <c r="I291" s="4" t="s">
        <v>957</v>
      </c>
      <c r="J291" s="61" t="s">
        <v>1917</v>
      </c>
      <c r="K291" s="101" t="s">
        <v>2055</v>
      </c>
      <c r="L291" s="88" t="s">
        <v>845</v>
      </c>
      <c r="M291" s="65">
        <f t="shared" si="40"/>
        <v>1176.53</v>
      </c>
      <c r="N291" s="65">
        <f t="shared" si="46"/>
        <v>53478.64</v>
      </c>
      <c r="O291" s="65">
        <f>2353.06/0.044*0.022</f>
        <v>1176.53</v>
      </c>
      <c r="P291" s="65">
        <v>1090</v>
      </c>
      <c r="Q291" s="65">
        <f t="shared" si="41"/>
        <v>239.8</v>
      </c>
      <c r="R291" s="65">
        <f t="shared" si="42"/>
        <v>1329.8</v>
      </c>
      <c r="S291" s="272"/>
      <c r="T291" s="64">
        <v>16</v>
      </c>
      <c r="U291" s="274"/>
      <c r="V291" s="38">
        <v>1251</v>
      </c>
      <c r="W291" s="38">
        <f t="shared" si="43"/>
        <v>275.22000000000003</v>
      </c>
      <c r="X291" s="38">
        <f t="shared" si="44"/>
        <v>1526.22</v>
      </c>
    </row>
    <row r="292" spans="1:24" ht="15" customHeight="1" x14ac:dyDescent="0.35">
      <c r="A292" s="56" t="s">
        <v>2528</v>
      </c>
      <c r="B292" s="64">
        <v>273</v>
      </c>
      <c r="C292" s="77">
        <v>10005315</v>
      </c>
      <c r="D292" s="74" t="s">
        <v>6</v>
      </c>
      <c r="E292" s="74" t="s">
        <v>2176</v>
      </c>
      <c r="F292" s="75">
        <v>0.11899999999999999</v>
      </c>
      <c r="G292" s="64" t="s">
        <v>3</v>
      </c>
      <c r="H292" s="101">
        <v>2014</v>
      </c>
      <c r="I292" s="4" t="s">
        <v>957</v>
      </c>
      <c r="J292" s="61" t="s">
        <v>1917</v>
      </c>
      <c r="K292" s="101" t="s">
        <v>2056</v>
      </c>
      <c r="L292" s="88" t="s">
        <v>845</v>
      </c>
      <c r="M292" s="65">
        <f t="shared" si="40"/>
        <v>5178.28</v>
      </c>
      <c r="N292" s="65">
        <f t="shared" si="46"/>
        <v>43514.96</v>
      </c>
      <c r="O292" s="65">
        <v>5178.28</v>
      </c>
      <c r="P292" s="65">
        <v>4790</v>
      </c>
      <c r="Q292" s="65">
        <f t="shared" si="41"/>
        <v>1053.8</v>
      </c>
      <c r="R292" s="65">
        <f t="shared" si="42"/>
        <v>5843.8</v>
      </c>
      <c r="S292" s="272"/>
      <c r="T292" s="64">
        <v>16</v>
      </c>
      <c r="U292" s="274"/>
      <c r="V292" s="38">
        <v>5504</v>
      </c>
      <c r="W292" s="38">
        <f t="shared" si="43"/>
        <v>1210.8800000000001</v>
      </c>
      <c r="X292" s="38">
        <f t="shared" si="44"/>
        <v>6714.88</v>
      </c>
    </row>
    <row r="293" spans="1:24" ht="34.5" customHeight="1" x14ac:dyDescent="0.35">
      <c r="A293" s="56" t="s">
        <v>2529</v>
      </c>
      <c r="B293" s="2">
        <v>274</v>
      </c>
      <c r="C293" s="77">
        <v>10005309</v>
      </c>
      <c r="D293" s="74" t="s">
        <v>7</v>
      </c>
      <c r="E293" s="74" t="s">
        <v>2176</v>
      </c>
      <c r="F293" s="75">
        <f>0.13-0.015-0.032-0.05</f>
        <v>3.3000000000000002E-2</v>
      </c>
      <c r="G293" s="64" t="s">
        <v>3</v>
      </c>
      <c r="H293" s="101">
        <v>2014</v>
      </c>
      <c r="I293" s="4" t="s">
        <v>957</v>
      </c>
      <c r="J293" s="61" t="s">
        <v>1917</v>
      </c>
      <c r="K293" s="101" t="s">
        <v>2057</v>
      </c>
      <c r="L293" s="88" t="s">
        <v>845</v>
      </c>
      <c r="M293" s="65">
        <f t="shared" si="40"/>
        <v>1454.36</v>
      </c>
      <c r="N293" s="65">
        <f t="shared" si="46"/>
        <v>44071.519999999997</v>
      </c>
      <c r="O293" s="65">
        <f>3657.93/0.083*0.033</f>
        <v>1454.36</v>
      </c>
      <c r="P293" s="65">
        <v>1350</v>
      </c>
      <c r="Q293" s="65">
        <f t="shared" si="41"/>
        <v>297</v>
      </c>
      <c r="R293" s="65">
        <f t="shared" si="42"/>
        <v>1647</v>
      </c>
      <c r="S293" s="272"/>
      <c r="T293" s="64">
        <v>16</v>
      </c>
      <c r="U293" s="274"/>
      <c r="V293" s="38">
        <v>1546</v>
      </c>
      <c r="W293" s="38">
        <f t="shared" si="43"/>
        <v>340.12</v>
      </c>
      <c r="X293" s="38">
        <f t="shared" si="44"/>
        <v>1886.12</v>
      </c>
    </row>
    <row r="294" spans="1:24" ht="43.5" customHeight="1" x14ac:dyDescent="0.35">
      <c r="A294" s="56" t="s">
        <v>2530</v>
      </c>
      <c r="B294" s="2">
        <v>275</v>
      </c>
      <c r="C294" s="77">
        <v>10018369</v>
      </c>
      <c r="D294" s="74" t="s">
        <v>14</v>
      </c>
      <c r="E294" s="74" t="s">
        <v>2167</v>
      </c>
      <c r="F294" s="75">
        <v>1</v>
      </c>
      <c r="G294" s="64" t="s">
        <v>0</v>
      </c>
      <c r="H294" s="101">
        <v>2014</v>
      </c>
      <c r="I294" s="4" t="s">
        <v>957</v>
      </c>
      <c r="J294" s="61" t="s">
        <v>1917</v>
      </c>
      <c r="K294" s="101" t="s">
        <v>2060</v>
      </c>
      <c r="L294" s="88" t="s">
        <v>845</v>
      </c>
      <c r="M294" s="65">
        <f t="shared" si="40"/>
        <v>139</v>
      </c>
      <c r="N294" s="65">
        <f t="shared" si="46"/>
        <v>139</v>
      </c>
      <c r="O294" s="65">
        <v>139</v>
      </c>
      <c r="P294" s="65">
        <v>130</v>
      </c>
      <c r="Q294" s="65">
        <f t="shared" si="41"/>
        <v>28.6</v>
      </c>
      <c r="R294" s="65">
        <f t="shared" si="42"/>
        <v>158.6</v>
      </c>
      <c r="S294" s="272"/>
      <c r="T294" s="64">
        <v>16</v>
      </c>
      <c r="U294" s="274"/>
      <c r="V294" s="38">
        <v>148</v>
      </c>
      <c r="W294" s="38">
        <f t="shared" si="43"/>
        <v>32.56</v>
      </c>
      <c r="X294" s="38">
        <f t="shared" si="44"/>
        <v>180.56</v>
      </c>
    </row>
    <row r="295" spans="1:24" ht="43.5" customHeight="1" x14ac:dyDescent="0.35">
      <c r="A295" s="56" t="s">
        <v>2531</v>
      </c>
      <c r="B295" s="64">
        <v>276</v>
      </c>
      <c r="C295" s="77">
        <v>10098269</v>
      </c>
      <c r="D295" s="74" t="s">
        <v>42</v>
      </c>
      <c r="E295" s="74" t="s">
        <v>2167</v>
      </c>
      <c r="F295" s="75">
        <v>2</v>
      </c>
      <c r="G295" s="64" t="s">
        <v>0</v>
      </c>
      <c r="H295" s="101">
        <v>2014</v>
      </c>
      <c r="I295" s="4" t="s">
        <v>957</v>
      </c>
      <c r="J295" s="61" t="s">
        <v>1917</v>
      </c>
      <c r="K295" s="101" t="s">
        <v>2062</v>
      </c>
      <c r="L295" s="88" t="s">
        <v>845</v>
      </c>
      <c r="M295" s="65">
        <f t="shared" si="40"/>
        <v>71.400000000000006</v>
      </c>
      <c r="N295" s="65">
        <f t="shared" si="46"/>
        <v>35.700000000000003</v>
      </c>
      <c r="O295" s="65">
        <v>71.400000000000006</v>
      </c>
      <c r="P295" s="65">
        <v>70</v>
      </c>
      <c r="Q295" s="65">
        <f t="shared" si="41"/>
        <v>15.4</v>
      </c>
      <c r="R295" s="65">
        <f t="shared" si="42"/>
        <v>85.4</v>
      </c>
      <c r="S295" s="272"/>
      <c r="T295" s="64">
        <v>16</v>
      </c>
      <c r="U295" s="274"/>
      <c r="V295" s="38">
        <v>76</v>
      </c>
      <c r="W295" s="38">
        <f t="shared" si="43"/>
        <v>16.72</v>
      </c>
      <c r="X295" s="38">
        <f t="shared" si="44"/>
        <v>92.72</v>
      </c>
    </row>
    <row r="296" spans="1:24" ht="43.5" customHeight="1" x14ac:dyDescent="0.35">
      <c r="A296" s="56" t="s">
        <v>2532</v>
      </c>
      <c r="B296" s="2">
        <v>277</v>
      </c>
      <c r="C296" s="77">
        <v>10149756</v>
      </c>
      <c r="D296" s="74" t="s">
        <v>49</v>
      </c>
      <c r="E296" s="74" t="s">
        <v>2167</v>
      </c>
      <c r="F296" s="75">
        <v>2</v>
      </c>
      <c r="G296" s="64" t="s">
        <v>0</v>
      </c>
      <c r="H296" s="101">
        <v>2014</v>
      </c>
      <c r="I296" s="4" t="s">
        <v>957</v>
      </c>
      <c r="J296" s="61" t="s">
        <v>1917</v>
      </c>
      <c r="K296" s="101" t="s">
        <v>2064</v>
      </c>
      <c r="L296" s="88" t="s">
        <v>845</v>
      </c>
      <c r="M296" s="65">
        <f t="shared" si="40"/>
        <v>6738.72</v>
      </c>
      <c r="N296" s="65">
        <f t="shared" si="46"/>
        <v>3369.36</v>
      </c>
      <c r="O296" s="65">
        <v>6738.72</v>
      </c>
      <c r="P296" s="65">
        <v>6240</v>
      </c>
      <c r="Q296" s="65">
        <f t="shared" si="41"/>
        <v>1372.8</v>
      </c>
      <c r="R296" s="65">
        <f t="shared" si="42"/>
        <v>7612.8</v>
      </c>
      <c r="S296" s="272"/>
      <c r="T296" s="64">
        <v>16</v>
      </c>
      <c r="U296" s="274"/>
      <c r="V296" s="38">
        <v>7162</v>
      </c>
      <c r="W296" s="38">
        <f t="shared" si="43"/>
        <v>1575.64</v>
      </c>
      <c r="X296" s="38">
        <f t="shared" si="44"/>
        <v>8737.64</v>
      </c>
    </row>
    <row r="297" spans="1:24" ht="43.5" customHeight="1" x14ac:dyDescent="0.35">
      <c r="A297" s="56" t="s">
        <v>2533</v>
      </c>
      <c r="B297" s="2">
        <v>278</v>
      </c>
      <c r="C297" s="77">
        <v>10149781</v>
      </c>
      <c r="D297" s="74" t="s">
        <v>50</v>
      </c>
      <c r="E297" s="74" t="s">
        <v>2167</v>
      </c>
      <c r="F297" s="75">
        <v>2</v>
      </c>
      <c r="G297" s="64" t="s">
        <v>0</v>
      </c>
      <c r="H297" s="101">
        <v>2014</v>
      </c>
      <c r="I297" s="4" t="s">
        <v>957</v>
      </c>
      <c r="J297" s="61" t="s">
        <v>1917</v>
      </c>
      <c r="K297" s="101" t="s">
        <v>2065</v>
      </c>
      <c r="L297" s="88" t="s">
        <v>845</v>
      </c>
      <c r="M297" s="65">
        <f t="shared" si="40"/>
        <v>2996.3</v>
      </c>
      <c r="N297" s="65">
        <f t="shared" si="46"/>
        <v>1498.15</v>
      </c>
      <c r="O297" s="65">
        <v>2996.3</v>
      </c>
      <c r="P297" s="65">
        <v>2770</v>
      </c>
      <c r="Q297" s="65">
        <f t="shared" si="41"/>
        <v>609.4</v>
      </c>
      <c r="R297" s="65">
        <f t="shared" si="42"/>
        <v>3379.4</v>
      </c>
      <c r="S297" s="272"/>
      <c r="T297" s="64">
        <v>16</v>
      </c>
      <c r="U297" s="274"/>
      <c r="V297" s="38">
        <v>3185</v>
      </c>
      <c r="W297" s="38">
        <f t="shared" si="43"/>
        <v>700.7</v>
      </c>
      <c r="X297" s="38">
        <f t="shared" si="44"/>
        <v>3885.7</v>
      </c>
    </row>
    <row r="298" spans="1:24" ht="43.5" customHeight="1" x14ac:dyDescent="0.35">
      <c r="A298" s="56" t="s">
        <v>2534</v>
      </c>
      <c r="B298" s="64">
        <v>279</v>
      </c>
      <c r="C298" s="77">
        <v>10149782</v>
      </c>
      <c r="D298" s="74" t="s">
        <v>51</v>
      </c>
      <c r="E298" s="74" t="s">
        <v>2167</v>
      </c>
      <c r="F298" s="75">
        <v>2</v>
      </c>
      <c r="G298" s="64" t="s">
        <v>0</v>
      </c>
      <c r="H298" s="101">
        <v>2014</v>
      </c>
      <c r="I298" s="4" t="s">
        <v>957</v>
      </c>
      <c r="J298" s="61" t="s">
        <v>1917</v>
      </c>
      <c r="K298" s="101" t="s">
        <v>2066</v>
      </c>
      <c r="L298" s="88" t="s">
        <v>845</v>
      </c>
      <c r="M298" s="65">
        <f t="shared" si="40"/>
        <v>2978.3</v>
      </c>
      <c r="N298" s="65">
        <f t="shared" si="46"/>
        <v>1489.15</v>
      </c>
      <c r="O298" s="65">
        <v>2978.3</v>
      </c>
      <c r="P298" s="65">
        <v>2760</v>
      </c>
      <c r="Q298" s="65">
        <f t="shared" si="41"/>
        <v>607.20000000000005</v>
      </c>
      <c r="R298" s="65">
        <f t="shared" si="42"/>
        <v>3367.2</v>
      </c>
      <c r="S298" s="272"/>
      <c r="T298" s="64">
        <v>16</v>
      </c>
      <c r="U298" s="274"/>
      <c r="V298" s="38">
        <v>3166</v>
      </c>
      <c r="W298" s="38">
        <f t="shared" si="43"/>
        <v>696.52</v>
      </c>
      <c r="X298" s="38">
        <f t="shared" si="44"/>
        <v>3862.52</v>
      </c>
    </row>
    <row r="299" spans="1:24" ht="43.5" customHeight="1" x14ac:dyDescent="0.35">
      <c r="A299" s="56" t="s">
        <v>2535</v>
      </c>
      <c r="B299" s="2">
        <v>280</v>
      </c>
      <c r="C299" s="77">
        <v>10149783</v>
      </c>
      <c r="D299" s="74" t="s">
        <v>60</v>
      </c>
      <c r="E299" s="74" t="s">
        <v>2167</v>
      </c>
      <c r="F299" s="75">
        <v>3</v>
      </c>
      <c r="G299" s="64" t="s">
        <v>0</v>
      </c>
      <c r="H299" s="101">
        <v>2014</v>
      </c>
      <c r="I299" s="4" t="s">
        <v>957</v>
      </c>
      <c r="J299" s="61" t="s">
        <v>1917</v>
      </c>
      <c r="K299" s="101" t="s">
        <v>2067</v>
      </c>
      <c r="L299" s="61" t="s">
        <v>2097</v>
      </c>
      <c r="M299" s="65">
        <f t="shared" si="40"/>
        <v>8760</v>
      </c>
      <c r="N299" s="65">
        <f t="shared" si="46"/>
        <v>2920</v>
      </c>
      <c r="O299" s="65">
        <v>8760</v>
      </c>
      <c r="P299" s="65">
        <v>11760</v>
      </c>
      <c r="Q299" s="65">
        <f t="shared" si="41"/>
        <v>2587.1999999999998</v>
      </c>
      <c r="R299" s="65">
        <f t="shared" si="42"/>
        <v>14347.2</v>
      </c>
      <c r="S299" s="272"/>
      <c r="T299" s="64">
        <v>16</v>
      </c>
      <c r="U299" s="274"/>
      <c r="V299" s="38">
        <v>13501</v>
      </c>
      <c r="W299" s="38">
        <f t="shared" si="43"/>
        <v>2970.22</v>
      </c>
      <c r="X299" s="38">
        <f t="shared" si="44"/>
        <v>16471.22</v>
      </c>
    </row>
    <row r="300" spans="1:24" ht="43.5" customHeight="1" x14ac:dyDescent="0.35">
      <c r="A300" s="56" t="s">
        <v>2536</v>
      </c>
      <c r="B300" s="2">
        <v>281</v>
      </c>
      <c r="C300" s="77">
        <v>10143850</v>
      </c>
      <c r="D300" s="74" t="s">
        <v>81</v>
      </c>
      <c r="E300" s="74" t="s">
        <v>2167</v>
      </c>
      <c r="F300" s="75">
        <v>8</v>
      </c>
      <c r="G300" s="64" t="s">
        <v>0</v>
      </c>
      <c r="H300" s="101">
        <v>2014</v>
      </c>
      <c r="I300" s="4" t="s">
        <v>957</v>
      </c>
      <c r="J300" s="61" t="s">
        <v>1917</v>
      </c>
      <c r="K300" s="101" t="s">
        <v>2071</v>
      </c>
      <c r="L300" s="61" t="s">
        <v>2097</v>
      </c>
      <c r="M300" s="65">
        <f t="shared" si="40"/>
        <v>5427.2</v>
      </c>
      <c r="N300" s="65">
        <f t="shared" si="46"/>
        <v>678.4</v>
      </c>
      <c r="O300" s="65">
        <v>5427.2</v>
      </c>
      <c r="P300" s="65">
        <v>7290</v>
      </c>
      <c r="Q300" s="65">
        <f t="shared" si="41"/>
        <v>1603.8</v>
      </c>
      <c r="R300" s="65">
        <f t="shared" si="42"/>
        <v>8893.7999999999993</v>
      </c>
      <c r="S300" s="272"/>
      <c r="T300" s="64">
        <v>16</v>
      </c>
      <c r="U300" s="274"/>
      <c r="V300" s="38">
        <v>8364</v>
      </c>
      <c r="W300" s="38">
        <f t="shared" si="43"/>
        <v>1840.08</v>
      </c>
      <c r="X300" s="38">
        <f t="shared" si="44"/>
        <v>10204.08</v>
      </c>
    </row>
    <row r="301" spans="1:24" ht="43.5" customHeight="1" x14ac:dyDescent="0.35">
      <c r="A301" s="56" t="s">
        <v>2537</v>
      </c>
      <c r="B301" s="64">
        <v>282</v>
      </c>
      <c r="C301" s="74">
        <v>10012181</v>
      </c>
      <c r="D301" s="74" t="s">
        <v>2098</v>
      </c>
      <c r="E301" s="74" t="s">
        <v>2176</v>
      </c>
      <c r="F301" s="75">
        <v>5.1999999999999998E-2</v>
      </c>
      <c r="G301" s="64" t="s">
        <v>3</v>
      </c>
      <c r="H301" s="78">
        <v>41526</v>
      </c>
      <c r="I301" s="64" t="s">
        <v>957</v>
      </c>
      <c r="J301" s="63" t="s">
        <v>1917</v>
      </c>
      <c r="K301" s="63" t="s">
        <v>961</v>
      </c>
      <c r="L301" s="61" t="s">
        <v>845</v>
      </c>
      <c r="M301" s="65">
        <f t="shared" si="40"/>
        <v>5968.5</v>
      </c>
      <c r="N301" s="65">
        <f t="shared" si="46"/>
        <v>114778.85</v>
      </c>
      <c r="O301" s="65">
        <v>5968.5</v>
      </c>
      <c r="P301" s="65">
        <v>5510</v>
      </c>
      <c r="Q301" s="65">
        <f t="shared" si="41"/>
        <v>1212.2</v>
      </c>
      <c r="R301" s="65">
        <f t="shared" si="42"/>
        <v>6722.2</v>
      </c>
      <c r="S301" s="272"/>
      <c r="T301" s="64">
        <v>16</v>
      </c>
      <c r="U301" s="274"/>
      <c r="V301" s="38">
        <v>6323</v>
      </c>
      <c r="W301" s="38">
        <f t="shared" si="43"/>
        <v>1391.06</v>
      </c>
      <c r="X301" s="38">
        <f t="shared" si="44"/>
        <v>7714.06</v>
      </c>
    </row>
    <row r="302" spans="1:24" ht="43.5" customHeight="1" x14ac:dyDescent="0.35">
      <c r="A302" s="56" t="s">
        <v>2538</v>
      </c>
      <c r="B302" s="2">
        <v>283</v>
      </c>
      <c r="C302" s="77">
        <v>10001072</v>
      </c>
      <c r="D302" s="74" t="s">
        <v>110</v>
      </c>
      <c r="E302" s="74" t="s">
        <v>2155</v>
      </c>
      <c r="F302" s="75">
        <v>14</v>
      </c>
      <c r="G302" s="64" t="s">
        <v>0</v>
      </c>
      <c r="H302" s="61">
        <v>42004</v>
      </c>
      <c r="I302" s="61" t="s">
        <v>2094</v>
      </c>
      <c r="J302" s="63" t="s">
        <v>1917</v>
      </c>
      <c r="K302" s="61" t="s">
        <v>961</v>
      </c>
      <c r="L302" s="69" t="s">
        <v>2093</v>
      </c>
      <c r="M302" s="70">
        <f t="shared" si="40"/>
        <v>31197.18</v>
      </c>
      <c r="N302" s="70">
        <f t="shared" si="46"/>
        <v>2228.37</v>
      </c>
      <c r="O302" s="70">
        <v>31197.18</v>
      </c>
      <c r="P302" s="65">
        <v>28980</v>
      </c>
      <c r="Q302" s="65">
        <f t="shared" si="41"/>
        <v>6375.6</v>
      </c>
      <c r="R302" s="65">
        <f t="shared" si="42"/>
        <v>35355.599999999999</v>
      </c>
      <c r="S302" s="272"/>
      <c r="T302" s="64">
        <v>16</v>
      </c>
      <c r="U302" s="274"/>
      <c r="V302" s="38">
        <v>33268</v>
      </c>
      <c r="W302" s="38">
        <f t="shared" si="43"/>
        <v>7318.96</v>
      </c>
      <c r="X302" s="38">
        <f t="shared" si="44"/>
        <v>40586.959999999999</v>
      </c>
    </row>
    <row r="303" spans="1:24" ht="43.5" customHeight="1" x14ac:dyDescent="0.35">
      <c r="A303" s="56" t="s">
        <v>2539</v>
      </c>
      <c r="B303" s="2">
        <v>284</v>
      </c>
      <c r="C303" s="77">
        <v>10139801</v>
      </c>
      <c r="D303" s="74" t="s">
        <v>216</v>
      </c>
      <c r="E303" s="74" t="s">
        <v>2199</v>
      </c>
      <c r="F303" s="75">
        <v>1</v>
      </c>
      <c r="G303" s="64" t="s">
        <v>0</v>
      </c>
      <c r="H303" s="61">
        <v>40603</v>
      </c>
      <c r="I303" s="61" t="s">
        <v>2094</v>
      </c>
      <c r="J303" s="63" t="s">
        <v>1917</v>
      </c>
      <c r="K303" s="61" t="s">
        <v>961</v>
      </c>
      <c r="L303" s="88" t="s">
        <v>845</v>
      </c>
      <c r="M303" s="76">
        <f t="shared" si="40"/>
        <v>68361.899999999994</v>
      </c>
      <c r="N303" s="76">
        <f t="shared" si="46"/>
        <v>68361.899999999994</v>
      </c>
      <c r="O303" s="76">
        <v>68361.899999999994</v>
      </c>
      <c r="P303" s="65">
        <v>65730</v>
      </c>
      <c r="Q303" s="65">
        <f t="shared" si="41"/>
        <v>14460.6</v>
      </c>
      <c r="R303" s="65">
        <f t="shared" si="42"/>
        <v>80190.600000000006</v>
      </c>
      <c r="S303" s="272"/>
      <c r="T303" s="64">
        <v>16</v>
      </c>
      <c r="U303" s="274"/>
      <c r="V303" s="38">
        <v>75465</v>
      </c>
      <c r="W303" s="38">
        <f t="shared" si="43"/>
        <v>16602.3</v>
      </c>
      <c r="X303" s="38">
        <f t="shared" si="44"/>
        <v>92067.3</v>
      </c>
    </row>
    <row r="304" spans="1:24" ht="30" customHeight="1" x14ac:dyDescent="0.35">
      <c r="A304" s="56" t="s">
        <v>2540</v>
      </c>
      <c r="B304" s="64">
        <v>285</v>
      </c>
      <c r="C304" s="77">
        <v>10099690</v>
      </c>
      <c r="D304" s="74" t="s">
        <v>228</v>
      </c>
      <c r="E304" s="74" t="s">
        <v>4084</v>
      </c>
      <c r="F304" s="75">
        <v>2</v>
      </c>
      <c r="G304" s="64" t="s">
        <v>0</v>
      </c>
      <c r="H304" s="61">
        <v>42430</v>
      </c>
      <c r="I304" s="61" t="s">
        <v>2094</v>
      </c>
      <c r="J304" s="63" t="s">
        <v>1917</v>
      </c>
      <c r="K304" s="61" t="s">
        <v>961</v>
      </c>
      <c r="L304" s="88" t="s">
        <v>845</v>
      </c>
      <c r="M304" s="76">
        <f t="shared" si="40"/>
        <v>52269.97</v>
      </c>
      <c r="N304" s="76">
        <f t="shared" si="46"/>
        <v>26134.99</v>
      </c>
      <c r="O304" s="76">
        <v>52269.97</v>
      </c>
      <c r="P304" s="65">
        <v>43040</v>
      </c>
      <c r="Q304" s="65">
        <f t="shared" si="41"/>
        <v>9468.7999999999993</v>
      </c>
      <c r="R304" s="65">
        <f t="shared" si="42"/>
        <v>52508.800000000003</v>
      </c>
      <c r="S304" s="272"/>
      <c r="T304" s="64">
        <v>16</v>
      </c>
      <c r="U304" s="274"/>
      <c r="V304" s="38">
        <v>49419</v>
      </c>
      <c r="W304" s="38">
        <f t="shared" si="43"/>
        <v>10872.18</v>
      </c>
      <c r="X304" s="38">
        <f t="shared" si="44"/>
        <v>60291.18</v>
      </c>
    </row>
    <row r="305" spans="1:24" ht="30" customHeight="1" x14ac:dyDescent="0.35">
      <c r="A305" s="56" t="s">
        <v>2541</v>
      </c>
      <c r="B305" s="2">
        <v>286</v>
      </c>
      <c r="C305" s="77">
        <v>10155502</v>
      </c>
      <c r="D305" s="74" t="s">
        <v>2096</v>
      </c>
      <c r="E305" s="74" t="s">
        <v>2199</v>
      </c>
      <c r="F305" s="75">
        <v>1</v>
      </c>
      <c r="G305" s="64" t="s">
        <v>0</v>
      </c>
      <c r="H305" s="64">
        <v>2014</v>
      </c>
      <c r="I305" s="64" t="s">
        <v>2094</v>
      </c>
      <c r="J305" s="63" t="s">
        <v>1917</v>
      </c>
      <c r="K305" s="63" t="s">
        <v>961</v>
      </c>
      <c r="L305" s="64" t="s">
        <v>845</v>
      </c>
      <c r="M305" s="65">
        <f t="shared" si="40"/>
        <v>66252.27</v>
      </c>
      <c r="N305" s="65">
        <f t="shared" si="46"/>
        <v>66252.27</v>
      </c>
      <c r="O305" s="65">
        <v>66252.27</v>
      </c>
      <c r="P305" s="65">
        <v>61540</v>
      </c>
      <c r="Q305" s="65">
        <f t="shared" si="41"/>
        <v>13538.8</v>
      </c>
      <c r="R305" s="65">
        <f t="shared" si="42"/>
        <v>75078.8</v>
      </c>
      <c r="S305" s="272"/>
      <c r="T305" s="64">
        <v>16</v>
      </c>
      <c r="U305" s="274"/>
      <c r="V305" s="38">
        <v>70649</v>
      </c>
      <c r="W305" s="38">
        <f t="shared" si="43"/>
        <v>15542.78</v>
      </c>
      <c r="X305" s="38">
        <f t="shared" si="44"/>
        <v>86191.78</v>
      </c>
    </row>
    <row r="306" spans="1:24" ht="28.5" customHeight="1" x14ac:dyDescent="0.35">
      <c r="A306" s="56" t="s">
        <v>2542</v>
      </c>
      <c r="B306" s="2">
        <v>287</v>
      </c>
      <c r="C306" s="77">
        <v>10087729</v>
      </c>
      <c r="D306" s="74" t="s">
        <v>56</v>
      </c>
      <c r="E306" s="74" t="s">
        <v>2167</v>
      </c>
      <c r="F306" s="75">
        <v>3</v>
      </c>
      <c r="G306" s="64" t="s">
        <v>0</v>
      </c>
      <c r="H306" s="61">
        <v>41431</v>
      </c>
      <c r="I306" s="4" t="s">
        <v>957</v>
      </c>
      <c r="J306" s="61" t="s">
        <v>1917</v>
      </c>
      <c r="K306" s="61" t="s">
        <v>1982</v>
      </c>
      <c r="L306" s="69" t="s">
        <v>2093</v>
      </c>
      <c r="M306" s="70">
        <f t="shared" ref="M306:M315" si="47">O306</f>
        <v>79443</v>
      </c>
      <c r="N306" s="70">
        <f t="shared" si="46"/>
        <v>26481</v>
      </c>
      <c r="O306" s="70">
        <v>79443</v>
      </c>
      <c r="P306" s="65">
        <v>73790</v>
      </c>
      <c r="Q306" s="65">
        <f t="shared" si="41"/>
        <v>16233.8</v>
      </c>
      <c r="R306" s="65">
        <f t="shared" si="42"/>
        <v>90023.8</v>
      </c>
      <c r="S306" s="272"/>
      <c r="T306" s="64">
        <v>16</v>
      </c>
      <c r="U306" s="274"/>
      <c r="V306" s="38">
        <v>84716</v>
      </c>
      <c r="W306" s="38">
        <f t="shared" si="43"/>
        <v>18637.52</v>
      </c>
      <c r="X306" s="38">
        <f t="shared" si="44"/>
        <v>103353.52</v>
      </c>
    </row>
    <row r="307" spans="1:24" ht="30" customHeight="1" x14ac:dyDescent="0.35">
      <c r="A307" s="56" t="s">
        <v>2543</v>
      </c>
      <c r="B307" s="64">
        <v>288</v>
      </c>
      <c r="C307" s="77">
        <v>10155302</v>
      </c>
      <c r="D307" s="74" t="s">
        <v>30</v>
      </c>
      <c r="E307" s="74" t="s">
        <v>2167</v>
      </c>
      <c r="F307" s="75">
        <v>1</v>
      </c>
      <c r="G307" s="64" t="s">
        <v>0</v>
      </c>
      <c r="H307" s="61">
        <v>42247</v>
      </c>
      <c r="I307" s="4" t="s">
        <v>957</v>
      </c>
      <c r="J307" s="61" t="s">
        <v>1917</v>
      </c>
      <c r="K307" s="61" t="s">
        <v>1986</v>
      </c>
      <c r="L307" s="88" t="s">
        <v>845</v>
      </c>
      <c r="M307" s="65">
        <f t="shared" si="47"/>
        <v>1103.0999999999999</v>
      </c>
      <c r="N307" s="65">
        <f t="shared" si="46"/>
        <v>1103.0999999999999</v>
      </c>
      <c r="O307" s="65">
        <v>1103.0999999999999</v>
      </c>
      <c r="P307" s="65">
        <v>930</v>
      </c>
      <c r="Q307" s="65">
        <f t="shared" si="41"/>
        <v>204.6</v>
      </c>
      <c r="R307" s="65">
        <f t="shared" si="42"/>
        <v>1134.5999999999999</v>
      </c>
      <c r="S307" s="272"/>
      <c r="T307" s="64">
        <v>16</v>
      </c>
      <c r="U307" s="274"/>
      <c r="V307" s="38">
        <v>1065</v>
      </c>
      <c r="W307" s="38">
        <f t="shared" si="43"/>
        <v>234.3</v>
      </c>
      <c r="X307" s="38">
        <f t="shared" si="44"/>
        <v>1299.3</v>
      </c>
    </row>
    <row r="308" spans="1:24" ht="42" customHeight="1" x14ac:dyDescent="0.35">
      <c r="A308" s="56" t="s">
        <v>2544</v>
      </c>
      <c r="B308" s="2">
        <v>289</v>
      </c>
      <c r="C308" s="77">
        <v>10001198</v>
      </c>
      <c r="D308" s="74" t="s">
        <v>33</v>
      </c>
      <c r="E308" s="74" t="s">
        <v>2167</v>
      </c>
      <c r="F308" s="75">
        <v>2</v>
      </c>
      <c r="G308" s="64" t="s">
        <v>0</v>
      </c>
      <c r="H308" s="61">
        <v>42252</v>
      </c>
      <c r="I308" s="4" t="s">
        <v>957</v>
      </c>
      <c r="J308" s="61" t="s">
        <v>1917</v>
      </c>
      <c r="K308" s="61" t="s">
        <v>1987</v>
      </c>
      <c r="L308" s="88" t="s">
        <v>845</v>
      </c>
      <c r="M308" s="65">
        <f t="shared" si="47"/>
        <v>1432.14</v>
      </c>
      <c r="N308" s="65">
        <f t="shared" si="46"/>
        <v>716.07</v>
      </c>
      <c r="O308" s="65">
        <v>1432.14</v>
      </c>
      <c r="P308" s="65">
        <v>1210</v>
      </c>
      <c r="Q308" s="65">
        <f t="shared" si="41"/>
        <v>266.2</v>
      </c>
      <c r="R308" s="65">
        <f t="shared" si="42"/>
        <v>1476.2</v>
      </c>
      <c r="S308" s="272"/>
      <c r="T308" s="64">
        <v>16</v>
      </c>
      <c r="U308" s="274"/>
      <c r="V308" s="38">
        <v>1387</v>
      </c>
      <c r="W308" s="38">
        <f t="shared" si="43"/>
        <v>305.14</v>
      </c>
      <c r="X308" s="38">
        <f t="shared" si="44"/>
        <v>1692.14</v>
      </c>
    </row>
    <row r="309" spans="1:24" ht="43.5" customHeight="1" x14ac:dyDescent="0.35">
      <c r="A309" s="56" t="s">
        <v>2545</v>
      </c>
      <c r="B309" s="2">
        <v>290</v>
      </c>
      <c r="C309" s="77">
        <v>10006503</v>
      </c>
      <c r="D309" s="74" t="s">
        <v>34</v>
      </c>
      <c r="E309" s="74" t="s">
        <v>2167</v>
      </c>
      <c r="F309" s="75">
        <v>2</v>
      </c>
      <c r="G309" s="64" t="s">
        <v>0</v>
      </c>
      <c r="H309" s="61">
        <v>42004</v>
      </c>
      <c r="I309" s="4" t="s">
        <v>957</v>
      </c>
      <c r="J309" s="61" t="s">
        <v>1917</v>
      </c>
      <c r="K309" s="61" t="s">
        <v>1988</v>
      </c>
      <c r="L309" s="88" t="s">
        <v>845</v>
      </c>
      <c r="M309" s="65">
        <f t="shared" si="47"/>
        <v>20704</v>
      </c>
      <c r="N309" s="65">
        <f t="shared" si="46"/>
        <v>10352</v>
      </c>
      <c r="O309" s="65">
        <v>20704</v>
      </c>
      <c r="P309" s="65">
        <v>19230</v>
      </c>
      <c r="Q309" s="65">
        <f t="shared" si="41"/>
        <v>4230.6000000000004</v>
      </c>
      <c r="R309" s="65">
        <f t="shared" si="42"/>
        <v>23460.6</v>
      </c>
      <c r="S309" s="272"/>
      <c r="T309" s="64">
        <v>16</v>
      </c>
      <c r="U309" s="274"/>
      <c r="V309" s="38">
        <v>22078</v>
      </c>
      <c r="W309" s="38">
        <f t="shared" si="43"/>
        <v>4857.16</v>
      </c>
      <c r="X309" s="38">
        <f t="shared" si="44"/>
        <v>26935.16</v>
      </c>
    </row>
    <row r="310" spans="1:24" ht="46.5" customHeight="1" x14ac:dyDescent="0.35">
      <c r="A310" s="56" t="s">
        <v>2546</v>
      </c>
      <c r="B310" s="64">
        <v>291</v>
      </c>
      <c r="C310" s="77">
        <v>10106490</v>
      </c>
      <c r="D310" s="74" t="s">
        <v>43</v>
      </c>
      <c r="E310" s="74" t="s">
        <v>2167</v>
      </c>
      <c r="F310" s="75">
        <v>2</v>
      </c>
      <c r="G310" s="64" t="s">
        <v>0</v>
      </c>
      <c r="H310" s="61">
        <v>42004</v>
      </c>
      <c r="I310" s="4" t="s">
        <v>957</v>
      </c>
      <c r="J310" s="61" t="s">
        <v>1917</v>
      </c>
      <c r="K310" s="61" t="s">
        <v>1990</v>
      </c>
      <c r="L310" s="88" t="s">
        <v>845</v>
      </c>
      <c r="M310" s="65">
        <f t="shared" si="47"/>
        <v>8019</v>
      </c>
      <c r="N310" s="65">
        <f t="shared" si="46"/>
        <v>4009.5</v>
      </c>
      <c r="O310" s="65">
        <v>8019</v>
      </c>
      <c r="P310" s="65">
        <v>7450</v>
      </c>
      <c r="Q310" s="65">
        <f t="shared" si="41"/>
        <v>1639</v>
      </c>
      <c r="R310" s="65">
        <f t="shared" si="42"/>
        <v>9089</v>
      </c>
      <c r="S310" s="272"/>
      <c r="T310" s="64">
        <v>16</v>
      </c>
      <c r="U310" s="274"/>
      <c r="V310" s="38">
        <v>8551</v>
      </c>
      <c r="W310" s="38">
        <f t="shared" si="43"/>
        <v>1881.22</v>
      </c>
      <c r="X310" s="38">
        <f t="shared" si="44"/>
        <v>10432.219999999999</v>
      </c>
    </row>
    <row r="311" spans="1:24" ht="39" customHeight="1" x14ac:dyDescent="0.35">
      <c r="A311" s="56" t="s">
        <v>2547</v>
      </c>
      <c r="B311" s="2">
        <v>292</v>
      </c>
      <c r="C311" s="77">
        <v>10005303</v>
      </c>
      <c r="D311" s="74" t="s">
        <v>10</v>
      </c>
      <c r="E311" s="74" t="s">
        <v>2167</v>
      </c>
      <c r="F311" s="75">
        <v>0.81699999999999995</v>
      </c>
      <c r="G311" s="64" t="s">
        <v>3</v>
      </c>
      <c r="H311" s="101">
        <v>2014</v>
      </c>
      <c r="I311" s="4" t="s">
        <v>957</v>
      </c>
      <c r="J311" s="61" t="s">
        <v>1917</v>
      </c>
      <c r="K311" s="101" t="s">
        <v>2058</v>
      </c>
      <c r="L311" s="88" t="s">
        <v>845</v>
      </c>
      <c r="M311" s="65">
        <f t="shared" si="47"/>
        <v>35226.49</v>
      </c>
      <c r="N311" s="65">
        <f t="shared" si="46"/>
        <v>43116.88</v>
      </c>
      <c r="O311" s="65">
        <v>35226.49</v>
      </c>
      <c r="P311" s="65">
        <v>32610</v>
      </c>
      <c r="Q311" s="65">
        <f t="shared" si="41"/>
        <v>7174.2</v>
      </c>
      <c r="R311" s="65">
        <f t="shared" si="42"/>
        <v>39784.199999999997</v>
      </c>
      <c r="S311" s="272"/>
      <c r="T311" s="64">
        <v>16</v>
      </c>
      <c r="U311" s="274"/>
      <c r="V311" s="38">
        <v>37441</v>
      </c>
      <c r="W311" s="38">
        <f t="shared" si="43"/>
        <v>8237.02</v>
      </c>
      <c r="X311" s="38">
        <f t="shared" si="44"/>
        <v>45678.02</v>
      </c>
    </row>
    <row r="312" spans="1:24" ht="87.75" customHeight="1" x14ac:dyDescent="0.35">
      <c r="A312" s="56" t="s">
        <v>2548</v>
      </c>
      <c r="B312" s="2">
        <v>293</v>
      </c>
      <c r="C312" s="77">
        <v>10010365</v>
      </c>
      <c r="D312" s="74" t="s">
        <v>13</v>
      </c>
      <c r="E312" s="74" t="s">
        <v>2167</v>
      </c>
      <c r="F312" s="75">
        <v>1</v>
      </c>
      <c r="G312" s="64" t="s">
        <v>0</v>
      </c>
      <c r="H312" s="101">
        <v>2014</v>
      </c>
      <c r="I312" s="4" t="s">
        <v>957</v>
      </c>
      <c r="J312" s="61" t="s">
        <v>1917</v>
      </c>
      <c r="K312" s="101" t="s">
        <v>2059</v>
      </c>
      <c r="L312" s="88" t="s">
        <v>845</v>
      </c>
      <c r="M312" s="65">
        <f t="shared" si="47"/>
        <v>1946.5</v>
      </c>
      <c r="N312" s="65">
        <f t="shared" si="46"/>
        <v>1946.5</v>
      </c>
      <c r="O312" s="65">
        <v>1946.5</v>
      </c>
      <c r="P312" s="65">
        <v>1800</v>
      </c>
      <c r="Q312" s="65">
        <f t="shared" si="41"/>
        <v>396</v>
      </c>
      <c r="R312" s="65">
        <f t="shared" si="42"/>
        <v>2196</v>
      </c>
      <c r="S312" s="272"/>
      <c r="T312" s="64">
        <v>16</v>
      </c>
      <c r="U312" s="274"/>
      <c r="V312" s="38">
        <v>2069</v>
      </c>
      <c r="W312" s="38">
        <f t="shared" si="43"/>
        <v>455.18</v>
      </c>
      <c r="X312" s="38">
        <f t="shared" si="44"/>
        <v>2524.1799999999998</v>
      </c>
    </row>
    <row r="313" spans="1:24" ht="30" customHeight="1" x14ac:dyDescent="0.35">
      <c r="A313" s="56" t="s">
        <v>2549</v>
      </c>
      <c r="B313" s="64">
        <v>294</v>
      </c>
      <c r="C313" s="77">
        <v>10107633</v>
      </c>
      <c r="D313" s="74" t="s">
        <v>20</v>
      </c>
      <c r="E313" s="74" t="s">
        <v>2167</v>
      </c>
      <c r="F313" s="75">
        <v>1</v>
      </c>
      <c r="G313" s="64" t="s">
        <v>0</v>
      </c>
      <c r="H313" s="101">
        <v>2014</v>
      </c>
      <c r="I313" s="4" t="s">
        <v>957</v>
      </c>
      <c r="J313" s="61" t="s">
        <v>1917</v>
      </c>
      <c r="K313" s="101" t="s">
        <v>2061</v>
      </c>
      <c r="L313" s="88" t="s">
        <v>845</v>
      </c>
      <c r="M313" s="65">
        <f t="shared" si="47"/>
        <v>3521.05</v>
      </c>
      <c r="N313" s="65">
        <f t="shared" si="46"/>
        <v>3521.05</v>
      </c>
      <c r="O313" s="65">
        <v>3521.05</v>
      </c>
      <c r="P313" s="65">
        <v>3260</v>
      </c>
      <c r="Q313" s="65">
        <f t="shared" si="41"/>
        <v>717.2</v>
      </c>
      <c r="R313" s="65">
        <f t="shared" si="42"/>
        <v>3977.2</v>
      </c>
      <c r="S313" s="272"/>
      <c r="T313" s="64">
        <v>16</v>
      </c>
      <c r="U313" s="274"/>
      <c r="V313" s="38">
        <v>3742</v>
      </c>
      <c r="W313" s="38">
        <f t="shared" si="43"/>
        <v>823.24</v>
      </c>
      <c r="X313" s="38">
        <f t="shared" si="44"/>
        <v>4565.24</v>
      </c>
    </row>
    <row r="314" spans="1:24" ht="30" customHeight="1" x14ac:dyDescent="0.35">
      <c r="A314" s="56" t="s">
        <v>2550</v>
      </c>
      <c r="B314" s="2">
        <v>295</v>
      </c>
      <c r="C314" s="77">
        <v>10006226</v>
      </c>
      <c r="D314" s="74" t="s">
        <v>130</v>
      </c>
      <c r="E314" s="74" t="s">
        <v>2167</v>
      </c>
      <c r="F314" s="75">
        <f>355.94-112.85-45.21</f>
        <v>197.88</v>
      </c>
      <c r="G314" s="64" t="s">
        <v>17</v>
      </c>
      <c r="H314" s="101">
        <v>2014</v>
      </c>
      <c r="I314" s="4" t="s">
        <v>957</v>
      </c>
      <c r="J314" s="61" t="s">
        <v>1917</v>
      </c>
      <c r="K314" s="101" t="s">
        <v>2084</v>
      </c>
      <c r="L314" s="88" t="s">
        <v>845</v>
      </c>
      <c r="M314" s="76">
        <f t="shared" si="47"/>
        <v>288468.2</v>
      </c>
      <c r="N314" s="76">
        <f t="shared" si="46"/>
        <v>1457.79</v>
      </c>
      <c r="O314" s="76">
        <f>518887.06/355.94*197.88</f>
        <v>288468.2</v>
      </c>
      <c r="P314" s="65">
        <v>267050</v>
      </c>
      <c r="Q314" s="65">
        <f t="shared" si="41"/>
        <v>58751</v>
      </c>
      <c r="R314" s="65">
        <f t="shared" si="42"/>
        <v>325801</v>
      </c>
      <c r="S314" s="272"/>
      <c r="T314" s="64">
        <v>16</v>
      </c>
      <c r="U314" s="274"/>
      <c r="V314" s="38">
        <v>306606</v>
      </c>
      <c r="W314" s="38">
        <f t="shared" si="43"/>
        <v>67453.320000000007</v>
      </c>
      <c r="X314" s="38">
        <f t="shared" si="44"/>
        <v>374059.32</v>
      </c>
    </row>
    <row r="315" spans="1:24" ht="30" customHeight="1" x14ac:dyDescent="0.35">
      <c r="A315" s="56" t="s">
        <v>3991</v>
      </c>
      <c r="B315" s="2">
        <v>296</v>
      </c>
      <c r="C315" s="77">
        <v>10006226</v>
      </c>
      <c r="D315" s="74" t="s">
        <v>130</v>
      </c>
      <c r="E315" s="74" t="s">
        <v>3989</v>
      </c>
      <c r="F315" s="75">
        <v>45.21</v>
      </c>
      <c r="G315" s="64" t="s">
        <v>17</v>
      </c>
      <c r="H315" s="101">
        <v>2014</v>
      </c>
      <c r="I315" s="4" t="s">
        <v>957</v>
      </c>
      <c r="J315" s="61" t="s">
        <v>1917</v>
      </c>
      <c r="K315" s="101" t="s">
        <v>2084</v>
      </c>
      <c r="L315" s="88" t="s">
        <v>845</v>
      </c>
      <c r="M315" s="76">
        <f t="shared" si="47"/>
        <v>65906.850000000006</v>
      </c>
      <c r="N315" s="76">
        <f>M315/F315</f>
        <v>1457.79</v>
      </c>
      <c r="O315" s="76">
        <v>65906.850000000006</v>
      </c>
      <c r="P315" s="65">
        <v>61010</v>
      </c>
      <c r="Q315" s="65">
        <f t="shared" si="41"/>
        <v>13422.2</v>
      </c>
      <c r="R315" s="65">
        <f t="shared" si="42"/>
        <v>74432.2</v>
      </c>
      <c r="S315" s="276"/>
      <c r="T315" s="64">
        <v>16</v>
      </c>
      <c r="U315" s="274"/>
      <c r="V315" s="38">
        <v>70051</v>
      </c>
      <c r="W315" s="38">
        <f t="shared" si="43"/>
        <v>15411.22</v>
      </c>
      <c r="X315" s="38">
        <f t="shared" si="44"/>
        <v>85462.22</v>
      </c>
    </row>
    <row r="316" spans="1:24" ht="15" customHeight="1" x14ac:dyDescent="0.35">
      <c r="A316" s="56"/>
      <c r="B316" s="15"/>
      <c r="C316" s="77"/>
      <c r="D316" s="74"/>
      <c r="E316" s="74"/>
      <c r="F316" s="75"/>
      <c r="G316" s="64"/>
      <c r="H316" s="101"/>
      <c r="I316" s="4"/>
      <c r="J316" s="61"/>
      <c r="K316" s="101"/>
      <c r="L316" s="88"/>
      <c r="M316" s="76"/>
      <c r="N316" s="76"/>
      <c r="O316" s="81">
        <f>SUM(O268:O315)</f>
        <v>949481.02</v>
      </c>
      <c r="P316" s="81">
        <f>SUM(P268:P315)</f>
        <v>868320</v>
      </c>
      <c r="Q316" s="81">
        <f>SUM(Q268:Q315)</f>
        <v>191030.39999999999</v>
      </c>
      <c r="R316" s="81">
        <f>SUM(R268:R315)</f>
        <v>1059350.3999999999</v>
      </c>
      <c r="S316" s="72">
        <f>R316/100*10</f>
        <v>105935.03999999999</v>
      </c>
      <c r="T316" s="73">
        <v>16</v>
      </c>
      <c r="U316" s="275"/>
      <c r="V316" s="38"/>
      <c r="W316" s="38"/>
      <c r="X316" s="38"/>
    </row>
    <row r="317" spans="1:24" ht="15.75" customHeight="1" x14ac:dyDescent="0.35">
      <c r="A317" s="56" t="s">
        <v>2551</v>
      </c>
      <c r="B317" s="2">
        <v>297</v>
      </c>
      <c r="C317" s="77">
        <v>10027085</v>
      </c>
      <c r="D317" s="74" t="s">
        <v>1807</v>
      </c>
      <c r="E317" s="74" t="s">
        <v>2167</v>
      </c>
      <c r="F317" s="75">
        <v>5</v>
      </c>
      <c r="G317" s="64" t="s">
        <v>0</v>
      </c>
      <c r="H317" s="78">
        <v>39355</v>
      </c>
      <c r="I317" s="4" t="s">
        <v>957</v>
      </c>
      <c r="J317" s="63" t="s">
        <v>1917</v>
      </c>
      <c r="K317" s="63" t="s">
        <v>961</v>
      </c>
      <c r="L317" s="69" t="s">
        <v>950</v>
      </c>
      <c r="M317" s="70">
        <f>O317</f>
        <v>0.13</v>
      </c>
      <c r="N317" s="70">
        <f>O317/F317</f>
        <v>0.03</v>
      </c>
      <c r="O317" s="70">
        <v>0.13</v>
      </c>
      <c r="P317" s="65">
        <v>590</v>
      </c>
      <c r="Q317" s="65">
        <f t="shared" si="41"/>
        <v>129.80000000000001</v>
      </c>
      <c r="R317" s="65">
        <f t="shared" si="42"/>
        <v>719.8</v>
      </c>
      <c r="S317" s="267"/>
      <c r="T317" s="64">
        <v>17</v>
      </c>
      <c r="U317" s="273" t="s">
        <v>2257</v>
      </c>
      <c r="V317" s="38">
        <v>631</v>
      </c>
      <c r="W317" s="38">
        <f t="shared" si="43"/>
        <v>138.82</v>
      </c>
      <c r="X317" s="38">
        <f t="shared" si="44"/>
        <v>769.82</v>
      </c>
    </row>
    <row r="318" spans="1:24" ht="30" customHeight="1" x14ac:dyDescent="0.35">
      <c r="A318" s="56" t="s">
        <v>2552</v>
      </c>
      <c r="B318" s="2">
        <v>298</v>
      </c>
      <c r="C318" s="77">
        <v>10027363</v>
      </c>
      <c r="D318" s="74" t="s">
        <v>126</v>
      </c>
      <c r="E318" s="74" t="s">
        <v>2167</v>
      </c>
      <c r="F318" s="75">
        <v>312</v>
      </c>
      <c r="G318" s="64" t="s">
        <v>0</v>
      </c>
      <c r="H318" s="101">
        <v>2014</v>
      </c>
      <c r="I318" s="4" t="s">
        <v>957</v>
      </c>
      <c r="J318" s="61" t="s">
        <v>1917</v>
      </c>
      <c r="K318" s="101" t="s">
        <v>1999</v>
      </c>
      <c r="L318" s="61" t="s">
        <v>2097</v>
      </c>
      <c r="M318" s="65">
        <f>O318</f>
        <v>19546.8</v>
      </c>
      <c r="N318" s="65">
        <f>O318/F318</f>
        <v>62.65</v>
      </c>
      <c r="O318" s="65">
        <v>19546.8</v>
      </c>
      <c r="P318" s="65">
        <v>28140</v>
      </c>
      <c r="Q318" s="65">
        <f t="shared" si="41"/>
        <v>6190.8</v>
      </c>
      <c r="R318" s="65">
        <f t="shared" si="42"/>
        <v>34330.800000000003</v>
      </c>
      <c r="S318" s="272"/>
      <c r="T318" s="64">
        <v>17</v>
      </c>
      <c r="U318" s="274"/>
      <c r="V318" s="38">
        <v>30255</v>
      </c>
      <c r="W318" s="38">
        <f t="shared" si="43"/>
        <v>6656.1</v>
      </c>
      <c r="X318" s="38">
        <f t="shared" si="44"/>
        <v>36911.1</v>
      </c>
    </row>
    <row r="319" spans="1:24" ht="30" customHeight="1" x14ac:dyDescent="0.35">
      <c r="A319" s="56" t="s">
        <v>2553</v>
      </c>
      <c r="B319" s="2">
        <v>299</v>
      </c>
      <c r="C319" s="77">
        <v>10027361</v>
      </c>
      <c r="D319" s="74" t="s">
        <v>128</v>
      </c>
      <c r="E319" s="74" t="s">
        <v>2167</v>
      </c>
      <c r="F319" s="75">
        <v>328</v>
      </c>
      <c r="G319" s="64" t="s">
        <v>0</v>
      </c>
      <c r="H319" s="101">
        <v>2014</v>
      </c>
      <c r="I319" s="4" t="s">
        <v>957</v>
      </c>
      <c r="J319" s="61" t="s">
        <v>1917</v>
      </c>
      <c r="K319" s="101" t="s">
        <v>2083</v>
      </c>
      <c r="L319" s="61" t="s">
        <v>2097</v>
      </c>
      <c r="M319" s="65">
        <f>O319</f>
        <v>12788.72</v>
      </c>
      <c r="N319" s="65">
        <f>O319/F319</f>
        <v>38.99</v>
      </c>
      <c r="O319" s="65">
        <v>12788.72</v>
      </c>
      <c r="P319" s="65">
        <v>18410</v>
      </c>
      <c r="Q319" s="65">
        <f t="shared" si="41"/>
        <v>4050.2</v>
      </c>
      <c r="R319" s="65">
        <f t="shared" si="42"/>
        <v>22460.2</v>
      </c>
      <c r="S319" s="276"/>
      <c r="T319" s="64">
        <v>17</v>
      </c>
      <c r="U319" s="274"/>
      <c r="V319" s="38">
        <v>19794</v>
      </c>
      <c r="W319" s="38">
        <f t="shared" si="43"/>
        <v>4354.68</v>
      </c>
      <c r="X319" s="38">
        <f t="shared" si="44"/>
        <v>24148.68</v>
      </c>
    </row>
    <row r="320" spans="1:24" ht="15" customHeight="1" x14ac:dyDescent="0.35">
      <c r="A320" s="56"/>
      <c r="B320" s="15"/>
      <c r="C320" s="77"/>
      <c r="D320" s="74"/>
      <c r="E320" s="74"/>
      <c r="F320" s="75"/>
      <c r="G320" s="64"/>
      <c r="H320" s="101"/>
      <c r="I320" s="4"/>
      <c r="J320" s="61"/>
      <c r="K320" s="101"/>
      <c r="L320" s="61"/>
      <c r="M320" s="65"/>
      <c r="N320" s="65"/>
      <c r="O320" s="126">
        <f>SUM(O317:O319)</f>
        <v>32335.65</v>
      </c>
      <c r="P320" s="126">
        <f t="shared" ref="P320:R320" si="48">SUM(P317:P319)</f>
        <v>47140</v>
      </c>
      <c r="Q320" s="126">
        <f t="shared" si="48"/>
        <v>10370.799999999999</v>
      </c>
      <c r="R320" s="126">
        <f t="shared" si="48"/>
        <v>57510.8</v>
      </c>
      <c r="S320" s="72">
        <f>R320/100*10</f>
        <v>5751.08</v>
      </c>
      <c r="T320" s="73">
        <v>17</v>
      </c>
      <c r="U320" s="275"/>
      <c r="V320" s="38"/>
      <c r="W320" s="38"/>
      <c r="X320" s="38"/>
    </row>
    <row r="321" spans="1:24" ht="30" customHeight="1" x14ac:dyDescent="0.35">
      <c r="A321" s="56" t="s">
        <v>2554</v>
      </c>
      <c r="B321" s="2">
        <v>300</v>
      </c>
      <c r="C321" s="77">
        <v>10107163</v>
      </c>
      <c r="D321" s="74" t="s">
        <v>1808</v>
      </c>
      <c r="E321" s="74" t="s">
        <v>2167</v>
      </c>
      <c r="F321" s="75">
        <v>8</v>
      </c>
      <c r="G321" s="64" t="s">
        <v>0</v>
      </c>
      <c r="H321" s="78">
        <v>41375</v>
      </c>
      <c r="I321" s="4" t="s">
        <v>957</v>
      </c>
      <c r="J321" s="63" t="s">
        <v>1917</v>
      </c>
      <c r="K321" s="63" t="s">
        <v>961</v>
      </c>
      <c r="L321" s="69" t="s">
        <v>950</v>
      </c>
      <c r="M321" s="70">
        <f t="shared" ref="M321:M326" si="49">O321</f>
        <v>804.48</v>
      </c>
      <c r="N321" s="70">
        <f>O321/F321</f>
        <v>100.56</v>
      </c>
      <c r="O321" s="70">
        <v>804.48</v>
      </c>
      <c r="P321" s="65">
        <v>1310</v>
      </c>
      <c r="Q321" s="65">
        <f t="shared" ref="Q321:Q383" si="50">P321*0.22</f>
        <v>288.2</v>
      </c>
      <c r="R321" s="65">
        <f t="shared" ref="R321:R383" si="51">P321+Q321</f>
        <v>1598.2</v>
      </c>
      <c r="S321" s="267"/>
      <c r="T321" s="64">
        <v>18</v>
      </c>
      <c r="U321" s="273" t="s">
        <v>2258</v>
      </c>
      <c r="V321" s="38">
        <v>1428</v>
      </c>
      <c r="W321" s="38">
        <f t="shared" ref="W321:W383" si="52">V321*0.22</f>
        <v>314.16000000000003</v>
      </c>
      <c r="X321" s="38">
        <f t="shared" si="44"/>
        <v>1742.16</v>
      </c>
    </row>
    <row r="322" spans="1:24" ht="42" customHeight="1" x14ac:dyDescent="0.35">
      <c r="A322" s="56" t="s">
        <v>2555</v>
      </c>
      <c r="B322" s="2">
        <v>301</v>
      </c>
      <c r="C322" s="77">
        <v>10006498</v>
      </c>
      <c r="D322" s="74" t="s">
        <v>1809</v>
      </c>
      <c r="E322" s="74" t="s">
        <v>2167</v>
      </c>
      <c r="F322" s="75">
        <v>16</v>
      </c>
      <c r="G322" s="64" t="s">
        <v>0</v>
      </c>
      <c r="H322" s="78">
        <v>40129</v>
      </c>
      <c r="I322" s="4" t="s">
        <v>957</v>
      </c>
      <c r="J322" s="63" t="s">
        <v>1917</v>
      </c>
      <c r="K322" s="63" t="s">
        <v>961</v>
      </c>
      <c r="L322" s="69" t="s">
        <v>950</v>
      </c>
      <c r="M322" s="70">
        <f t="shared" si="49"/>
        <v>164741.15</v>
      </c>
      <c r="N322" s="70">
        <f>O322/F322</f>
        <v>10296.32</v>
      </c>
      <c r="O322" s="70">
        <v>164741.15</v>
      </c>
      <c r="P322" s="65">
        <v>322060</v>
      </c>
      <c r="Q322" s="65">
        <f t="shared" si="50"/>
        <v>70853.2</v>
      </c>
      <c r="R322" s="65">
        <f t="shared" si="51"/>
        <v>392913.2</v>
      </c>
      <c r="S322" s="272"/>
      <c r="T322" s="64">
        <v>18</v>
      </c>
      <c r="U322" s="270"/>
      <c r="V322" s="38">
        <v>351213</v>
      </c>
      <c r="W322" s="38">
        <f t="shared" si="52"/>
        <v>77266.86</v>
      </c>
      <c r="X322" s="38">
        <f t="shared" ref="X322:X385" si="53">V322+W322</f>
        <v>428479.86</v>
      </c>
    </row>
    <row r="323" spans="1:24" ht="27.75" customHeight="1" x14ac:dyDescent="0.35">
      <c r="A323" s="56" t="s">
        <v>2556</v>
      </c>
      <c r="B323" s="2">
        <v>302</v>
      </c>
      <c r="C323" s="77">
        <v>10104465</v>
      </c>
      <c r="D323" s="74" t="s">
        <v>1810</v>
      </c>
      <c r="E323" s="74" t="s">
        <v>2167</v>
      </c>
      <c r="F323" s="75">
        <f>10-4-2</f>
        <v>4</v>
      </c>
      <c r="G323" s="64" t="s">
        <v>0</v>
      </c>
      <c r="H323" s="78">
        <v>40157</v>
      </c>
      <c r="I323" s="4" t="s">
        <v>957</v>
      </c>
      <c r="J323" s="63" t="s">
        <v>1917</v>
      </c>
      <c r="K323" s="63" t="s">
        <v>961</v>
      </c>
      <c r="L323" s="69" t="s">
        <v>950</v>
      </c>
      <c r="M323" s="70">
        <f t="shared" si="49"/>
        <v>43091.81</v>
      </c>
      <c r="N323" s="70">
        <f>O323/F323</f>
        <v>10772.95</v>
      </c>
      <c r="O323" s="70">
        <f>107729.52/10*4</f>
        <v>43091.81</v>
      </c>
      <c r="P323" s="65">
        <v>84390</v>
      </c>
      <c r="Q323" s="65">
        <f t="shared" si="50"/>
        <v>18565.8</v>
      </c>
      <c r="R323" s="65">
        <f t="shared" si="51"/>
        <v>102955.8</v>
      </c>
      <c r="S323" s="272"/>
      <c r="T323" s="64">
        <v>18</v>
      </c>
      <c r="U323" s="270"/>
      <c r="V323" s="38">
        <v>92028</v>
      </c>
      <c r="W323" s="38">
        <f t="shared" si="52"/>
        <v>20246.16</v>
      </c>
      <c r="X323" s="38">
        <f t="shared" si="53"/>
        <v>112274.16</v>
      </c>
    </row>
    <row r="324" spans="1:24" ht="45" customHeight="1" x14ac:dyDescent="0.35">
      <c r="A324" s="56" t="s">
        <v>2557</v>
      </c>
      <c r="B324" s="2">
        <v>303</v>
      </c>
      <c r="C324" s="77">
        <v>10091335</v>
      </c>
      <c r="D324" s="74" t="s">
        <v>1811</v>
      </c>
      <c r="E324" s="74" t="s">
        <v>2176</v>
      </c>
      <c r="F324" s="75">
        <v>2</v>
      </c>
      <c r="G324" s="64" t="s">
        <v>0</v>
      </c>
      <c r="H324" s="78">
        <v>40129</v>
      </c>
      <c r="I324" s="4" t="s">
        <v>957</v>
      </c>
      <c r="J324" s="63" t="s">
        <v>1917</v>
      </c>
      <c r="K324" s="63" t="s">
        <v>961</v>
      </c>
      <c r="L324" s="69" t="s">
        <v>950</v>
      </c>
      <c r="M324" s="70">
        <f t="shared" si="49"/>
        <v>3458.16</v>
      </c>
      <c r="N324" s="70">
        <f>O324/F324</f>
        <v>1729.08</v>
      </c>
      <c r="O324" s="70">
        <v>3458.16</v>
      </c>
      <c r="P324" s="65">
        <v>6760</v>
      </c>
      <c r="Q324" s="65">
        <f t="shared" si="50"/>
        <v>1487.2</v>
      </c>
      <c r="R324" s="65">
        <f t="shared" si="51"/>
        <v>8247.2000000000007</v>
      </c>
      <c r="S324" s="272"/>
      <c r="T324" s="64">
        <v>18</v>
      </c>
      <c r="U324" s="270"/>
      <c r="V324" s="38">
        <v>7372</v>
      </c>
      <c r="W324" s="38">
        <f t="shared" si="52"/>
        <v>1621.84</v>
      </c>
      <c r="X324" s="38">
        <f t="shared" si="53"/>
        <v>8993.84</v>
      </c>
    </row>
    <row r="325" spans="1:24" ht="45" customHeight="1" x14ac:dyDescent="0.35">
      <c r="A325" s="56" t="s">
        <v>4068</v>
      </c>
      <c r="B325" s="2">
        <v>304</v>
      </c>
      <c r="C325" s="77">
        <v>10102170</v>
      </c>
      <c r="D325" s="74" t="s">
        <v>92</v>
      </c>
      <c r="E325" s="74" t="s">
        <v>2176</v>
      </c>
      <c r="F325" s="75">
        <f>19-15</f>
        <v>4</v>
      </c>
      <c r="G325" s="64" t="s">
        <v>0</v>
      </c>
      <c r="H325" s="78">
        <v>42352</v>
      </c>
      <c r="I325" s="4" t="s">
        <v>957</v>
      </c>
      <c r="J325" s="63" t="s">
        <v>1917</v>
      </c>
      <c r="K325" s="63" t="s">
        <v>961</v>
      </c>
      <c r="L325" s="69" t="s">
        <v>950</v>
      </c>
      <c r="M325" s="70">
        <f t="shared" si="49"/>
        <v>15717.6</v>
      </c>
      <c r="N325" s="70">
        <f>O325/F325</f>
        <v>3929.4</v>
      </c>
      <c r="O325" s="70">
        <f>74658.58/19*4</f>
        <v>15717.6</v>
      </c>
      <c r="P325" s="65">
        <v>23470</v>
      </c>
      <c r="Q325" s="65">
        <f t="shared" si="50"/>
        <v>5163.3999999999996</v>
      </c>
      <c r="R325" s="65">
        <f t="shared" si="51"/>
        <v>28633.4</v>
      </c>
      <c r="S325" s="272"/>
      <c r="T325" s="64">
        <v>18</v>
      </c>
      <c r="U325" s="270"/>
      <c r="V325" s="38">
        <v>25589</v>
      </c>
      <c r="W325" s="38">
        <f t="shared" si="52"/>
        <v>5629.58</v>
      </c>
      <c r="X325" s="38">
        <f t="shared" si="53"/>
        <v>31218.58</v>
      </c>
    </row>
    <row r="326" spans="1:24" ht="45" customHeight="1" x14ac:dyDescent="0.35">
      <c r="A326" s="56" t="s">
        <v>4069</v>
      </c>
      <c r="B326" s="2">
        <v>305</v>
      </c>
      <c r="C326" s="77">
        <v>10102170</v>
      </c>
      <c r="D326" s="74" t="s">
        <v>92</v>
      </c>
      <c r="E326" s="59" t="s">
        <v>2167</v>
      </c>
      <c r="F326" s="75">
        <v>15</v>
      </c>
      <c r="G326" s="64" t="s">
        <v>0</v>
      </c>
      <c r="H326" s="78">
        <v>42352</v>
      </c>
      <c r="I326" s="4" t="s">
        <v>957</v>
      </c>
      <c r="J326" s="63" t="s">
        <v>1917</v>
      </c>
      <c r="K326" s="63" t="s">
        <v>961</v>
      </c>
      <c r="L326" s="69" t="s">
        <v>950</v>
      </c>
      <c r="M326" s="70">
        <f t="shared" si="49"/>
        <v>58940.98</v>
      </c>
      <c r="N326" s="70">
        <f>M326/F326</f>
        <v>3929.4</v>
      </c>
      <c r="O326" s="70">
        <v>58940.98</v>
      </c>
      <c r="P326" s="65">
        <v>87990</v>
      </c>
      <c r="Q326" s="65">
        <f t="shared" si="50"/>
        <v>19357.8</v>
      </c>
      <c r="R326" s="65">
        <f t="shared" si="51"/>
        <v>107347.8</v>
      </c>
      <c r="S326" s="276"/>
      <c r="T326" s="64">
        <v>18</v>
      </c>
      <c r="U326" s="270"/>
      <c r="V326" s="38">
        <v>95959</v>
      </c>
      <c r="W326" s="38">
        <f t="shared" si="52"/>
        <v>21110.98</v>
      </c>
      <c r="X326" s="38">
        <f t="shared" si="53"/>
        <v>117069.98</v>
      </c>
    </row>
    <row r="327" spans="1:24" ht="14.25" customHeight="1" x14ac:dyDescent="0.35">
      <c r="A327" s="56"/>
      <c r="B327" s="15"/>
      <c r="C327" s="77"/>
      <c r="D327" s="74"/>
      <c r="E327" s="74"/>
      <c r="F327" s="75"/>
      <c r="G327" s="64"/>
      <c r="H327" s="78"/>
      <c r="I327" s="4"/>
      <c r="J327" s="63"/>
      <c r="K327" s="63"/>
      <c r="L327" s="69"/>
      <c r="M327" s="70"/>
      <c r="N327" s="70"/>
      <c r="O327" s="71">
        <f>SUM(O321:O326)</f>
        <v>286754.18</v>
      </c>
      <c r="P327" s="71">
        <f t="shared" ref="P327:R327" si="54">SUM(P321:P326)</f>
        <v>525980</v>
      </c>
      <c r="Q327" s="71">
        <f t="shared" si="54"/>
        <v>115715.6</v>
      </c>
      <c r="R327" s="71">
        <f t="shared" si="54"/>
        <v>641695.6</v>
      </c>
      <c r="S327" s="72">
        <f>R327/100*10</f>
        <v>64169.56</v>
      </c>
      <c r="T327" s="73">
        <v>18</v>
      </c>
      <c r="U327" s="271"/>
      <c r="V327" s="38"/>
      <c r="W327" s="38"/>
      <c r="X327" s="38"/>
    </row>
    <row r="328" spans="1:24" ht="45" customHeight="1" x14ac:dyDescent="0.35">
      <c r="A328" s="56" t="s">
        <v>2558</v>
      </c>
      <c r="B328" s="2">
        <v>306</v>
      </c>
      <c r="C328" s="77">
        <v>10102170</v>
      </c>
      <c r="D328" s="74" t="s">
        <v>92</v>
      </c>
      <c r="E328" s="74" t="s">
        <v>2163</v>
      </c>
      <c r="F328" s="75">
        <v>1</v>
      </c>
      <c r="G328" s="64" t="s">
        <v>0</v>
      </c>
      <c r="H328" s="61" t="s">
        <v>496</v>
      </c>
      <c r="I328" s="61" t="s">
        <v>2158</v>
      </c>
      <c r="J328" s="63" t="s">
        <v>1917</v>
      </c>
      <c r="K328" s="135" t="s">
        <v>1287</v>
      </c>
      <c r="L328" s="88" t="s">
        <v>845</v>
      </c>
      <c r="M328" s="76">
        <f t="shared" ref="M328:M341" si="55">O328</f>
        <v>4038.52</v>
      </c>
      <c r="N328" s="76">
        <f>O328/F328</f>
        <v>4038.52</v>
      </c>
      <c r="O328" s="76">
        <v>4038.52</v>
      </c>
      <c r="P328" s="65">
        <v>3870</v>
      </c>
      <c r="Q328" s="65">
        <f t="shared" si="50"/>
        <v>851.4</v>
      </c>
      <c r="R328" s="65">
        <f t="shared" si="51"/>
        <v>4721.3999999999996</v>
      </c>
      <c r="S328" s="272"/>
      <c r="T328" s="64">
        <v>19</v>
      </c>
      <c r="U328" s="270" t="s">
        <v>4515</v>
      </c>
      <c r="V328" s="38">
        <v>3868</v>
      </c>
      <c r="W328" s="38">
        <f t="shared" si="52"/>
        <v>850.96</v>
      </c>
      <c r="X328" s="38">
        <f t="shared" si="53"/>
        <v>4718.96</v>
      </c>
    </row>
    <row r="329" spans="1:24" ht="45" customHeight="1" x14ac:dyDescent="0.35">
      <c r="A329" s="56" t="s">
        <v>2559</v>
      </c>
      <c r="B329" s="2">
        <v>307</v>
      </c>
      <c r="C329" s="77">
        <v>10015376</v>
      </c>
      <c r="D329" s="74" t="s">
        <v>1256</v>
      </c>
      <c r="E329" s="74" t="s">
        <v>2164</v>
      </c>
      <c r="F329" s="75">
        <v>2</v>
      </c>
      <c r="G329" s="64" t="s">
        <v>0</v>
      </c>
      <c r="H329" s="64">
        <v>2014</v>
      </c>
      <c r="I329" s="61" t="s">
        <v>2158</v>
      </c>
      <c r="J329" s="63" t="s">
        <v>1917</v>
      </c>
      <c r="K329" s="101" t="s">
        <v>961</v>
      </c>
      <c r="L329" s="88" t="s">
        <v>845</v>
      </c>
      <c r="M329" s="76">
        <f t="shared" si="55"/>
        <v>9912.98</v>
      </c>
      <c r="N329" s="76">
        <f>O329/F329</f>
        <v>4956.49</v>
      </c>
      <c r="O329" s="76">
        <v>9912.98</v>
      </c>
      <c r="P329" s="65">
        <v>10540</v>
      </c>
      <c r="Q329" s="65">
        <f t="shared" si="50"/>
        <v>2318.8000000000002</v>
      </c>
      <c r="R329" s="65">
        <f t="shared" si="51"/>
        <v>12858.8</v>
      </c>
      <c r="S329" s="276"/>
      <c r="T329" s="64">
        <v>19</v>
      </c>
      <c r="U329" s="274"/>
      <c r="V329" s="38">
        <v>10536</v>
      </c>
      <c r="W329" s="38">
        <f t="shared" si="52"/>
        <v>2317.92</v>
      </c>
      <c r="X329" s="38">
        <f t="shared" si="53"/>
        <v>12853.92</v>
      </c>
    </row>
    <row r="330" spans="1:24" ht="15" customHeight="1" x14ac:dyDescent="0.35">
      <c r="A330" s="56"/>
      <c r="B330" s="15"/>
      <c r="C330" s="77"/>
      <c r="D330" s="74"/>
      <c r="E330" s="74"/>
      <c r="F330" s="75"/>
      <c r="G330" s="64"/>
      <c r="H330" s="101"/>
      <c r="I330" s="4"/>
      <c r="J330" s="61"/>
      <c r="K330" s="101"/>
      <c r="L330" s="88"/>
      <c r="M330" s="76"/>
      <c r="N330" s="76"/>
      <c r="O330" s="81">
        <f>SUM(O328:O329)</f>
        <v>13951.5</v>
      </c>
      <c r="P330" s="81">
        <f t="shared" ref="P330:R330" si="56">SUM(P328:P329)</f>
        <v>14410</v>
      </c>
      <c r="Q330" s="81">
        <f t="shared" si="56"/>
        <v>3170.2</v>
      </c>
      <c r="R330" s="81">
        <f t="shared" si="56"/>
        <v>17580.2</v>
      </c>
      <c r="S330" s="72">
        <f>R330/100*10</f>
        <v>1758.02</v>
      </c>
      <c r="T330" s="73">
        <v>19</v>
      </c>
      <c r="U330" s="275"/>
      <c r="V330" s="38"/>
      <c r="W330" s="38"/>
      <c r="X330" s="38"/>
    </row>
    <row r="331" spans="1:24" ht="45" customHeight="1" x14ac:dyDescent="0.35">
      <c r="A331" s="56" t="s">
        <v>2560</v>
      </c>
      <c r="B331" s="2">
        <v>308</v>
      </c>
      <c r="C331" s="77">
        <v>10112546</v>
      </c>
      <c r="D331" s="74" t="s">
        <v>1457</v>
      </c>
      <c r="E331" s="59" t="s">
        <v>2167</v>
      </c>
      <c r="F331" s="75">
        <v>1</v>
      </c>
      <c r="G331" s="64" t="s">
        <v>0</v>
      </c>
      <c r="H331" s="78">
        <v>41316</v>
      </c>
      <c r="I331" s="4" t="s">
        <v>957</v>
      </c>
      <c r="J331" s="63" t="s">
        <v>1917</v>
      </c>
      <c r="K331" s="63" t="s">
        <v>961</v>
      </c>
      <c r="L331" s="69" t="s">
        <v>950</v>
      </c>
      <c r="M331" s="70">
        <f t="shared" si="55"/>
        <v>1135.3699999999999</v>
      </c>
      <c r="N331" s="70">
        <f>O331/F331</f>
        <v>1135.3699999999999</v>
      </c>
      <c r="O331" s="70">
        <v>1135.3699999999999</v>
      </c>
      <c r="P331" s="65">
        <v>1950</v>
      </c>
      <c r="Q331" s="65">
        <f t="shared" si="50"/>
        <v>429</v>
      </c>
      <c r="R331" s="65">
        <f t="shared" si="51"/>
        <v>2379</v>
      </c>
      <c r="S331" s="267"/>
      <c r="T331" s="64">
        <v>20</v>
      </c>
      <c r="U331" s="273" t="s">
        <v>2259</v>
      </c>
      <c r="V331" s="38">
        <v>2121</v>
      </c>
      <c r="W331" s="38">
        <f t="shared" si="52"/>
        <v>466.62</v>
      </c>
      <c r="X331" s="38">
        <f t="shared" si="53"/>
        <v>2587.62</v>
      </c>
    </row>
    <row r="332" spans="1:24" ht="45" customHeight="1" x14ac:dyDescent="0.35">
      <c r="A332" s="56" t="s">
        <v>2561</v>
      </c>
      <c r="B332" s="2">
        <v>309</v>
      </c>
      <c r="C332" s="77">
        <v>10105593</v>
      </c>
      <c r="D332" s="74" t="s">
        <v>1458</v>
      </c>
      <c r="E332" s="59" t="s">
        <v>2167</v>
      </c>
      <c r="F332" s="75">
        <v>1</v>
      </c>
      <c r="G332" s="64" t="s">
        <v>0</v>
      </c>
      <c r="H332" s="78">
        <v>41465</v>
      </c>
      <c r="I332" s="4" t="s">
        <v>957</v>
      </c>
      <c r="J332" s="63" t="s">
        <v>1917</v>
      </c>
      <c r="K332" s="63" t="s">
        <v>961</v>
      </c>
      <c r="L332" s="69" t="s">
        <v>950</v>
      </c>
      <c r="M332" s="70">
        <f t="shared" si="55"/>
        <v>180</v>
      </c>
      <c r="N332" s="70">
        <f>O332/F332</f>
        <v>180</v>
      </c>
      <c r="O332" s="70">
        <v>180</v>
      </c>
      <c r="P332" s="65">
        <v>310</v>
      </c>
      <c r="Q332" s="65">
        <f t="shared" si="50"/>
        <v>68.2</v>
      </c>
      <c r="R332" s="65">
        <f t="shared" si="51"/>
        <v>378.2</v>
      </c>
      <c r="S332" s="272"/>
      <c r="T332" s="64">
        <v>20</v>
      </c>
      <c r="U332" s="274"/>
      <c r="V332" s="38">
        <v>335</v>
      </c>
      <c r="W332" s="38">
        <f t="shared" si="52"/>
        <v>73.7</v>
      </c>
      <c r="X332" s="38">
        <f t="shared" si="53"/>
        <v>408.7</v>
      </c>
    </row>
    <row r="333" spans="1:24" ht="45" customHeight="1" x14ac:dyDescent="0.35">
      <c r="A333" s="56" t="s">
        <v>2562</v>
      </c>
      <c r="B333" s="2">
        <v>310</v>
      </c>
      <c r="C333" s="77">
        <v>10120423</v>
      </c>
      <c r="D333" s="74" t="s">
        <v>1469</v>
      </c>
      <c r="E333" s="59" t="s">
        <v>2167</v>
      </c>
      <c r="F333" s="75">
        <v>2</v>
      </c>
      <c r="G333" s="64" t="s">
        <v>0</v>
      </c>
      <c r="H333" s="78">
        <v>41247</v>
      </c>
      <c r="I333" s="4" t="s">
        <v>957</v>
      </c>
      <c r="J333" s="63" t="s">
        <v>1917</v>
      </c>
      <c r="K333" s="63" t="s">
        <v>961</v>
      </c>
      <c r="L333" s="69" t="s">
        <v>950</v>
      </c>
      <c r="M333" s="70">
        <f t="shared" si="55"/>
        <v>1671.18</v>
      </c>
      <c r="N333" s="70">
        <f>O333/F333</f>
        <v>835.59</v>
      </c>
      <c r="O333" s="70">
        <v>1671.18</v>
      </c>
      <c r="P333" s="65">
        <v>2740</v>
      </c>
      <c r="Q333" s="65">
        <f t="shared" si="50"/>
        <v>602.79999999999995</v>
      </c>
      <c r="R333" s="65">
        <f t="shared" si="51"/>
        <v>3342.8</v>
      </c>
      <c r="S333" s="272"/>
      <c r="T333" s="64">
        <v>20</v>
      </c>
      <c r="U333" s="274"/>
      <c r="V333" s="38">
        <v>2992</v>
      </c>
      <c r="W333" s="38">
        <f t="shared" si="52"/>
        <v>658.24</v>
      </c>
      <c r="X333" s="38">
        <f t="shared" si="53"/>
        <v>3650.24</v>
      </c>
    </row>
    <row r="334" spans="1:24" ht="35.25" customHeight="1" x14ac:dyDescent="0.35">
      <c r="A334" s="56" t="s">
        <v>2563</v>
      </c>
      <c r="B334" s="2">
        <v>311</v>
      </c>
      <c r="C334" s="77">
        <v>10120445</v>
      </c>
      <c r="D334" s="74" t="s">
        <v>1738</v>
      </c>
      <c r="E334" s="59" t="s">
        <v>2167</v>
      </c>
      <c r="F334" s="75">
        <v>12</v>
      </c>
      <c r="G334" s="64" t="s">
        <v>0</v>
      </c>
      <c r="H334" s="78">
        <v>41621</v>
      </c>
      <c r="I334" s="4" t="s">
        <v>957</v>
      </c>
      <c r="J334" s="63" t="s">
        <v>1917</v>
      </c>
      <c r="K334" s="63" t="s">
        <v>961</v>
      </c>
      <c r="L334" s="69" t="s">
        <v>950</v>
      </c>
      <c r="M334" s="70">
        <f t="shared" si="55"/>
        <v>12182.52</v>
      </c>
      <c r="N334" s="70">
        <f>O334/F334</f>
        <v>1015.21</v>
      </c>
      <c r="O334" s="70">
        <v>12182.52</v>
      </c>
      <c r="P334" s="65">
        <v>20270</v>
      </c>
      <c r="Q334" s="65">
        <f t="shared" si="50"/>
        <v>4459.3999999999996</v>
      </c>
      <c r="R334" s="65">
        <f t="shared" si="51"/>
        <v>24729.4</v>
      </c>
      <c r="S334" s="272"/>
      <c r="T334" s="64">
        <v>20</v>
      </c>
      <c r="U334" s="274"/>
      <c r="V334" s="38">
        <v>22107</v>
      </c>
      <c r="W334" s="38">
        <f t="shared" si="52"/>
        <v>4863.54</v>
      </c>
      <c r="X334" s="38">
        <f t="shared" si="53"/>
        <v>26970.54</v>
      </c>
    </row>
    <row r="335" spans="1:24" ht="35.25" customHeight="1" x14ac:dyDescent="0.35">
      <c r="A335" s="56" t="s">
        <v>4074</v>
      </c>
      <c r="B335" s="2">
        <v>312</v>
      </c>
      <c r="C335" s="77">
        <v>10113475</v>
      </c>
      <c r="D335" s="74" t="s">
        <v>892</v>
      </c>
      <c r="E335" s="59" t="s">
        <v>2167</v>
      </c>
      <c r="F335" s="75">
        <v>20</v>
      </c>
      <c r="G335" s="64" t="s">
        <v>0</v>
      </c>
      <c r="H335" s="78">
        <v>41997</v>
      </c>
      <c r="I335" s="4" t="s">
        <v>957</v>
      </c>
      <c r="J335" s="63" t="s">
        <v>1917</v>
      </c>
      <c r="K335" s="63" t="s">
        <v>961</v>
      </c>
      <c r="L335" s="69" t="s">
        <v>950</v>
      </c>
      <c r="M335" s="70">
        <f t="shared" si="55"/>
        <v>197816.8</v>
      </c>
      <c r="N335" s="70">
        <f>O335/F335</f>
        <v>9890.84</v>
      </c>
      <c r="O335" s="70">
        <v>197816.8</v>
      </c>
      <c r="P335" s="65">
        <v>344660</v>
      </c>
      <c r="Q335" s="65">
        <f t="shared" si="50"/>
        <v>75825.2</v>
      </c>
      <c r="R335" s="65">
        <f t="shared" si="51"/>
        <v>420485.2</v>
      </c>
      <c r="S335" s="276"/>
      <c r="T335" s="64">
        <v>20</v>
      </c>
      <c r="U335" s="274"/>
      <c r="V335" s="38">
        <v>375861</v>
      </c>
      <c r="W335" s="38">
        <f t="shared" si="52"/>
        <v>82689.42</v>
      </c>
      <c r="X335" s="38">
        <f t="shared" si="53"/>
        <v>458550.42</v>
      </c>
    </row>
    <row r="336" spans="1:24" ht="15" customHeight="1" x14ac:dyDescent="0.35">
      <c r="A336" s="56"/>
      <c r="B336" s="15"/>
      <c r="C336" s="77"/>
      <c r="D336" s="74"/>
      <c r="E336" s="136"/>
      <c r="F336" s="137"/>
      <c r="G336" s="64"/>
      <c r="H336" s="78"/>
      <c r="I336" s="4"/>
      <c r="J336" s="63"/>
      <c r="K336" s="63"/>
      <c r="L336" s="69"/>
      <c r="M336" s="70"/>
      <c r="N336" s="70"/>
      <c r="O336" s="138">
        <f>SUM(O331:O335)</f>
        <v>212985.87</v>
      </c>
      <c r="P336" s="138">
        <f t="shared" ref="P336:R336" si="57">SUM(P331:P335)</f>
        <v>369930</v>
      </c>
      <c r="Q336" s="138">
        <f t="shared" si="57"/>
        <v>81384.600000000006</v>
      </c>
      <c r="R336" s="138">
        <f t="shared" si="57"/>
        <v>451314.6</v>
      </c>
      <c r="S336" s="72">
        <f>R336/100*10</f>
        <v>45131.46</v>
      </c>
      <c r="T336" s="73">
        <v>20</v>
      </c>
      <c r="U336" s="275"/>
      <c r="V336" s="38"/>
      <c r="W336" s="38"/>
      <c r="X336" s="38"/>
    </row>
    <row r="337" spans="1:24" ht="39" customHeight="1" x14ac:dyDescent="0.35">
      <c r="A337" s="56" t="s">
        <v>2564</v>
      </c>
      <c r="B337" s="2">
        <v>313</v>
      </c>
      <c r="C337" s="77">
        <v>10113494</v>
      </c>
      <c r="D337" s="74" t="s">
        <v>374</v>
      </c>
      <c r="E337" s="74" t="s">
        <v>2147</v>
      </c>
      <c r="F337" s="75">
        <v>7</v>
      </c>
      <c r="G337" s="64" t="s">
        <v>0</v>
      </c>
      <c r="H337" s="61" t="s">
        <v>498</v>
      </c>
      <c r="I337" s="61" t="s">
        <v>972</v>
      </c>
      <c r="J337" s="63" t="s">
        <v>1917</v>
      </c>
      <c r="K337" s="61" t="s">
        <v>961</v>
      </c>
      <c r="L337" s="61" t="s">
        <v>845</v>
      </c>
      <c r="M337" s="65">
        <f t="shared" si="55"/>
        <v>130013.08</v>
      </c>
      <c r="N337" s="65">
        <f>O337/F337</f>
        <v>18573.3</v>
      </c>
      <c r="O337" s="65">
        <v>130013.08</v>
      </c>
      <c r="P337" s="65">
        <v>120740</v>
      </c>
      <c r="Q337" s="65">
        <f t="shared" si="50"/>
        <v>26562.799999999999</v>
      </c>
      <c r="R337" s="65">
        <f t="shared" si="51"/>
        <v>147302.79999999999</v>
      </c>
      <c r="S337" s="267"/>
      <c r="T337" s="64">
        <v>21</v>
      </c>
      <c r="U337" s="273" t="s">
        <v>2259</v>
      </c>
      <c r="V337" s="38">
        <v>131664</v>
      </c>
      <c r="W337" s="38">
        <f t="shared" si="52"/>
        <v>28966.080000000002</v>
      </c>
      <c r="X337" s="38">
        <f t="shared" si="53"/>
        <v>160630.07999999999</v>
      </c>
    </row>
    <row r="338" spans="1:24" ht="29.25" customHeight="1" x14ac:dyDescent="0.35">
      <c r="A338" s="56" t="s">
        <v>2565</v>
      </c>
      <c r="B338" s="2">
        <v>314</v>
      </c>
      <c r="C338" s="109">
        <v>10113474</v>
      </c>
      <c r="D338" s="110" t="s">
        <v>889</v>
      </c>
      <c r="E338" s="74" t="s">
        <v>2147</v>
      </c>
      <c r="F338" s="114">
        <v>2</v>
      </c>
      <c r="G338" s="64" t="s">
        <v>0</v>
      </c>
      <c r="H338" s="124" t="s">
        <v>498</v>
      </c>
      <c r="I338" s="63" t="s">
        <v>972</v>
      </c>
      <c r="J338" s="63" t="s">
        <v>1917</v>
      </c>
      <c r="K338" s="63" t="s">
        <v>961</v>
      </c>
      <c r="L338" s="61" t="s">
        <v>845</v>
      </c>
      <c r="M338" s="65">
        <f t="shared" si="55"/>
        <v>189055.98</v>
      </c>
      <c r="N338" s="65">
        <f>O338/F338</f>
        <v>94527.99</v>
      </c>
      <c r="O338" s="65">
        <v>189055.98</v>
      </c>
      <c r="P338" s="65">
        <v>174940</v>
      </c>
      <c r="Q338" s="65">
        <f t="shared" si="50"/>
        <v>38486.800000000003</v>
      </c>
      <c r="R338" s="65">
        <f t="shared" si="51"/>
        <v>213426.8</v>
      </c>
      <c r="S338" s="272"/>
      <c r="T338" s="64">
        <v>21</v>
      </c>
      <c r="U338" s="274"/>
      <c r="V338" s="38">
        <v>190772</v>
      </c>
      <c r="W338" s="38">
        <f t="shared" si="52"/>
        <v>41969.84</v>
      </c>
      <c r="X338" s="38">
        <f t="shared" si="53"/>
        <v>232741.84</v>
      </c>
    </row>
    <row r="339" spans="1:24" ht="35.25" customHeight="1" x14ac:dyDescent="0.35">
      <c r="A339" s="56" t="s">
        <v>2566</v>
      </c>
      <c r="B339" s="2">
        <v>315</v>
      </c>
      <c r="C339" s="109">
        <v>10113544</v>
      </c>
      <c r="D339" s="110" t="s">
        <v>890</v>
      </c>
      <c r="E339" s="74" t="s">
        <v>2147</v>
      </c>
      <c r="F339" s="114">
        <v>10</v>
      </c>
      <c r="G339" s="64" t="s">
        <v>0</v>
      </c>
      <c r="H339" s="124" t="s">
        <v>498</v>
      </c>
      <c r="I339" s="63" t="s">
        <v>972</v>
      </c>
      <c r="J339" s="63" t="s">
        <v>1917</v>
      </c>
      <c r="K339" s="63" t="s">
        <v>961</v>
      </c>
      <c r="L339" s="61" t="s">
        <v>845</v>
      </c>
      <c r="M339" s="65">
        <f t="shared" si="55"/>
        <v>642597.39</v>
      </c>
      <c r="N339" s="65">
        <f>O339/F339</f>
        <v>64259.74</v>
      </c>
      <c r="O339" s="65">
        <v>642597.39</v>
      </c>
      <c r="P339" s="65">
        <v>592480</v>
      </c>
      <c r="Q339" s="65">
        <f t="shared" si="50"/>
        <v>130345.60000000001</v>
      </c>
      <c r="R339" s="65">
        <f t="shared" si="51"/>
        <v>722825.6</v>
      </c>
      <c r="S339" s="272"/>
      <c r="T339" s="64">
        <v>21</v>
      </c>
      <c r="U339" s="274"/>
      <c r="V339" s="38">
        <v>646103</v>
      </c>
      <c r="W339" s="38">
        <f t="shared" si="52"/>
        <v>142142.66</v>
      </c>
      <c r="X339" s="38">
        <f t="shared" si="53"/>
        <v>788245.66</v>
      </c>
    </row>
    <row r="340" spans="1:24" ht="37.5" customHeight="1" x14ac:dyDescent="0.35">
      <c r="A340" s="56" t="s">
        <v>2567</v>
      </c>
      <c r="B340" s="2">
        <v>316</v>
      </c>
      <c r="C340" s="109">
        <v>10113546</v>
      </c>
      <c r="D340" s="110" t="s">
        <v>891</v>
      </c>
      <c r="E340" s="74" t="s">
        <v>2147</v>
      </c>
      <c r="F340" s="114">
        <v>5</v>
      </c>
      <c r="G340" s="64" t="s">
        <v>0</v>
      </c>
      <c r="H340" s="124" t="s">
        <v>498</v>
      </c>
      <c r="I340" s="63" t="s">
        <v>972</v>
      </c>
      <c r="J340" s="63" t="s">
        <v>1917</v>
      </c>
      <c r="K340" s="63" t="s">
        <v>961</v>
      </c>
      <c r="L340" s="61" t="s">
        <v>845</v>
      </c>
      <c r="M340" s="65">
        <f t="shared" si="55"/>
        <v>123206.75</v>
      </c>
      <c r="N340" s="65">
        <f>O340/F340</f>
        <v>24641.35</v>
      </c>
      <c r="O340" s="65">
        <v>123206.75</v>
      </c>
      <c r="P340" s="65">
        <v>112680</v>
      </c>
      <c r="Q340" s="65">
        <f t="shared" si="50"/>
        <v>24789.599999999999</v>
      </c>
      <c r="R340" s="65">
        <f t="shared" si="51"/>
        <v>137469.6</v>
      </c>
      <c r="S340" s="272"/>
      <c r="T340" s="64">
        <v>21</v>
      </c>
      <c r="U340" s="274"/>
      <c r="V340" s="38">
        <v>122875</v>
      </c>
      <c r="W340" s="38">
        <f t="shared" si="52"/>
        <v>27032.5</v>
      </c>
      <c r="X340" s="38">
        <f t="shared" si="53"/>
        <v>149907.5</v>
      </c>
    </row>
    <row r="341" spans="1:24" ht="37.5" customHeight="1" x14ac:dyDescent="0.35">
      <c r="A341" s="56" t="s">
        <v>2568</v>
      </c>
      <c r="B341" s="2">
        <v>317</v>
      </c>
      <c r="C341" s="109">
        <v>10113475</v>
      </c>
      <c r="D341" s="110" t="s">
        <v>892</v>
      </c>
      <c r="E341" s="74" t="s">
        <v>2147</v>
      </c>
      <c r="F341" s="114">
        <v>4</v>
      </c>
      <c r="G341" s="64" t="s">
        <v>0</v>
      </c>
      <c r="H341" s="124" t="s">
        <v>498</v>
      </c>
      <c r="I341" s="63" t="s">
        <v>972</v>
      </c>
      <c r="J341" s="63" t="s">
        <v>1917</v>
      </c>
      <c r="K341" s="63" t="s">
        <v>961</v>
      </c>
      <c r="L341" s="61" t="s">
        <v>845</v>
      </c>
      <c r="M341" s="65">
        <f t="shared" si="55"/>
        <v>45083.44</v>
      </c>
      <c r="N341" s="65">
        <f>O341/F341</f>
        <v>11270.86</v>
      </c>
      <c r="O341" s="65">
        <v>45083.44</v>
      </c>
      <c r="P341" s="65">
        <v>46210</v>
      </c>
      <c r="Q341" s="65">
        <f t="shared" si="50"/>
        <v>10166.200000000001</v>
      </c>
      <c r="R341" s="65">
        <f t="shared" si="51"/>
        <v>56376.2</v>
      </c>
      <c r="S341" s="272"/>
      <c r="T341" s="64">
        <v>21</v>
      </c>
      <c r="U341" s="274"/>
      <c r="V341" s="38">
        <v>50389</v>
      </c>
      <c r="W341" s="38">
        <f t="shared" si="52"/>
        <v>11085.58</v>
      </c>
      <c r="X341" s="38">
        <f t="shared" si="53"/>
        <v>61474.58</v>
      </c>
    </row>
    <row r="342" spans="1:24" ht="14.25" customHeight="1" x14ac:dyDescent="0.35">
      <c r="A342" s="56"/>
      <c r="B342" s="15"/>
      <c r="C342" s="45"/>
      <c r="D342" s="40"/>
      <c r="E342" s="46"/>
      <c r="F342" s="47"/>
      <c r="G342" s="64"/>
      <c r="H342" s="48"/>
      <c r="I342" s="63"/>
      <c r="J342" s="63"/>
      <c r="K342" s="49"/>
      <c r="L342" s="88"/>
      <c r="M342" s="76"/>
      <c r="N342" s="76"/>
      <c r="O342" s="81">
        <f>SUM(O337:O341)</f>
        <v>1129956.6399999999</v>
      </c>
      <c r="P342" s="81">
        <f t="shared" ref="P342:R342" si="58">SUM(P337:P341)</f>
        <v>1047050</v>
      </c>
      <c r="Q342" s="81">
        <f t="shared" si="58"/>
        <v>230351</v>
      </c>
      <c r="R342" s="81">
        <f t="shared" si="58"/>
        <v>1277401</v>
      </c>
      <c r="S342" s="72">
        <f>R342/100*10</f>
        <v>127740.1</v>
      </c>
      <c r="T342" s="73">
        <v>21</v>
      </c>
      <c r="U342" s="275"/>
      <c r="V342" s="38"/>
      <c r="W342" s="38"/>
      <c r="X342" s="38"/>
    </row>
    <row r="343" spans="1:24" ht="24.75" customHeight="1" x14ac:dyDescent="0.35">
      <c r="A343" s="56" t="s">
        <v>2569</v>
      </c>
      <c r="B343" s="2">
        <v>318</v>
      </c>
      <c r="C343" s="77">
        <v>10132154</v>
      </c>
      <c r="D343" s="74" t="s">
        <v>1514</v>
      </c>
      <c r="E343" s="74" t="s">
        <v>1978</v>
      </c>
      <c r="F343" s="75">
        <f>5-2</f>
        <v>3</v>
      </c>
      <c r="G343" s="64" t="s">
        <v>0</v>
      </c>
      <c r="H343" s="78">
        <v>40998</v>
      </c>
      <c r="I343" s="4" t="s">
        <v>957</v>
      </c>
      <c r="J343" s="63" t="s">
        <v>1917</v>
      </c>
      <c r="K343" s="63" t="s">
        <v>961</v>
      </c>
      <c r="L343" s="69" t="s">
        <v>950</v>
      </c>
      <c r="M343" s="70">
        <f>O343</f>
        <v>17.07</v>
      </c>
      <c r="N343" s="70">
        <v>5.69</v>
      </c>
      <c r="O343" s="70">
        <f>28.45/5*3</f>
        <v>17.07</v>
      </c>
      <c r="P343" s="65">
        <v>20</v>
      </c>
      <c r="Q343" s="65">
        <f t="shared" si="50"/>
        <v>4.4000000000000004</v>
      </c>
      <c r="R343" s="65">
        <f t="shared" si="51"/>
        <v>24.4</v>
      </c>
      <c r="S343" s="267"/>
      <c r="T343" s="64">
        <v>22</v>
      </c>
      <c r="U343" s="273" t="s">
        <v>2260</v>
      </c>
      <c r="V343" s="38">
        <v>22</v>
      </c>
      <c r="W343" s="38">
        <f t="shared" si="52"/>
        <v>4.84</v>
      </c>
      <c r="X343" s="38">
        <f t="shared" si="53"/>
        <v>26.84</v>
      </c>
    </row>
    <row r="344" spans="1:24" ht="30" customHeight="1" x14ac:dyDescent="0.35">
      <c r="A344" s="56" t="s">
        <v>2570</v>
      </c>
      <c r="B344" s="2">
        <v>319</v>
      </c>
      <c r="C344" s="77">
        <v>10105891</v>
      </c>
      <c r="D344" s="74" t="s">
        <v>1522</v>
      </c>
      <c r="E344" s="59" t="s">
        <v>2167</v>
      </c>
      <c r="F344" s="75">
        <v>30</v>
      </c>
      <c r="G344" s="64" t="s">
        <v>0</v>
      </c>
      <c r="H344" s="78">
        <v>40697</v>
      </c>
      <c r="I344" s="4" t="s">
        <v>957</v>
      </c>
      <c r="J344" s="63" t="s">
        <v>1917</v>
      </c>
      <c r="K344" s="63" t="s">
        <v>961</v>
      </c>
      <c r="L344" s="69" t="s">
        <v>950</v>
      </c>
      <c r="M344" s="70">
        <v>170612.73</v>
      </c>
      <c r="N344" s="70">
        <v>5687.09</v>
      </c>
      <c r="O344" s="70">
        <v>170612.73</v>
      </c>
      <c r="P344" s="65">
        <v>198970</v>
      </c>
      <c r="Q344" s="65">
        <f t="shared" si="50"/>
        <v>43773.4</v>
      </c>
      <c r="R344" s="65">
        <f t="shared" si="51"/>
        <v>242743.4</v>
      </c>
      <c r="S344" s="272"/>
      <c r="T344" s="64">
        <v>22</v>
      </c>
      <c r="U344" s="274"/>
      <c r="V344" s="38">
        <v>222311</v>
      </c>
      <c r="W344" s="38">
        <f t="shared" si="52"/>
        <v>48908.42</v>
      </c>
      <c r="X344" s="38">
        <f t="shared" si="53"/>
        <v>271219.42</v>
      </c>
    </row>
    <row r="345" spans="1:24" ht="30" customHeight="1" x14ac:dyDescent="0.35">
      <c r="A345" s="56" t="s">
        <v>2571</v>
      </c>
      <c r="B345" s="2">
        <v>320</v>
      </c>
      <c r="C345" s="77">
        <v>10105892</v>
      </c>
      <c r="D345" s="74" t="s">
        <v>1523</v>
      </c>
      <c r="E345" s="59" t="s">
        <v>2167</v>
      </c>
      <c r="F345" s="75">
        <v>22</v>
      </c>
      <c r="G345" s="64" t="s">
        <v>0</v>
      </c>
      <c r="H345" s="78">
        <v>40697</v>
      </c>
      <c r="I345" s="4" t="s">
        <v>957</v>
      </c>
      <c r="J345" s="63" t="s">
        <v>1917</v>
      </c>
      <c r="K345" s="63" t="s">
        <v>961</v>
      </c>
      <c r="L345" s="69" t="s">
        <v>950</v>
      </c>
      <c r="M345" s="70">
        <v>116772.97</v>
      </c>
      <c r="N345" s="70">
        <v>5307.86</v>
      </c>
      <c r="O345" s="70">
        <v>116772.97</v>
      </c>
      <c r="P345" s="65">
        <v>136180</v>
      </c>
      <c r="Q345" s="65">
        <f t="shared" si="50"/>
        <v>29959.599999999999</v>
      </c>
      <c r="R345" s="65">
        <f t="shared" si="51"/>
        <v>166139.6</v>
      </c>
      <c r="S345" s="272"/>
      <c r="T345" s="64">
        <v>22</v>
      </c>
      <c r="U345" s="274"/>
      <c r="V345" s="38">
        <v>152157</v>
      </c>
      <c r="W345" s="38">
        <f t="shared" si="52"/>
        <v>33474.54</v>
      </c>
      <c r="X345" s="38">
        <f t="shared" si="53"/>
        <v>185631.54</v>
      </c>
    </row>
    <row r="346" spans="1:24" ht="30" customHeight="1" x14ac:dyDescent="0.35">
      <c r="A346" s="56" t="s">
        <v>2572</v>
      </c>
      <c r="B346" s="2">
        <v>321</v>
      </c>
      <c r="C346" s="77">
        <v>10022961</v>
      </c>
      <c r="D346" s="74" t="s">
        <v>1524</v>
      </c>
      <c r="E346" s="59" t="s">
        <v>2167</v>
      </c>
      <c r="F346" s="75">
        <v>7</v>
      </c>
      <c r="G346" s="64" t="s">
        <v>0</v>
      </c>
      <c r="H346" s="78">
        <v>41141</v>
      </c>
      <c r="I346" s="4" t="s">
        <v>957</v>
      </c>
      <c r="J346" s="63" t="s">
        <v>1917</v>
      </c>
      <c r="K346" s="63" t="s">
        <v>961</v>
      </c>
      <c r="L346" s="69" t="s">
        <v>950</v>
      </c>
      <c r="M346" s="70">
        <v>22093.38</v>
      </c>
      <c r="N346" s="70">
        <v>3156.2</v>
      </c>
      <c r="O346" s="70">
        <v>22093.38</v>
      </c>
      <c r="P346" s="65">
        <v>25310</v>
      </c>
      <c r="Q346" s="65">
        <f t="shared" si="50"/>
        <v>5568.2</v>
      </c>
      <c r="R346" s="65">
        <f t="shared" si="51"/>
        <v>30878.2</v>
      </c>
      <c r="S346" s="272"/>
      <c r="T346" s="64">
        <v>22</v>
      </c>
      <c r="U346" s="274"/>
      <c r="V346" s="38">
        <v>28276</v>
      </c>
      <c r="W346" s="38">
        <f t="shared" si="52"/>
        <v>6220.72</v>
      </c>
      <c r="X346" s="38">
        <f t="shared" si="53"/>
        <v>34496.720000000001</v>
      </c>
    </row>
    <row r="347" spans="1:24" ht="30" customHeight="1" x14ac:dyDescent="0.35">
      <c r="A347" s="56" t="s">
        <v>2573</v>
      </c>
      <c r="B347" s="2">
        <v>322</v>
      </c>
      <c r="C347" s="77">
        <v>10022963</v>
      </c>
      <c r="D347" s="74" t="s">
        <v>1525</v>
      </c>
      <c r="E347" s="59" t="s">
        <v>2167</v>
      </c>
      <c r="F347" s="75">
        <v>12</v>
      </c>
      <c r="G347" s="64" t="s">
        <v>0</v>
      </c>
      <c r="H347" s="78">
        <v>41275</v>
      </c>
      <c r="I347" s="4" t="s">
        <v>957</v>
      </c>
      <c r="J347" s="63" t="s">
        <v>1917</v>
      </c>
      <c r="K347" s="63" t="s">
        <v>961</v>
      </c>
      <c r="L347" s="69" t="s">
        <v>950</v>
      </c>
      <c r="M347" s="70">
        <v>54685.95</v>
      </c>
      <c r="N347" s="70">
        <v>4557.16</v>
      </c>
      <c r="O347" s="70">
        <v>54685.95</v>
      </c>
      <c r="P347" s="65">
        <v>63080</v>
      </c>
      <c r="Q347" s="65">
        <f t="shared" si="50"/>
        <v>13877.6</v>
      </c>
      <c r="R347" s="65">
        <f t="shared" si="51"/>
        <v>76957.600000000006</v>
      </c>
      <c r="S347" s="272"/>
      <c r="T347" s="64">
        <v>22</v>
      </c>
      <c r="U347" s="274"/>
      <c r="V347" s="38">
        <v>70479</v>
      </c>
      <c r="W347" s="38">
        <f t="shared" si="52"/>
        <v>15505.38</v>
      </c>
      <c r="X347" s="38">
        <f t="shared" si="53"/>
        <v>85984.38</v>
      </c>
    </row>
    <row r="348" spans="1:24" ht="30" customHeight="1" x14ac:dyDescent="0.35">
      <c r="A348" s="56" t="s">
        <v>2574</v>
      </c>
      <c r="B348" s="2">
        <v>323</v>
      </c>
      <c r="C348" s="77">
        <v>10128215</v>
      </c>
      <c r="D348" s="74" t="s">
        <v>1533</v>
      </c>
      <c r="E348" s="59" t="s">
        <v>2167</v>
      </c>
      <c r="F348" s="75">
        <v>1</v>
      </c>
      <c r="G348" s="64" t="s">
        <v>0</v>
      </c>
      <c r="H348" s="78">
        <v>40889</v>
      </c>
      <c r="I348" s="4" t="s">
        <v>957</v>
      </c>
      <c r="J348" s="63" t="s">
        <v>1917</v>
      </c>
      <c r="K348" s="63" t="s">
        <v>961</v>
      </c>
      <c r="L348" s="69" t="s">
        <v>950</v>
      </c>
      <c r="M348" s="70">
        <f t="shared" ref="M348:M411" si="59">O348</f>
        <v>1375.49</v>
      </c>
      <c r="N348" s="70">
        <f t="shared" ref="N348:N358" si="60">O348/F348</f>
        <v>1375.49</v>
      </c>
      <c r="O348" s="70">
        <v>1375.49</v>
      </c>
      <c r="P348" s="65">
        <v>1580</v>
      </c>
      <c r="Q348" s="65">
        <f t="shared" si="50"/>
        <v>347.6</v>
      </c>
      <c r="R348" s="65">
        <f t="shared" si="51"/>
        <v>1927.6</v>
      </c>
      <c r="S348" s="272"/>
      <c r="T348" s="64">
        <v>22</v>
      </c>
      <c r="U348" s="274"/>
      <c r="V348" s="38">
        <v>1770</v>
      </c>
      <c r="W348" s="38">
        <f t="shared" si="52"/>
        <v>389.4</v>
      </c>
      <c r="X348" s="38">
        <f t="shared" si="53"/>
        <v>2159.4</v>
      </c>
    </row>
    <row r="349" spans="1:24" ht="30" customHeight="1" x14ac:dyDescent="0.35">
      <c r="A349" s="56" t="s">
        <v>2575</v>
      </c>
      <c r="B349" s="2">
        <v>324</v>
      </c>
      <c r="C349" s="77">
        <v>10134908</v>
      </c>
      <c r="D349" s="74" t="s">
        <v>1540</v>
      </c>
      <c r="E349" s="59" t="s">
        <v>2167</v>
      </c>
      <c r="F349" s="75">
        <v>24</v>
      </c>
      <c r="G349" s="64" t="s">
        <v>0</v>
      </c>
      <c r="H349" s="78">
        <v>41563</v>
      </c>
      <c r="I349" s="4" t="s">
        <v>957</v>
      </c>
      <c r="J349" s="63" t="s">
        <v>1917</v>
      </c>
      <c r="K349" s="63" t="s">
        <v>961</v>
      </c>
      <c r="L349" s="69" t="s">
        <v>950</v>
      </c>
      <c r="M349" s="70">
        <f t="shared" si="59"/>
        <v>1579.68</v>
      </c>
      <c r="N349" s="70">
        <f t="shared" si="60"/>
        <v>65.819999999999993</v>
      </c>
      <c r="O349" s="70">
        <v>1579.68</v>
      </c>
      <c r="P349" s="65">
        <v>1810</v>
      </c>
      <c r="Q349" s="65">
        <f t="shared" si="50"/>
        <v>398.2</v>
      </c>
      <c r="R349" s="65">
        <f t="shared" si="51"/>
        <v>2208.1999999999998</v>
      </c>
      <c r="S349" s="272"/>
      <c r="T349" s="64">
        <v>22</v>
      </c>
      <c r="U349" s="274"/>
      <c r="V349" s="38">
        <v>2025</v>
      </c>
      <c r="W349" s="38">
        <f t="shared" si="52"/>
        <v>445.5</v>
      </c>
      <c r="X349" s="38">
        <f t="shared" si="53"/>
        <v>2470.5</v>
      </c>
    </row>
    <row r="350" spans="1:24" ht="30" customHeight="1" x14ac:dyDescent="0.35">
      <c r="A350" s="56" t="s">
        <v>2576</v>
      </c>
      <c r="B350" s="2">
        <v>325</v>
      </c>
      <c r="C350" s="77">
        <v>10131575</v>
      </c>
      <c r="D350" s="74" t="s">
        <v>1611</v>
      </c>
      <c r="E350" s="59" t="s">
        <v>2167</v>
      </c>
      <c r="F350" s="75">
        <v>4</v>
      </c>
      <c r="G350" s="64" t="s">
        <v>0</v>
      </c>
      <c r="H350" s="78">
        <v>41431</v>
      </c>
      <c r="I350" s="4" t="s">
        <v>957</v>
      </c>
      <c r="J350" s="63" t="s">
        <v>1917</v>
      </c>
      <c r="K350" s="63" t="s">
        <v>961</v>
      </c>
      <c r="L350" s="69" t="s">
        <v>950</v>
      </c>
      <c r="M350" s="70">
        <f t="shared" si="59"/>
        <v>24720</v>
      </c>
      <c r="N350" s="70">
        <f t="shared" si="60"/>
        <v>6180</v>
      </c>
      <c r="O350" s="70">
        <v>24720</v>
      </c>
      <c r="P350" s="65">
        <v>28330</v>
      </c>
      <c r="Q350" s="65">
        <f t="shared" si="50"/>
        <v>6232.6</v>
      </c>
      <c r="R350" s="65">
        <f t="shared" si="51"/>
        <v>34562.6</v>
      </c>
      <c r="S350" s="272"/>
      <c r="T350" s="64">
        <v>22</v>
      </c>
      <c r="U350" s="274"/>
      <c r="V350" s="38">
        <v>31656</v>
      </c>
      <c r="W350" s="38">
        <f t="shared" si="52"/>
        <v>6964.32</v>
      </c>
      <c r="X350" s="38">
        <f t="shared" si="53"/>
        <v>38620.32</v>
      </c>
    </row>
    <row r="351" spans="1:24" ht="30" customHeight="1" x14ac:dyDescent="0.35">
      <c r="A351" s="56" t="s">
        <v>2577</v>
      </c>
      <c r="B351" s="2">
        <v>326</v>
      </c>
      <c r="C351" s="77">
        <v>10010743</v>
      </c>
      <c r="D351" s="74" t="s">
        <v>1612</v>
      </c>
      <c r="E351" s="59" t="s">
        <v>2167</v>
      </c>
      <c r="F351" s="75">
        <v>1</v>
      </c>
      <c r="G351" s="64" t="s">
        <v>0</v>
      </c>
      <c r="H351" s="78">
        <v>41431</v>
      </c>
      <c r="I351" s="4" t="s">
        <v>957</v>
      </c>
      <c r="J351" s="63" t="s">
        <v>1917</v>
      </c>
      <c r="K351" s="63" t="s">
        <v>961</v>
      </c>
      <c r="L351" s="69" t="s">
        <v>950</v>
      </c>
      <c r="M351" s="70">
        <f t="shared" si="59"/>
        <v>3816.84</v>
      </c>
      <c r="N351" s="70">
        <f t="shared" si="60"/>
        <v>3816.84</v>
      </c>
      <c r="O351" s="70">
        <v>3816.84</v>
      </c>
      <c r="P351" s="65">
        <v>4370</v>
      </c>
      <c r="Q351" s="65">
        <f t="shared" si="50"/>
        <v>961.4</v>
      </c>
      <c r="R351" s="65">
        <f t="shared" si="51"/>
        <v>5331.4</v>
      </c>
      <c r="S351" s="272"/>
      <c r="T351" s="64">
        <v>22</v>
      </c>
      <c r="U351" s="274"/>
      <c r="V351" s="38">
        <v>4888</v>
      </c>
      <c r="W351" s="38">
        <f t="shared" si="52"/>
        <v>1075.3599999999999</v>
      </c>
      <c r="X351" s="38">
        <f t="shared" si="53"/>
        <v>5963.36</v>
      </c>
    </row>
    <row r="352" spans="1:24" ht="30" customHeight="1" x14ac:dyDescent="0.35">
      <c r="A352" s="56" t="s">
        <v>2578</v>
      </c>
      <c r="B352" s="2">
        <v>327</v>
      </c>
      <c r="C352" s="77">
        <v>10122844</v>
      </c>
      <c r="D352" s="74" t="s">
        <v>1629</v>
      </c>
      <c r="E352" s="59" t="s">
        <v>2167</v>
      </c>
      <c r="F352" s="75">
        <v>6</v>
      </c>
      <c r="G352" s="64" t="s">
        <v>0</v>
      </c>
      <c r="H352" s="78">
        <v>40884</v>
      </c>
      <c r="I352" s="4" t="s">
        <v>957</v>
      </c>
      <c r="J352" s="63" t="s">
        <v>1917</v>
      </c>
      <c r="K352" s="63" t="s">
        <v>961</v>
      </c>
      <c r="L352" s="69" t="s">
        <v>950</v>
      </c>
      <c r="M352" s="70">
        <f t="shared" si="59"/>
        <v>2940.88</v>
      </c>
      <c r="N352" s="70">
        <f t="shared" si="60"/>
        <v>490.15</v>
      </c>
      <c r="O352" s="70">
        <v>2940.88</v>
      </c>
      <c r="P352" s="65">
        <v>3390</v>
      </c>
      <c r="Q352" s="65">
        <f t="shared" si="50"/>
        <v>745.8</v>
      </c>
      <c r="R352" s="65">
        <f t="shared" si="51"/>
        <v>4135.8</v>
      </c>
      <c r="S352" s="272"/>
      <c r="T352" s="64">
        <v>22</v>
      </c>
      <c r="U352" s="274"/>
      <c r="V352" s="38">
        <v>3784</v>
      </c>
      <c r="W352" s="38">
        <f t="shared" si="52"/>
        <v>832.48</v>
      </c>
      <c r="X352" s="38">
        <f t="shared" si="53"/>
        <v>4616.4799999999996</v>
      </c>
    </row>
    <row r="353" spans="1:24" ht="30" customHeight="1" x14ac:dyDescent="0.35">
      <c r="A353" s="56" t="s">
        <v>2579</v>
      </c>
      <c r="B353" s="2">
        <v>328</v>
      </c>
      <c r="C353" s="77">
        <v>10098506</v>
      </c>
      <c r="D353" s="74" t="s">
        <v>1669</v>
      </c>
      <c r="E353" s="59" t="s">
        <v>2167</v>
      </c>
      <c r="F353" s="75">
        <v>12</v>
      </c>
      <c r="G353" s="64" t="s">
        <v>0</v>
      </c>
      <c r="H353" s="78">
        <v>41431</v>
      </c>
      <c r="I353" s="4" t="s">
        <v>957</v>
      </c>
      <c r="J353" s="63" t="s">
        <v>1917</v>
      </c>
      <c r="K353" s="63" t="s">
        <v>961</v>
      </c>
      <c r="L353" s="69" t="s">
        <v>950</v>
      </c>
      <c r="M353" s="70">
        <f t="shared" si="59"/>
        <v>30574.29</v>
      </c>
      <c r="N353" s="70">
        <f t="shared" si="60"/>
        <v>2547.86</v>
      </c>
      <c r="O353" s="70">
        <v>30574.29</v>
      </c>
      <c r="P353" s="65">
        <v>35040</v>
      </c>
      <c r="Q353" s="65">
        <f t="shared" si="50"/>
        <v>7708.8</v>
      </c>
      <c r="R353" s="65">
        <f t="shared" si="51"/>
        <v>42748.800000000003</v>
      </c>
      <c r="S353" s="272"/>
      <c r="T353" s="64">
        <v>22</v>
      </c>
      <c r="U353" s="274"/>
      <c r="V353" s="38">
        <v>39153</v>
      </c>
      <c r="W353" s="38">
        <f t="shared" si="52"/>
        <v>8613.66</v>
      </c>
      <c r="X353" s="38">
        <f t="shared" si="53"/>
        <v>47766.66</v>
      </c>
    </row>
    <row r="354" spans="1:24" ht="30" customHeight="1" x14ac:dyDescent="0.35">
      <c r="A354" s="56" t="s">
        <v>2580</v>
      </c>
      <c r="B354" s="2">
        <v>329</v>
      </c>
      <c r="C354" s="77">
        <v>10017823</v>
      </c>
      <c r="D354" s="74" t="s">
        <v>1670</v>
      </c>
      <c r="E354" s="59" t="s">
        <v>2167</v>
      </c>
      <c r="F354" s="75">
        <v>10</v>
      </c>
      <c r="G354" s="64" t="s">
        <v>0</v>
      </c>
      <c r="H354" s="78">
        <v>41249</v>
      </c>
      <c r="I354" s="4" t="s">
        <v>957</v>
      </c>
      <c r="J354" s="63" t="s">
        <v>1917</v>
      </c>
      <c r="K354" s="63" t="s">
        <v>961</v>
      </c>
      <c r="L354" s="69" t="s">
        <v>950</v>
      </c>
      <c r="M354" s="70">
        <f t="shared" si="59"/>
        <v>14958.1</v>
      </c>
      <c r="N354" s="70">
        <f t="shared" si="60"/>
        <v>1495.81</v>
      </c>
      <c r="O354" s="70">
        <v>14958.1</v>
      </c>
      <c r="P354" s="65">
        <v>17110</v>
      </c>
      <c r="Q354" s="65">
        <f t="shared" si="50"/>
        <v>3764.2</v>
      </c>
      <c r="R354" s="65">
        <f t="shared" si="51"/>
        <v>20874.2</v>
      </c>
      <c r="S354" s="272"/>
      <c r="T354" s="64">
        <v>22</v>
      </c>
      <c r="U354" s="274"/>
      <c r="V354" s="38">
        <v>19121</v>
      </c>
      <c r="W354" s="38">
        <f t="shared" si="52"/>
        <v>4206.62</v>
      </c>
      <c r="X354" s="38">
        <f t="shared" si="53"/>
        <v>23327.62</v>
      </c>
    </row>
    <row r="355" spans="1:24" ht="30" customHeight="1" x14ac:dyDescent="0.35">
      <c r="A355" s="56" t="s">
        <v>2581</v>
      </c>
      <c r="B355" s="2">
        <v>330</v>
      </c>
      <c r="C355" s="77">
        <v>10134242</v>
      </c>
      <c r="D355" s="74" t="s">
        <v>1671</v>
      </c>
      <c r="E355" s="59" t="s">
        <v>2167</v>
      </c>
      <c r="F355" s="75">
        <v>20</v>
      </c>
      <c r="G355" s="64" t="s">
        <v>0</v>
      </c>
      <c r="H355" s="78">
        <v>41267</v>
      </c>
      <c r="I355" s="4" t="s">
        <v>957</v>
      </c>
      <c r="J355" s="63" t="s">
        <v>1917</v>
      </c>
      <c r="K355" s="63" t="s">
        <v>961</v>
      </c>
      <c r="L355" s="69" t="s">
        <v>950</v>
      </c>
      <c r="M355" s="70">
        <f t="shared" si="59"/>
        <v>31500</v>
      </c>
      <c r="N355" s="70">
        <f t="shared" si="60"/>
        <v>1575</v>
      </c>
      <c r="O355" s="70">
        <v>31500</v>
      </c>
      <c r="P355" s="65">
        <v>36040</v>
      </c>
      <c r="Q355" s="65">
        <f t="shared" si="50"/>
        <v>7928.8</v>
      </c>
      <c r="R355" s="65">
        <f t="shared" si="51"/>
        <v>43968.800000000003</v>
      </c>
      <c r="S355" s="272"/>
      <c r="T355" s="64">
        <v>22</v>
      </c>
      <c r="U355" s="274"/>
      <c r="V355" s="38">
        <v>40267</v>
      </c>
      <c r="W355" s="38">
        <f t="shared" si="52"/>
        <v>8858.74</v>
      </c>
      <c r="X355" s="38">
        <f t="shared" si="53"/>
        <v>49125.74</v>
      </c>
    </row>
    <row r="356" spans="1:24" ht="25.5" customHeight="1" x14ac:dyDescent="0.35">
      <c r="A356" s="56" t="s">
        <v>2582</v>
      </c>
      <c r="B356" s="2">
        <v>331</v>
      </c>
      <c r="C356" s="77">
        <v>10093718</v>
      </c>
      <c r="D356" s="74" t="s">
        <v>1672</v>
      </c>
      <c r="E356" s="74" t="s">
        <v>1978</v>
      </c>
      <c r="F356" s="75">
        <v>0.96699999999999997</v>
      </c>
      <c r="G356" s="64" t="s">
        <v>0</v>
      </c>
      <c r="H356" s="78">
        <v>39758</v>
      </c>
      <c r="I356" s="4" t="s">
        <v>957</v>
      </c>
      <c r="J356" s="63" t="s">
        <v>1917</v>
      </c>
      <c r="K356" s="63" t="s">
        <v>961</v>
      </c>
      <c r="L356" s="69" t="s">
        <v>950</v>
      </c>
      <c r="M356" s="70">
        <f t="shared" si="59"/>
        <v>597.41</v>
      </c>
      <c r="N356" s="70">
        <f t="shared" si="60"/>
        <v>617.79999999999995</v>
      </c>
      <c r="O356" s="70">
        <v>597.41</v>
      </c>
      <c r="P356" s="65">
        <v>800</v>
      </c>
      <c r="Q356" s="65">
        <f t="shared" si="50"/>
        <v>176</v>
      </c>
      <c r="R356" s="65">
        <f t="shared" si="51"/>
        <v>976</v>
      </c>
      <c r="S356" s="272"/>
      <c r="T356" s="64">
        <v>22</v>
      </c>
      <c r="U356" s="274"/>
      <c r="V356" s="38">
        <v>898</v>
      </c>
      <c r="W356" s="38">
        <f t="shared" si="52"/>
        <v>197.56</v>
      </c>
      <c r="X356" s="38">
        <f t="shared" si="53"/>
        <v>1095.56</v>
      </c>
    </row>
    <row r="357" spans="1:24" ht="18" customHeight="1" x14ac:dyDescent="0.35">
      <c r="A357" s="56" t="s">
        <v>2583</v>
      </c>
      <c r="B357" s="2">
        <v>332</v>
      </c>
      <c r="C357" s="77">
        <v>10093719</v>
      </c>
      <c r="D357" s="74" t="s">
        <v>1673</v>
      </c>
      <c r="E357" s="59" t="s">
        <v>2167</v>
      </c>
      <c r="F357" s="75">
        <v>12</v>
      </c>
      <c r="G357" s="64" t="s">
        <v>0</v>
      </c>
      <c r="H357" s="78">
        <v>39758</v>
      </c>
      <c r="I357" s="4" t="s">
        <v>957</v>
      </c>
      <c r="J357" s="63" t="s">
        <v>1917</v>
      </c>
      <c r="K357" s="63" t="s">
        <v>961</v>
      </c>
      <c r="L357" s="69" t="s">
        <v>950</v>
      </c>
      <c r="M357" s="70">
        <f t="shared" si="59"/>
        <v>50902.86</v>
      </c>
      <c r="N357" s="70">
        <f t="shared" si="60"/>
        <v>4241.91</v>
      </c>
      <c r="O357" s="70">
        <v>50902.86</v>
      </c>
      <c r="P357" s="65">
        <v>68460</v>
      </c>
      <c r="Q357" s="65">
        <f t="shared" si="50"/>
        <v>15061.2</v>
      </c>
      <c r="R357" s="65">
        <f t="shared" si="51"/>
        <v>83521.2</v>
      </c>
      <c r="S357" s="272"/>
      <c r="T357" s="64">
        <v>22</v>
      </c>
      <c r="U357" s="274"/>
      <c r="V357" s="38">
        <v>76493</v>
      </c>
      <c r="W357" s="38">
        <f t="shared" si="52"/>
        <v>16828.46</v>
      </c>
      <c r="X357" s="38">
        <f t="shared" si="53"/>
        <v>93321.46</v>
      </c>
    </row>
    <row r="358" spans="1:24" ht="15" customHeight="1" x14ac:dyDescent="0.35">
      <c r="A358" s="56" t="s">
        <v>2584</v>
      </c>
      <c r="B358" s="2">
        <v>333</v>
      </c>
      <c r="C358" s="77">
        <v>10101809</v>
      </c>
      <c r="D358" s="74" t="s">
        <v>1674</v>
      </c>
      <c r="E358" s="74" t="s">
        <v>1978</v>
      </c>
      <c r="F358" s="75">
        <f>65-53</f>
        <v>12</v>
      </c>
      <c r="G358" s="64" t="s">
        <v>0</v>
      </c>
      <c r="H358" s="78">
        <v>40640</v>
      </c>
      <c r="I358" s="4" t="s">
        <v>957</v>
      </c>
      <c r="J358" s="63" t="s">
        <v>1917</v>
      </c>
      <c r="K358" s="63" t="s">
        <v>961</v>
      </c>
      <c r="L358" s="69" t="s">
        <v>950</v>
      </c>
      <c r="M358" s="70">
        <f t="shared" si="59"/>
        <v>13392</v>
      </c>
      <c r="N358" s="70">
        <f t="shared" si="60"/>
        <v>1116</v>
      </c>
      <c r="O358" s="70">
        <f>72540/65*12</f>
        <v>13392</v>
      </c>
      <c r="P358" s="65">
        <v>15820</v>
      </c>
      <c r="Q358" s="65">
        <f t="shared" si="50"/>
        <v>3480.4</v>
      </c>
      <c r="R358" s="65">
        <f t="shared" si="51"/>
        <v>19300.400000000001</v>
      </c>
      <c r="S358" s="272"/>
      <c r="T358" s="64">
        <v>22</v>
      </c>
      <c r="U358" s="274"/>
      <c r="V358" s="38">
        <v>17680</v>
      </c>
      <c r="W358" s="38">
        <f t="shared" si="52"/>
        <v>3889.6</v>
      </c>
      <c r="X358" s="38">
        <f t="shared" si="53"/>
        <v>21569.599999999999</v>
      </c>
    </row>
    <row r="359" spans="1:24" ht="168" customHeight="1" x14ac:dyDescent="0.35">
      <c r="A359" s="56" t="s">
        <v>3992</v>
      </c>
      <c r="B359" s="2">
        <v>334</v>
      </c>
      <c r="C359" s="77">
        <v>10101809</v>
      </c>
      <c r="D359" s="74" t="s">
        <v>1674</v>
      </c>
      <c r="E359" s="59" t="s">
        <v>2167</v>
      </c>
      <c r="F359" s="75">
        <v>53</v>
      </c>
      <c r="G359" s="64" t="s">
        <v>0</v>
      </c>
      <c r="H359" s="78">
        <v>40640</v>
      </c>
      <c r="I359" s="4" t="s">
        <v>957</v>
      </c>
      <c r="J359" s="63" t="s">
        <v>1917</v>
      </c>
      <c r="K359" s="63" t="s">
        <v>4170</v>
      </c>
      <c r="L359" s="69" t="s">
        <v>845</v>
      </c>
      <c r="M359" s="70">
        <f>O359</f>
        <v>59148</v>
      </c>
      <c r="N359" s="70">
        <f>M359/53</f>
        <v>1116</v>
      </c>
      <c r="O359" s="139">
        <v>59148</v>
      </c>
      <c r="P359" s="65">
        <v>41110</v>
      </c>
      <c r="Q359" s="65">
        <f t="shared" si="50"/>
        <v>9044.2000000000007</v>
      </c>
      <c r="R359" s="65">
        <f t="shared" si="51"/>
        <v>50154.2</v>
      </c>
      <c r="S359" s="272"/>
      <c r="T359" s="64">
        <v>22</v>
      </c>
      <c r="U359" s="274"/>
      <c r="V359" s="38">
        <v>45934</v>
      </c>
      <c r="W359" s="38">
        <f t="shared" si="52"/>
        <v>10105.48</v>
      </c>
      <c r="X359" s="38">
        <f t="shared" si="53"/>
        <v>56039.48</v>
      </c>
    </row>
    <row r="360" spans="1:24" ht="15" customHeight="1" x14ac:dyDescent="0.35">
      <c r="A360" s="56" t="s">
        <v>2585</v>
      </c>
      <c r="B360" s="2">
        <v>335</v>
      </c>
      <c r="C360" s="77">
        <v>10021652</v>
      </c>
      <c r="D360" s="74" t="s">
        <v>1675</v>
      </c>
      <c r="E360" s="59" t="s">
        <v>2167</v>
      </c>
      <c r="F360" s="75">
        <v>15</v>
      </c>
      <c r="G360" s="64" t="s">
        <v>0</v>
      </c>
      <c r="H360" s="78">
        <v>39419</v>
      </c>
      <c r="I360" s="4" t="s">
        <v>957</v>
      </c>
      <c r="J360" s="63" t="s">
        <v>1917</v>
      </c>
      <c r="K360" s="63" t="s">
        <v>961</v>
      </c>
      <c r="L360" s="69" t="s">
        <v>950</v>
      </c>
      <c r="M360" s="70">
        <f t="shared" si="59"/>
        <v>14344.66</v>
      </c>
      <c r="N360" s="70">
        <f t="shared" ref="N360:N365" si="61">O360/F360</f>
        <v>956.31</v>
      </c>
      <c r="O360" s="70">
        <v>14344.66</v>
      </c>
      <c r="P360" s="65">
        <v>21810</v>
      </c>
      <c r="Q360" s="65">
        <f t="shared" si="50"/>
        <v>4798.2</v>
      </c>
      <c r="R360" s="65">
        <f t="shared" si="51"/>
        <v>26608.2</v>
      </c>
      <c r="S360" s="272"/>
      <c r="T360" s="64">
        <v>22</v>
      </c>
      <c r="U360" s="274"/>
      <c r="V360" s="38">
        <v>24367</v>
      </c>
      <c r="W360" s="38">
        <f t="shared" si="52"/>
        <v>5360.74</v>
      </c>
      <c r="X360" s="38">
        <f t="shared" si="53"/>
        <v>29727.74</v>
      </c>
    </row>
    <row r="361" spans="1:24" ht="15" customHeight="1" x14ac:dyDescent="0.35">
      <c r="A361" s="56" t="s">
        <v>2586</v>
      </c>
      <c r="B361" s="2">
        <v>336</v>
      </c>
      <c r="C361" s="77">
        <v>10119341</v>
      </c>
      <c r="D361" s="74" t="s">
        <v>1705</v>
      </c>
      <c r="E361" s="59" t="s">
        <v>2167</v>
      </c>
      <c r="F361" s="75">
        <v>4</v>
      </c>
      <c r="G361" s="64" t="s">
        <v>0</v>
      </c>
      <c r="H361" s="78">
        <v>41423</v>
      </c>
      <c r="I361" s="4" t="s">
        <v>957</v>
      </c>
      <c r="J361" s="63" t="s">
        <v>1917</v>
      </c>
      <c r="K361" s="63" t="s">
        <v>961</v>
      </c>
      <c r="L361" s="69" t="s">
        <v>950</v>
      </c>
      <c r="M361" s="70">
        <f t="shared" si="59"/>
        <v>2572.88</v>
      </c>
      <c r="N361" s="70">
        <f t="shared" si="61"/>
        <v>643.22</v>
      </c>
      <c r="O361" s="70">
        <v>2572.88</v>
      </c>
      <c r="P361" s="65">
        <v>2960</v>
      </c>
      <c r="Q361" s="65">
        <f t="shared" si="50"/>
        <v>651.20000000000005</v>
      </c>
      <c r="R361" s="65">
        <f t="shared" si="51"/>
        <v>3611.2</v>
      </c>
      <c r="S361" s="272"/>
      <c r="T361" s="64">
        <v>22</v>
      </c>
      <c r="U361" s="274"/>
      <c r="V361" s="38">
        <v>3302</v>
      </c>
      <c r="W361" s="38">
        <f t="shared" si="52"/>
        <v>726.44</v>
      </c>
      <c r="X361" s="38">
        <f t="shared" si="53"/>
        <v>4028.44</v>
      </c>
    </row>
    <row r="362" spans="1:24" ht="32.15" customHeight="1" x14ac:dyDescent="0.35">
      <c r="A362" s="56" t="s">
        <v>2587</v>
      </c>
      <c r="B362" s="2">
        <v>337</v>
      </c>
      <c r="C362" s="77">
        <v>10105828</v>
      </c>
      <c r="D362" s="74" t="s">
        <v>1830</v>
      </c>
      <c r="E362" s="59" t="s">
        <v>2167</v>
      </c>
      <c r="F362" s="75">
        <v>26</v>
      </c>
      <c r="G362" s="64" t="s">
        <v>0</v>
      </c>
      <c r="H362" s="78">
        <v>41431</v>
      </c>
      <c r="I362" s="4" t="s">
        <v>957</v>
      </c>
      <c r="J362" s="63" t="s">
        <v>1916</v>
      </c>
      <c r="K362" s="63" t="s">
        <v>961</v>
      </c>
      <c r="L362" s="69" t="s">
        <v>950</v>
      </c>
      <c r="M362" s="70">
        <f t="shared" si="59"/>
        <v>64056.94</v>
      </c>
      <c r="N362" s="70">
        <f t="shared" si="61"/>
        <v>2463.73</v>
      </c>
      <c r="O362" s="70">
        <v>64056.94</v>
      </c>
      <c r="P362" s="65">
        <v>73420</v>
      </c>
      <c r="Q362" s="65">
        <f t="shared" si="50"/>
        <v>16152.4</v>
      </c>
      <c r="R362" s="65">
        <f t="shared" si="51"/>
        <v>89572.4</v>
      </c>
      <c r="S362" s="272"/>
      <c r="T362" s="64">
        <v>22</v>
      </c>
      <c r="U362" s="274"/>
      <c r="V362" s="38">
        <v>82030</v>
      </c>
      <c r="W362" s="38">
        <f t="shared" si="52"/>
        <v>18046.599999999999</v>
      </c>
      <c r="X362" s="38">
        <f t="shared" si="53"/>
        <v>100076.6</v>
      </c>
    </row>
    <row r="363" spans="1:24" ht="15" customHeight="1" x14ac:dyDescent="0.35">
      <c r="A363" s="56" t="s">
        <v>2588</v>
      </c>
      <c r="B363" s="2">
        <v>338</v>
      </c>
      <c r="C363" s="11">
        <v>10148104</v>
      </c>
      <c r="D363" s="3" t="s">
        <v>1330</v>
      </c>
      <c r="E363" s="59" t="s">
        <v>2167</v>
      </c>
      <c r="F363" s="14">
        <v>1</v>
      </c>
      <c r="G363" s="64" t="s">
        <v>0</v>
      </c>
      <c r="H363" s="5">
        <v>41518</v>
      </c>
      <c r="I363" s="4" t="s">
        <v>957</v>
      </c>
      <c r="J363" s="63" t="s">
        <v>1917</v>
      </c>
      <c r="K363" s="63" t="s">
        <v>961</v>
      </c>
      <c r="L363" s="69" t="s">
        <v>950</v>
      </c>
      <c r="M363" s="70">
        <f t="shared" si="59"/>
        <v>6249</v>
      </c>
      <c r="N363" s="70">
        <f t="shared" si="61"/>
        <v>6249</v>
      </c>
      <c r="O363" s="70">
        <v>6249</v>
      </c>
      <c r="P363" s="65">
        <v>7180</v>
      </c>
      <c r="Q363" s="65">
        <f t="shared" si="50"/>
        <v>1579.6</v>
      </c>
      <c r="R363" s="65">
        <f t="shared" si="51"/>
        <v>8759.6</v>
      </c>
      <c r="S363" s="272"/>
      <c r="T363" s="64">
        <v>22</v>
      </c>
      <c r="U363" s="274"/>
      <c r="V363" s="38">
        <v>8026</v>
      </c>
      <c r="W363" s="38">
        <f t="shared" si="52"/>
        <v>1765.72</v>
      </c>
      <c r="X363" s="38">
        <f t="shared" si="53"/>
        <v>9791.7199999999993</v>
      </c>
    </row>
    <row r="364" spans="1:24" ht="30" customHeight="1" x14ac:dyDescent="0.35">
      <c r="A364" s="56" t="s">
        <v>2589</v>
      </c>
      <c r="B364" s="2">
        <v>339</v>
      </c>
      <c r="C364" s="11">
        <v>10148150</v>
      </c>
      <c r="D364" s="3" t="s">
        <v>580</v>
      </c>
      <c r="E364" s="59" t="s">
        <v>2167</v>
      </c>
      <c r="F364" s="14">
        <v>3</v>
      </c>
      <c r="G364" s="64" t="s">
        <v>0</v>
      </c>
      <c r="H364" s="5">
        <v>41518</v>
      </c>
      <c r="I364" s="4" t="s">
        <v>957</v>
      </c>
      <c r="J364" s="63" t="s">
        <v>1917</v>
      </c>
      <c r="K364" s="63" t="s">
        <v>961</v>
      </c>
      <c r="L364" s="69" t="s">
        <v>950</v>
      </c>
      <c r="M364" s="70">
        <f t="shared" si="59"/>
        <v>3897</v>
      </c>
      <c r="N364" s="70">
        <f t="shared" si="61"/>
        <v>1299</v>
      </c>
      <c r="O364" s="70">
        <v>3897</v>
      </c>
      <c r="P364" s="65">
        <v>4480</v>
      </c>
      <c r="Q364" s="65">
        <f t="shared" si="50"/>
        <v>985.6</v>
      </c>
      <c r="R364" s="65">
        <f t="shared" si="51"/>
        <v>5465.6</v>
      </c>
      <c r="S364" s="272"/>
      <c r="T364" s="64">
        <v>22</v>
      </c>
      <c r="U364" s="274"/>
      <c r="V364" s="38">
        <v>5005</v>
      </c>
      <c r="W364" s="38">
        <f t="shared" si="52"/>
        <v>1101.0999999999999</v>
      </c>
      <c r="X364" s="38">
        <f t="shared" si="53"/>
        <v>6106.1</v>
      </c>
    </row>
    <row r="365" spans="1:24" ht="33.75" customHeight="1" x14ac:dyDescent="0.35">
      <c r="A365" s="56" t="s">
        <v>2590</v>
      </c>
      <c r="B365" s="2">
        <v>340</v>
      </c>
      <c r="C365" s="11">
        <v>10151413</v>
      </c>
      <c r="D365" s="3" t="s">
        <v>1348</v>
      </c>
      <c r="E365" s="59" t="s">
        <v>2167</v>
      </c>
      <c r="F365" s="14">
        <v>1</v>
      </c>
      <c r="G365" s="64" t="s">
        <v>0</v>
      </c>
      <c r="H365" s="5">
        <v>41518</v>
      </c>
      <c r="I365" s="4" t="s">
        <v>957</v>
      </c>
      <c r="J365" s="63" t="s">
        <v>1917</v>
      </c>
      <c r="K365" s="63" t="s">
        <v>961</v>
      </c>
      <c r="L365" s="69" t="s">
        <v>950</v>
      </c>
      <c r="M365" s="70">
        <f t="shared" si="59"/>
        <v>29300</v>
      </c>
      <c r="N365" s="70">
        <f t="shared" si="61"/>
        <v>29300</v>
      </c>
      <c r="O365" s="70">
        <v>29300</v>
      </c>
      <c r="P365" s="65">
        <v>33680</v>
      </c>
      <c r="Q365" s="65">
        <f t="shared" si="50"/>
        <v>7409.6</v>
      </c>
      <c r="R365" s="65">
        <f t="shared" si="51"/>
        <v>41089.599999999999</v>
      </c>
      <c r="S365" s="276"/>
      <c r="T365" s="64">
        <v>22</v>
      </c>
      <c r="U365" s="274"/>
      <c r="V365" s="38">
        <v>37630</v>
      </c>
      <c r="W365" s="38">
        <f t="shared" si="52"/>
        <v>8278.6</v>
      </c>
      <c r="X365" s="38">
        <f t="shared" si="53"/>
        <v>45908.6</v>
      </c>
    </row>
    <row r="366" spans="1:24" ht="15" customHeight="1" x14ac:dyDescent="0.35">
      <c r="A366" s="56"/>
      <c r="B366" s="15"/>
      <c r="C366" s="11"/>
      <c r="D366" s="3"/>
      <c r="E366" s="59"/>
      <c r="F366" s="14"/>
      <c r="G366" s="64"/>
      <c r="H366" s="5"/>
      <c r="I366" s="4"/>
      <c r="J366" s="63"/>
      <c r="K366" s="63"/>
      <c r="L366" s="69"/>
      <c r="M366" s="70"/>
      <c r="N366" s="70"/>
      <c r="O366" s="71">
        <f>SUM(O343:O365)</f>
        <v>720108.13</v>
      </c>
      <c r="P366" s="71">
        <f t="shared" ref="P366:R366" si="62">SUM(P343:P365)</f>
        <v>820950</v>
      </c>
      <c r="Q366" s="71">
        <f t="shared" si="62"/>
        <v>180609</v>
      </c>
      <c r="R366" s="71">
        <f t="shared" si="62"/>
        <v>1001559</v>
      </c>
      <c r="S366" s="72">
        <f>R366/100*10</f>
        <v>100155.9</v>
      </c>
      <c r="T366" s="73">
        <v>22</v>
      </c>
      <c r="U366" s="275"/>
      <c r="V366" s="38"/>
      <c r="W366" s="38"/>
      <c r="X366" s="38"/>
    </row>
    <row r="367" spans="1:24" ht="35.25" customHeight="1" x14ac:dyDescent="0.35">
      <c r="A367" s="56" t="s">
        <v>2591</v>
      </c>
      <c r="B367" s="2">
        <v>341</v>
      </c>
      <c r="C367" s="77">
        <v>102001389</v>
      </c>
      <c r="D367" s="74" t="s">
        <v>272</v>
      </c>
      <c r="E367" s="74" t="s">
        <v>2183</v>
      </c>
      <c r="F367" s="75">
        <v>2</v>
      </c>
      <c r="G367" s="64" t="s">
        <v>0</v>
      </c>
      <c r="H367" s="61">
        <v>42004</v>
      </c>
      <c r="I367" s="64" t="s">
        <v>976</v>
      </c>
      <c r="J367" s="63" t="s">
        <v>1917</v>
      </c>
      <c r="K367" s="61" t="s">
        <v>961</v>
      </c>
      <c r="L367" s="61" t="s">
        <v>845</v>
      </c>
      <c r="M367" s="65">
        <f t="shared" si="59"/>
        <v>382592.78</v>
      </c>
      <c r="N367" s="65">
        <f t="shared" ref="N367:N430" si="63">O367/F367</f>
        <v>191296.39</v>
      </c>
      <c r="O367" s="65">
        <v>382592.78</v>
      </c>
      <c r="P367" s="65">
        <v>244130</v>
      </c>
      <c r="Q367" s="65">
        <f t="shared" si="50"/>
        <v>53708.6</v>
      </c>
      <c r="R367" s="65">
        <f t="shared" si="51"/>
        <v>297838.59999999998</v>
      </c>
      <c r="S367" s="267"/>
      <c r="T367" s="64">
        <v>23</v>
      </c>
      <c r="U367" s="273" t="s">
        <v>2260</v>
      </c>
      <c r="V367" s="38">
        <v>280287</v>
      </c>
      <c r="W367" s="38">
        <f t="shared" si="52"/>
        <v>61663.14</v>
      </c>
      <c r="X367" s="38">
        <f t="shared" si="53"/>
        <v>341950.14</v>
      </c>
    </row>
    <row r="368" spans="1:24" ht="105" customHeight="1" x14ac:dyDescent="0.35">
      <c r="A368" s="56" t="s">
        <v>2592</v>
      </c>
      <c r="B368" s="2">
        <v>342</v>
      </c>
      <c r="C368" s="77">
        <v>102001424</v>
      </c>
      <c r="D368" s="74" t="s">
        <v>276</v>
      </c>
      <c r="E368" s="74" t="s">
        <v>2183</v>
      </c>
      <c r="F368" s="75">
        <v>3</v>
      </c>
      <c r="G368" s="64" t="s">
        <v>0</v>
      </c>
      <c r="H368" s="61">
        <v>42004</v>
      </c>
      <c r="I368" s="64" t="s">
        <v>976</v>
      </c>
      <c r="J368" s="63" t="s">
        <v>1917</v>
      </c>
      <c r="K368" s="61" t="s">
        <v>961</v>
      </c>
      <c r="L368" s="61" t="s">
        <v>845</v>
      </c>
      <c r="M368" s="65">
        <f t="shared" si="59"/>
        <v>90555.72</v>
      </c>
      <c r="N368" s="65">
        <f t="shared" si="63"/>
        <v>30185.24</v>
      </c>
      <c r="O368" s="65">
        <v>90555.72</v>
      </c>
      <c r="P368" s="65">
        <v>57780</v>
      </c>
      <c r="Q368" s="65">
        <f t="shared" si="50"/>
        <v>12711.6</v>
      </c>
      <c r="R368" s="65">
        <f t="shared" si="51"/>
        <v>70491.600000000006</v>
      </c>
      <c r="S368" s="272"/>
      <c r="T368" s="64">
        <v>23</v>
      </c>
      <c r="U368" s="270"/>
      <c r="V368" s="38">
        <v>66341</v>
      </c>
      <c r="W368" s="38">
        <f t="shared" si="52"/>
        <v>14595.02</v>
      </c>
      <c r="X368" s="38">
        <f t="shared" si="53"/>
        <v>80936.02</v>
      </c>
    </row>
    <row r="369" spans="1:24" ht="30" customHeight="1" x14ac:dyDescent="0.35">
      <c r="A369" s="56" t="s">
        <v>2593</v>
      </c>
      <c r="B369" s="2">
        <v>343</v>
      </c>
      <c r="C369" s="77">
        <v>102001265</v>
      </c>
      <c r="D369" s="74" t="s">
        <v>312</v>
      </c>
      <c r="E369" s="74" t="s">
        <v>2147</v>
      </c>
      <c r="F369" s="75">
        <v>1</v>
      </c>
      <c r="G369" s="64" t="s">
        <v>0</v>
      </c>
      <c r="H369" s="101" t="s">
        <v>2145</v>
      </c>
      <c r="I369" s="61" t="s">
        <v>972</v>
      </c>
      <c r="J369" s="63" t="s">
        <v>1917</v>
      </c>
      <c r="K369" s="61" t="s">
        <v>961</v>
      </c>
      <c r="L369" s="61" t="s">
        <v>845</v>
      </c>
      <c r="M369" s="65">
        <f t="shared" si="59"/>
        <v>375520</v>
      </c>
      <c r="N369" s="65">
        <f t="shared" si="63"/>
        <v>375520</v>
      </c>
      <c r="O369" s="65">
        <v>375520</v>
      </c>
      <c r="P369" s="65">
        <v>268690</v>
      </c>
      <c r="Q369" s="65">
        <f t="shared" si="50"/>
        <v>59111.8</v>
      </c>
      <c r="R369" s="65">
        <f t="shared" si="51"/>
        <v>327801.8</v>
      </c>
      <c r="S369" s="272"/>
      <c r="T369" s="64">
        <v>23</v>
      </c>
      <c r="U369" s="270"/>
      <c r="V369" s="38">
        <v>308482</v>
      </c>
      <c r="W369" s="38">
        <f t="shared" si="52"/>
        <v>67866.039999999994</v>
      </c>
      <c r="X369" s="38">
        <f t="shared" si="53"/>
        <v>376348.04</v>
      </c>
    </row>
    <row r="370" spans="1:24" ht="22.5" customHeight="1" x14ac:dyDescent="0.35">
      <c r="A370" s="56" t="s">
        <v>2594</v>
      </c>
      <c r="B370" s="2">
        <v>344</v>
      </c>
      <c r="C370" s="77">
        <v>102001270</v>
      </c>
      <c r="D370" s="74" t="s">
        <v>313</v>
      </c>
      <c r="E370" s="74" t="s">
        <v>2147</v>
      </c>
      <c r="F370" s="75">
        <v>1</v>
      </c>
      <c r="G370" s="64" t="s">
        <v>0</v>
      </c>
      <c r="H370" s="101" t="s">
        <v>2145</v>
      </c>
      <c r="I370" s="61" t="s">
        <v>972</v>
      </c>
      <c r="J370" s="63" t="s">
        <v>1917</v>
      </c>
      <c r="K370" s="61" t="s">
        <v>961</v>
      </c>
      <c r="L370" s="61" t="s">
        <v>845</v>
      </c>
      <c r="M370" s="65">
        <f t="shared" si="59"/>
        <v>226380</v>
      </c>
      <c r="N370" s="65">
        <f t="shared" si="63"/>
        <v>226380</v>
      </c>
      <c r="O370" s="65">
        <v>226380</v>
      </c>
      <c r="P370" s="65">
        <v>161980</v>
      </c>
      <c r="Q370" s="65">
        <f t="shared" si="50"/>
        <v>35635.599999999999</v>
      </c>
      <c r="R370" s="65">
        <f t="shared" si="51"/>
        <v>197615.6</v>
      </c>
      <c r="S370" s="272"/>
      <c r="T370" s="64">
        <v>23</v>
      </c>
      <c r="U370" s="270"/>
      <c r="V370" s="38">
        <v>185967</v>
      </c>
      <c r="W370" s="38">
        <f t="shared" si="52"/>
        <v>40912.74</v>
      </c>
      <c r="X370" s="38">
        <f t="shared" si="53"/>
        <v>226879.74</v>
      </c>
    </row>
    <row r="371" spans="1:24" ht="30.75" customHeight="1" x14ac:dyDescent="0.35">
      <c r="A371" s="56" t="s">
        <v>2595</v>
      </c>
      <c r="B371" s="2">
        <v>345</v>
      </c>
      <c r="C371" s="77">
        <v>102001422</v>
      </c>
      <c r="D371" s="74" t="s">
        <v>317</v>
      </c>
      <c r="E371" s="74" t="s">
        <v>2147</v>
      </c>
      <c r="F371" s="75">
        <v>1</v>
      </c>
      <c r="G371" s="64" t="s">
        <v>0</v>
      </c>
      <c r="H371" s="101" t="s">
        <v>2145</v>
      </c>
      <c r="I371" s="61" t="s">
        <v>972</v>
      </c>
      <c r="J371" s="63" t="s">
        <v>1917</v>
      </c>
      <c r="K371" s="61" t="s">
        <v>961</v>
      </c>
      <c r="L371" s="61" t="s">
        <v>845</v>
      </c>
      <c r="M371" s="65">
        <f t="shared" si="59"/>
        <v>233680</v>
      </c>
      <c r="N371" s="65">
        <f t="shared" si="63"/>
        <v>233680</v>
      </c>
      <c r="O371" s="65">
        <v>233680</v>
      </c>
      <c r="P371" s="65">
        <v>167200</v>
      </c>
      <c r="Q371" s="65">
        <f t="shared" si="50"/>
        <v>36784</v>
      </c>
      <c r="R371" s="65">
        <f t="shared" si="51"/>
        <v>203984</v>
      </c>
      <c r="S371" s="272"/>
      <c r="T371" s="64">
        <v>23</v>
      </c>
      <c r="U371" s="270"/>
      <c r="V371" s="38">
        <v>191963</v>
      </c>
      <c r="W371" s="38">
        <f t="shared" si="52"/>
        <v>42231.86</v>
      </c>
      <c r="X371" s="38">
        <f t="shared" si="53"/>
        <v>234194.86</v>
      </c>
    </row>
    <row r="372" spans="1:24" ht="120" customHeight="1" x14ac:dyDescent="0.35">
      <c r="A372" s="56" t="s">
        <v>2596</v>
      </c>
      <c r="B372" s="2">
        <v>346</v>
      </c>
      <c r="C372" s="77">
        <v>102004256</v>
      </c>
      <c r="D372" s="74" t="s">
        <v>349</v>
      </c>
      <c r="E372" s="74" t="s">
        <v>2147</v>
      </c>
      <c r="F372" s="75">
        <v>2</v>
      </c>
      <c r="G372" s="64" t="s">
        <v>0</v>
      </c>
      <c r="H372" s="101">
        <v>2010</v>
      </c>
      <c r="I372" s="61" t="s">
        <v>972</v>
      </c>
      <c r="J372" s="63" t="s">
        <v>1917</v>
      </c>
      <c r="K372" s="61" t="s">
        <v>961</v>
      </c>
      <c r="L372" s="69" t="s">
        <v>2093</v>
      </c>
      <c r="M372" s="70">
        <f t="shared" si="59"/>
        <v>199206.96</v>
      </c>
      <c r="N372" s="70">
        <f t="shared" si="63"/>
        <v>99603.48</v>
      </c>
      <c r="O372" s="70">
        <v>199206.96</v>
      </c>
      <c r="P372" s="65">
        <v>142530</v>
      </c>
      <c r="Q372" s="65">
        <f t="shared" si="50"/>
        <v>31356.6</v>
      </c>
      <c r="R372" s="65">
        <f t="shared" si="51"/>
        <v>173886.6</v>
      </c>
      <c r="S372" s="272"/>
      <c r="T372" s="64">
        <v>23</v>
      </c>
      <c r="U372" s="270"/>
      <c r="V372" s="38">
        <v>163645</v>
      </c>
      <c r="W372" s="38">
        <f t="shared" si="52"/>
        <v>36001.9</v>
      </c>
      <c r="X372" s="38">
        <f t="shared" si="53"/>
        <v>199646.9</v>
      </c>
    </row>
    <row r="373" spans="1:24" ht="30" customHeight="1" x14ac:dyDescent="0.35">
      <c r="A373" s="56" t="s">
        <v>2597</v>
      </c>
      <c r="B373" s="2">
        <v>347</v>
      </c>
      <c r="C373" s="77">
        <v>102000706</v>
      </c>
      <c r="D373" s="74" t="s">
        <v>297</v>
      </c>
      <c r="E373" s="74" t="s">
        <v>2147</v>
      </c>
      <c r="F373" s="75">
        <v>1</v>
      </c>
      <c r="G373" s="64" t="s">
        <v>0</v>
      </c>
      <c r="H373" s="101" t="s">
        <v>2145</v>
      </c>
      <c r="I373" s="61" t="s">
        <v>972</v>
      </c>
      <c r="J373" s="61" t="s">
        <v>959</v>
      </c>
      <c r="K373" s="61" t="s">
        <v>961</v>
      </c>
      <c r="L373" s="61" t="s">
        <v>845</v>
      </c>
      <c r="M373" s="65">
        <f t="shared" si="59"/>
        <v>81725</v>
      </c>
      <c r="N373" s="65">
        <f t="shared" si="63"/>
        <v>81725</v>
      </c>
      <c r="O373" s="65">
        <v>81725</v>
      </c>
      <c r="P373" s="65">
        <v>58470</v>
      </c>
      <c r="Q373" s="65">
        <f t="shared" si="50"/>
        <v>12863.4</v>
      </c>
      <c r="R373" s="65">
        <f t="shared" si="51"/>
        <v>71333.399999999994</v>
      </c>
      <c r="S373" s="272"/>
      <c r="T373" s="64">
        <v>23</v>
      </c>
      <c r="U373" s="270"/>
      <c r="V373" s="38">
        <v>67135</v>
      </c>
      <c r="W373" s="38">
        <f t="shared" si="52"/>
        <v>14769.7</v>
      </c>
      <c r="X373" s="38">
        <f t="shared" si="53"/>
        <v>81904.7</v>
      </c>
    </row>
    <row r="374" spans="1:24" ht="33.75" customHeight="1" x14ac:dyDescent="0.35">
      <c r="A374" s="56" t="s">
        <v>2598</v>
      </c>
      <c r="B374" s="2">
        <v>348</v>
      </c>
      <c r="C374" s="77">
        <v>102000858</v>
      </c>
      <c r="D374" s="74" t="s">
        <v>300</v>
      </c>
      <c r="E374" s="74" t="s">
        <v>2147</v>
      </c>
      <c r="F374" s="75">
        <v>1</v>
      </c>
      <c r="G374" s="64" t="s">
        <v>0</v>
      </c>
      <c r="H374" s="101" t="s">
        <v>2145</v>
      </c>
      <c r="I374" s="61" t="s">
        <v>972</v>
      </c>
      <c r="J374" s="61" t="s">
        <v>959</v>
      </c>
      <c r="K374" s="61" t="s">
        <v>961</v>
      </c>
      <c r="L374" s="61" t="s">
        <v>845</v>
      </c>
      <c r="M374" s="65">
        <f t="shared" si="59"/>
        <v>129760</v>
      </c>
      <c r="N374" s="65">
        <f t="shared" si="63"/>
        <v>129760</v>
      </c>
      <c r="O374" s="65">
        <v>129760</v>
      </c>
      <c r="P374" s="65">
        <v>92840</v>
      </c>
      <c r="Q374" s="65">
        <f t="shared" si="50"/>
        <v>20424.8</v>
      </c>
      <c r="R374" s="65">
        <f t="shared" si="51"/>
        <v>113264.8</v>
      </c>
      <c r="S374" s="272"/>
      <c r="T374" s="64">
        <v>23</v>
      </c>
      <c r="U374" s="270"/>
      <c r="V374" s="38">
        <v>106595</v>
      </c>
      <c r="W374" s="38">
        <f t="shared" si="52"/>
        <v>23450.9</v>
      </c>
      <c r="X374" s="38">
        <f t="shared" si="53"/>
        <v>130045.9</v>
      </c>
    </row>
    <row r="375" spans="1:24" ht="22.5" customHeight="1" x14ac:dyDescent="0.35">
      <c r="A375" s="56" t="s">
        <v>2599</v>
      </c>
      <c r="B375" s="2">
        <v>349</v>
      </c>
      <c r="C375" s="77">
        <v>102000966</v>
      </c>
      <c r="D375" s="74" t="s">
        <v>305</v>
      </c>
      <c r="E375" s="74" t="s">
        <v>2147</v>
      </c>
      <c r="F375" s="75">
        <v>1</v>
      </c>
      <c r="G375" s="64" t="s">
        <v>0</v>
      </c>
      <c r="H375" s="101" t="s">
        <v>2145</v>
      </c>
      <c r="I375" s="61" t="s">
        <v>972</v>
      </c>
      <c r="J375" s="61" t="s">
        <v>959</v>
      </c>
      <c r="K375" s="61" t="s">
        <v>961</v>
      </c>
      <c r="L375" s="61" t="s">
        <v>845</v>
      </c>
      <c r="M375" s="65">
        <f t="shared" si="59"/>
        <v>125850</v>
      </c>
      <c r="N375" s="65">
        <f t="shared" si="63"/>
        <v>125850</v>
      </c>
      <c r="O375" s="65">
        <v>125850</v>
      </c>
      <c r="P375" s="65">
        <v>90050</v>
      </c>
      <c r="Q375" s="65">
        <f t="shared" si="50"/>
        <v>19811</v>
      </c>
      <c r="R375" s="65">
        <f t="shared" si="51"/>
        <v>109861</v>
      </c>
      <c r="S375" s="272"/>
      <c r="T375" s="64">
        <v>23</v>
      </c>
      <c r="U375" s="270"/>
      <c r="V375" s="38">
        <v>103383</v>
      </c>
      <c r="W375" s="38">
        <f t="shared" si="52"/>
        <v>22744.26</v>
      </c>
      <c r="X375" s="38">
        <f t="shared" si="53"/>
        <v>126127.26</v>
      </c>
    </row>
    <row r="376" spans="1:24" ht="22.5" customHeight="1" x14ac:dyDescent="0.35">
      <c r="A376" s="56" t="s">
        <v>2600</v>
      </c>
      <c r="B376" s="2">
        <v>350</v>
      </c>
      <c r="C376" s="77">
        <v>102001094</v>
      </c>
      <c r="D376" s="74" t="s">
        <v>307</v>
      </c>
      <c r="E376" s="74" t="s">
        <v>2147</v>
      </c>
      <c r="F376" s="75">
        <v>1</v>
      </c>
      <c r="G376" s="64" t="s">
        <v>0</v>
      </c>
      <c r="H376" s="101" t="s">
        <v>2145</v>
      </c>
      <c r="I376" s="61" t="s">
        <v>972</v>
      </c>
      <c r="J376" s="61" t="s">
        <v>959</v>
      </c>
      <c r="K376" s="61" t="s">
        <v>961</v>
      </c>
      <c r="L376" s="61" t="s">
        <v>845</v>
      </c>
      <c r="M376" s="65">
        <f t="shared" si="59"/>
        <v>199080</v>
      </c>
      <c r="N376" s="65">
        <f t="shared" si="63"/>
        <v>199080</v>
      </c>
      <c r="O376" s="65">
        <v>199080</v>
      </c>
      <c r="P376" s="65">
        <v>142440</v>
      </c>
      <c r="Q376" s="65">
        <f t="shared" si="50"/>
        <v>31336.799999999999</v>
      </c>
      <c r="R376" s="65">
        <f t="shared" si="51"/>
        <v>173776.8</v>
      </c>
      <c r="S376" s="272"/>
      <c r="T376" s="64">
        <v>23</v>
      </c>
      <c r="U376" s="270"/>
      <c r="V376" s="38">
        <v>163540</v>
      </c>
      <c r="W376" s="38">
        <f t="shared" si="52"/>
        <v>35978.800000000003</v>
      </c>
      <c r="X376" s="38">
        <f t="shared" si="53"/>
        <v>199518.8</v>
      </c>
    </row>
    <row r="377" spans="1:24" ht="31.5" customHeight="1" x14ac:dyDescent="0.35">
      <c r="A377" s="56" t="s">
        <v>2601</v>
      </c>
      <c r="B377" s="2">
        <v>351</v>
      </c>
      <c r="C377" s="77">
        <v>102001174</v>
      </c>
      <c r="D377" s="74" t="s">
        <v>310</v>
      </c>
      <c r="E377" s="74" t="s">
        <v>2147</v>
      </c>
      <c r="F377" s="75">
        <v>1</v>
      </c>
      <c r="G377" s="64" t="s">
        <v>0</v>
      </c>
      <c r="H377" s="101" t="s">
        <v>2145</v>
      </c>
      <c r="I377" s="61" t="s">
        <v>972</v>
      </c>
      <c r="J377" s="61" t="s">
        <v>959</v>
      </c>
      <c r="K377" s="61" t="s">
        <v>961</v>
      </c>
      <c r="L377" s="61" t="s">
        <v>845</v>
      </c>
      <c r="M377" s="65">
        <f t="shared" si="59"/>
        <v>155750</v>
      </c>
      <c r="N377" s="65">
        <f t="shared" si="63"/>
        <v>155750</v>
      </c>
      <c r="O377" s="65">
        <v>155750</v>
      </c>
      <c r="P377" s="65">
        <v>111440</v>
      </c>
      <c r="Q377" s="65">
        <f t="shared" si="50"/>
        <v>24516.799999999999</v>
      </c>
      <c r="R377" s="65">
        <f t="shared" si="51"/>
        <v>135956.79999999999</v>
      </c>
      <c r="S377" s="272"/>
      <c r="T377" s="64">
        <v>23</v>
      </c>
      <c r="U377" s="270"/>
      <c r="V377" s="38">
        <v>127946</v>
      </c>
      <c r="W377" s="38">
        <f t="shared" si="52"/>
        <v>28148.12</v>
      </c>
      <c r="X377" s="38">
        <f t="shared" si="53"/>
        <v>156094.12</v>
      </c>
    </row>
    <row r="378" spans="1:24" ht="30" customHeight="1" x14ac:dyDescent="0.35">
      <c r="A378" s="56" t="s">
        <v>2602</v>
      </c>
      <c r="B378" s="2">
        <v>352</v>
      </c>
      <c r="C378" s="77">
        <v>102001219</v>
      </c>
      <c r="D378" s="74" t="s">
        <v>311</v>
      </c>
      <c r="E378" s="74" t="s">
        <v>2147</v>
      </c>
      <c r="F378" s="75">
        <v>1</v>
      </c>
      <c r="G378" s="64" t="s">
        <v>0</v>
      </c>
      <c r="H378" s="101" t="s">
        <v>2145</v>
      </c>
      <c r="I378" s="61" t="s">
        <v>972</v>
      </c>
      <c r="J378" s="61" t="s">
        <v>959</v>
      </c>
      <c r="K378" s="61" t="s">
        <v>961</v>
      </c>
      <c r="L378" s="61" t="s">
        <v>845</v>
      </c>
      <c r="M378" s="65">
        <f t="shared" si="59"/>
        <v>99425</v>
      </c>
      <c r="N378" s="65">
        <f t="shared" si="63"/>
        <v>99425</v>
      </c>
      <c r="O378" s="65">
        <v>99425</v>
      </c>
      <c r="P378" s="65">
        <v>71140</v>
      </c>
      <c r="Q378" s="65">
        <f t="shared" si="50"/>
        <v>15650.8</v>
      </c>
      <c r="R378" s="65">
        <f t="shared" si="51"/>
        <v>86790.8</v>
      </c>
      <c r="S378" s="272"/>
      <c r="T378" s="64">
        <v>23</v>
      </c>
      <c r="U378" s="270"/>
      <c r="V378" s="38">
        <v>81676</v>
      </c>
      <c r="W378" s="38">
        <f t="shared" si="52"/>
        <v>17968.72</v>
      </c>
      <c r="X378" s="38">
        <f t="shared" si="53"/>
        <v>99644.72</v>
      </c>
    </row>
    <row r="379" spans="1:24" ht="33.75" customHeight="1" x14ac:dyDescent="0.35">
      <c r="A379" s="56" t="s">
        <v>2603</v>
      </c>
      <c r="B379" s="2">
        <v>353</v>
      </c>
      <c r="C379" s="77">
        <v>102000830</v>
      </c>
      <c r="D379" s="74" t="s">
        <v>339</v>
      </c>
      <c r="E379" s="74" t="s">
        <v>2147</v>
      </c>
      <c r="F379" s="75">
        <v>2</v>
      </c>
      <c r="G379" s="64" t="s">
        <v>0</v>
      </c>
      <c r="H379" s="101" t="s">
        <v>2145</v>
      </c>
      <c r="I379" s="61" t="s">
        <v>972</v>
      </c>
      <c r="J379" s="61" t="s">
        <v>2148</v>
      </c>
      <c r="K379" s="61" t="s">
        <v>961</v>
      </c>
      <c r="L379" s="61" t="s">
        <v>845</v>
      </c>
      <c r="M379" s="65">
        <f t="shared" si="59"/>
        <v>188400</v>
      </c>
      <c r="N379" s="65">
        <f t="shared" si="63"/>
        <v>94200</v>
      </c>
      <c r="O379" s="65">
        <v>188400</v>
      </c>
      <c r="P379" s="65">
        <v>134800</v>
      </c>
      <c r="Q379" s="65">
        <f t="shared" si="50"/>
        <v>29656</v>
      </c>
      <c r="R379" s="65">
        <f t="shared" si="51"/>
        <v>164456</v>
      </c>
      <c r="S379" s="272"/>
      <c r="T379" s="64">
        <v>23</v>
      </c>
      <c r="U379" s="270"/>
      <c r="V379" s="38">
        <v>154767</v>
      </c>
      <c r="W379" s="38">
        <f t="shared" si="52"/>
        <v>34048.74</v>
      </c>
      <c r="X379" s="38">
        <f t="shared" si="53"/>
        <v>188815.74</v>
      </c>
    </row>
    <row r="380" spans="1:24" ht="33" customHeight="1" x14ac:dyDescent="0.35">
      <c r="A380" s="56" t="s">
        <v>2604</v>
      </c>
      <c r="B380" s="2">
        <v>354</v>
      </c>
      <c r="C380" s="77">
        <v>102000875</v>
      </c>
      <c r="D380" s="74" t="s">
        <v>341</v>
      </c>
      <c r="E380" s="74" t="s">
        <v>2147</v>
      </c>
      <c r="F380" s="75">
        <v>2</v>
      </c>
      <c r="G380" s="64" t="s">
        <v>0</v>
      </c>
      <c r="H380" s="101" t="s">
        <v>2145</v>
      </c>
      <c r="I380" s="61" t="s">
        <v>972</v>
      </c>
      <c r="J380" s="63" t="s">
        <v>1917</v>
      </c>
      <c r="K380" s="61" t="s">
        <v>961</v>
      </c>
      <c r="L380" s="61" t="s">
        <v>845</v>
      </c>
      <c r="M380" s="65">
        <f t="shared" si="59"/>
        <v>137100</v>
      </c>
      <c r="N380" s="65">
        <f t="shared" si="63"/>
        <v>68550</v>
      </c>
      <c r="O380" s="65">
        <v>137100</v>
      </c>
      <c r="P380" s="65">
        <v>98100</v>
      </c>
      <c r="Q380" s="65">
        <f t="shared" si="50"/>
        <v>21582</v>
      </c>
      <c r="R380" s="65">
        <f t="shared" si="51"/>
        <v>119682</v>
      </c>
      <c r="S380" s="272"/>
      <c r="T380" s="64">
        <v>23</v>
      </c>
      <c r="U380" s="270"/>
      <c r="V380" s="38">
        <v>112625</v>
      </c>
      <c r="W380" s="38">
        <f t="shared" si="52"/>
        <v>24777.5</v>
      </c>
      <c r="X380" s="38">
        <f t="shared" si="53"/>
        <v>137402.5</v>
      </c>
    </row>
    <row r="381" spans="1:24" ht="23.25" customHeight="1" x14ac:dyDescent="0.35">
      <c r="A381" s="56" t="s">
        <v>2605</v>
      </c>
      <c r="B381" s="2">
        <v>355</v>
      </c>
      <c r="C381" s="77">
        <v>102001075</v>
      </c>
      <c r="D381" s="74" t="s">
        <v>370</v>
      </c>
      <c r="E381" s="74" t="s">
        <v>2147</v>
      </c>
      <c r="F381" s="75">
        <v>6</v>
      </c>
      <c r="G381" s="64" t="s">
        <v>0</v>
      </c>
      <c r="H381" s="101">
        <v>2010</v>
      </c>
      <c r="I381" s="61" t="s">
        <v>972</v>
      </c>
      <c r="J381" s="63" t="s">
        <v>1917</v>
      </c>
      <c r="K381" s="61" t="s">
        <v>961</v>
      </c>
      <c r="L381" s="61" t="s">
        <v>845</v>
      </c>
      <c r="M381" s="102">
        <f t="shared" si="59"/>
        <v>586850</v>
      </c>
      <c r="N381" s="134">
        <f t="shared" si="63"/>
        <v>97808.33</v>
      </c>
      <c r="O381" s="65">
        <v>586850</v>
      </c>
      <c r="P381" s="65">
        <v>419900</v>
      </c>
      <c r="Q381" s="65">
        <f t="shared" si="50"/>
        <v>92378</v>
      </c>
      <c r="R381" s="65">
        <f t="shared" si="51"/>
        <v>512278</v>
      </c>
      <c r="S381" s="272"/>
      <c r="T381" s="64">
        <v>23</v>
      </c>
      <c r="U381" s="270"/>
      <c r="V381" s="38">
        <v>482086</v>
      </c>
      <c r="W381" s="38">
        <f t="shared" si="52"/>
        <v>106058.92</v>
      </c>
      <c r="X381" s="38">
        <f t="shared" si="53"/>
        <v>588144.92000000004</v>
      </c>
    </row>
    <row r="382" spans="1:24" ht="24.75" customHeight="1" x14ac:dyDescent="0.35">
      <c r="A382" s="56" t="s">
        <v>2606</v>
      </c>
      <c r="B382" s="2">
        <v>356</v>
      </c>
      <c r="C382" s="77">
        <v>102001488</v>
      </c>
      <c r="D382" s="74" t="s">
        <v>371</v>
      </c>
      <c r="E382" s="74" t="s">
        <v>2147</v>
      </c>
      <c r="F382" s="75">
        <v>6</v>
      </c>
      <c r="G382" s="64" t="s">
        <v>0</v>
      </c>
      <c r="H382" s="101" t="s">
        <v>2145</v>
      </c>
      <c r="I382" s="61" t="s">
        <v>972</v>
      </c>
      <c r="J382" s="61" t="s">
        <v>959</v>
      </c>
      <c r="K382" s="61" t="s">
        <v>961</v>
      </c>
      <c r="L382" s="61" t="s">
        <v>845</v>
      </c>
      <c r="M382" s="102">
        <f t="shared" si="59"/>
        <v>467220</v>
      </c>
      <c r="N382" s="102">
        <f t="shared" si="63"/>
        <v>77870</v>
      </c>
      <c r="O382" s="65">
        <v>467220</v>
      </c>
      <c r="P382" s="65">
        <v>334300</v>
      </c>
      <c r="Q382" s="65">
        <f t="shared" si="50"/>
        <v>73546</v>
      </c>
      <c r="R382" s="65">
        <f t="shared" si="51"/>
        <v>407846</v>
      </c>
      <c r="S382" s="272"/>
      <c r="T382" s="64">
        <v>23</v>
      </c>
      <c r="U382" s="270"/>
      <c r="V382" s="38">
        <v>383812</v>
      </c>
      <c r="W382" s="38">
        <f t="shared" si="52"/>
        <v>84438.64</v>
      </c>
      <c r="X382" s="38">
        <f t="shared" si="53"/>
        <v>468250.64</v>
      </c>
    </row>
    <row r="383" spans="1:24" ht="34.5" customHeight="1" x14ac:dyDescent="0.35">
      <c r="A383" s="56" t="s">
        <v>2607</v>
      </c>
      <c r="B383" s="2">
        <v>357</v>
      </c>
      <c r="C383" s="89">
        <v>102001397</v>
      </c>
      <c r="D383" s="106" t="s">
        <v>576</v>
      </c>
      <c r="E383" s="74" t="s">
        <v>2184</v>
      </c>
      <c r="F383" s="75">
        <v>1</v>
      </c>
      <c r="G383" s="64" t="s">
        <v>0</v>
      </c>
      <c r="H383" s="61">
        <v>42004</v>
      </c>
      <c r="I383" s="107" t="s">
        <v>976</v>
      </c>
      <c r="J383" s="63" t="s">
        <v>1917</v>
      </c>
      <c r="K383" s="108" t="s">
        <v>737</v>
      </c>
      <c r="L383" s="64" t="s">
        <v>845</v>
      </c>
      <c r="M383" s="65">
        <f t="shared" si="59"/>
        <v>26516</v>
      </c>
      <c r="N383" s="65">
        <f t="shared" si="63"/>
        <v>26516</v>
      </c>
      <c r="O383" s="65">
        <v>26516</v>
      </c>
      <c r="P383" s="65">
        <v>16920</v>
      </c>
      <c r="Q383" s="65">
        <f t="shared" si="50"/>
        <v>3722.4</v>
      </c>
      <c r="R383" s="65">
        <f t="shared" si="51"/>
        <v>20642.400000000001</v>
      </c>
      <c r="S383" s="272"/>
      <c r="T383" s="64">
        <v>23</v>
      </c>
      <c r="U383" s="270"/>
      <c r="V383" s="38">
        <v>19426</v>
      </c>
      <c r="W383" s="38">
        <f t="shared" si="52"/>
        <v>4273.72</v>
      </c>
      <c r="X383" s="38">
        <f t="shared" si="53"/>
        <v>23699.72</v>
      </c>
    </row>
    <row r="384" spans="1:24" ht="29.25" customHeight="1" x14ac:dyDescent="0.35">
      <c r="A384" s="56" t="s">
        <v>2608</v>
      </c>
      <c r="B384" s="2">
        <v>358</v>
      </c>
      <c r="C384" s="89">
        <v>102000687</v>
      </c>
      <c r="D384" s="106" t="s">
        <v>579</v>
      </c>
      <c r="E384" s="74" t="s">
        <v>2184</v>
      </c>
      <c r="F384" s="75">
        <v>1</v>
      </c>
      <c r="G384" s="64" t="s">
        <v>0</v>
      </c>
      <c r="H384" s="61">
        <v>42004</v>
      </c>
      <c r="I384" s="107" t="s">
        <v>976</v>
      </c>
      <c r="J384" s="63" t="s">
        <v>1917</v>
      </c>
      <c r="K384" s="108" t="s">
        <v>739</v>
      </c>
      <c r="L384" s="64" t="s">
        <v>845</v>
      </c>
      <c r="M384" s="65">
        <f t="shared" si="59"/>
        <v>118900</v>
      </c>
      <c r="N384" s="65">
        <f t="shared" si="63"/>
        <v>118900</v>
      </c>
      <c r="O384" s="65">
        <v>118900</v>
      </c>
      <c r="P384" s="65">
        <v>75870</v>
      </c>
      <c r="Q384" s="65">
        <f t="shared" ref="Q384:Q447" si="64">P384*0.22</f>
        <v>16691.400000000001</v>
      </c>
      <c r="R384" s="65">
        <f t="shared" ref="R384:R447" si="65">P384+Q384</f>
        <v>92561.4</v>
      </c>
      <c r="S384" s="272"/>
      <c r="T384" s="64">
        <v>23</v>
      </c>
      <c r="U384" s="270"/>
      <c r="V384" s="38">
        <v>87106</v>
      </c>
      <c r="W384" s="38">
        <f t="shared" ref="W384:W447" si="66">V384*0.22</f>
        <v>19163.32</v>
      </c>
      <c r="X384" s="38">
        <f t="shared" si="53"/>
        <v>106269.32</v>
      </c>
    </row>
    <row r="385" spans="1:24" ht="20.25" customHeight="1" x14ac:dyDescent="0.35">
      <c r="A385" s="56" t="s">
        <v>2609</v>
      </c>
      <c r="B385" s="2">
        <v>359</v>
      </c>
      <c r="C385" s="89">
        <v>10148150</v>
      </c>
      <c r="D385" s="90" t="s">
        <v>580</v>
      </c>
      <c r="E385" s="74" t="s">
        <v>2184</v>
      </c>
      <c r="F385" s="91">
        <v>2</v>
      </c>
      <c r="G385" s="64" t="s">
        <v>0</v>
      </c>
      <c r="H385" s="61">
        <v>42004</v>
      </c>
      <c r="I385" s="107" t="s">
        <v>976</v>
      </c>
      <c r="J385" s="63" t="s">
        <v>1917</v>
      </c>
      <c r="K385" s="108" t="s">
        <v>740</v>
      </c>
      <c r="L385" s="64" t="s">
        <v>845</v>
      </c>
      <c r="M385" s="65">
        <f t="shared" si="59"/>
        <v>2598</v>
      </c>
      <c r="N385" s="65">
        <f t="shared" si="63"/>
        <v>1299</v>
      </c>
      <c r="O385" s="65">
        <v>2598</v>
      </c>
      <c r="P385" s="65">
        <v>1710</v>
      </c>
      <c r="Q385" s="65">
        <f t="shared" si="64"/>
        <v>376.2</v>
      </c>
      <c r="R385" s="65">
        <f t="shared" si="65"/>
        <v>2086.1999999999998</v>
      </c>
      <c r="S385" s="272"/>
      <c r="T385" s="64">
        <v>23</v>
      </c>
      <c r="U385" s="270"/>
      <c r="V385" s="38">
        <v>1963</v>
      </c>
      <c r="W385" s="38">
        <f t="shared" si="66"/>
        <v>431.86</v>
      </c>
      <c r="X385" s="38">
        <f t="shared" si="53"/>
        <v>2394.86</v>
      </c>
    </row>
    <row r="386" spans="1:24" ht="30.65" customHeight="1" x14ac:dyDescent="0.35">
      <c r="A386" s="56" t="s">
        <v>2610</v>
      </c>
      <c r="B386" s="2">
        <v>360</v>
      </c>
      <c r="C386" s="89">
        <v>102000916</v>
      </c>
      <c r="D386" s="106" t="s">
        <v>594</v>
      </c>
      <c r="E386" s="74" t="s">
        <v>2184</v>
      </c>
      <c r="F386" s="75">
        <v>1</v>
      </c>
      <c r="G386" s="64" t="s">
        <v>0</v>
      </c>
      <c r="H386" s="61">
        <v>42004</v>
      </c>
      <c r="I386" s="107" t="s">
        <v>976</v>
      </c>
      <c r="J386" s="63" t="s">
        <v>1917</v>
      </c>
      <c r="K386" s="108" t="s">
        <v>747</v>
      </c>
      <c r="L386" s="64" t="s">
        <v>845</v>
      </c>
      <c r="M386" s="65">
        <f t="shared" si="59"/>
        <v>596731.09</v>
      </c>
      <c r="N386" s="65">
        <f t="shared" si="63"/>
        <v>596731.09</v>
      </c>
      <c r="O386" s="65">
        <v>596731.09</v>
      </c>
      <c r="P386" s="65">
        <v>380770</v>
      </c>
      <c r="Q386" s="65">
        <f t="shared" si="64"/>
        <v>83769.399999999994</v>
      </c>
      <c r="R386" s="65">
        <f t="shared" si="65"/>
        <v>464539.4</v>
      </c>
      <c r="S386" s="272"/>
      <c r="T386" s="64">
        <v>23</v>
      </c>
      <c r="U386" s="270"/>
      <c r="V386" s="38">
        <v>437165</v>
      </c>
      <c r="W386" s="38">
        <f t="shared" si="66"/>
        <v>96176.3</v>
      </c>
      <c r="X386" s="38">
        <f t="shared" ref="X386:X449" si="67">V386+W386</f>
        <v>533341.30000000005</v>
      </c>
    </row>
    <row r="387" spans="1:24" ht="15" customHeight="1" x14ac:dyDescent="0.35">
      <c r="A387" s="56" t="s">
        <v>2611</v>
      </c>
      <c r="B387" s="2">
        <v>361</v>
      </c>
      <c r="C387" s="89">
        <v>102000702</v>
      </c>
      <c r="D387" s="106" t="s">
        <v>608</v>
      </c>
      <c r="E387" s="74" t="s">
        <v>2184</v>
      </c>
      <c r="F387" s="91">
        <v>3</v>
      </c>
      <c r="G387" s="64" t="s">
        <v>0</v>
      </c>
      <c r="H387" s="61">
        <v>42004</v>
      </c>
      <c r="I387" s="107" t="s">
        <v>976</v>
      </c>
      <c r="J387" s="63" t="s">
        <v>1917</v>
      </c>
      <c r="K387" s="108" t="s">
        <v>754</v>
      </c>
      <c r="L387" s="64" t="s">
        <v>845</v>
      </c>
      <c r="M387" s="65">
        <f t="shared" si="59"/>
        <v>89655.45</v>
      </c>
      <c r="N387" s="65">
        <f t="shared" si="63"/>
        <v>29885.15</v>
      </c>
      <c r="O387" s="65">
        <v>89655.45</v>
      </c>
      <c r="P387" s="65">
        <v>57210</v>
      </c>
      <c r="Q387" s="65">
        <f t="shared" si="64"/>
        <v>12586.2</v>
      </c>
      <c r="R387" s="65">
        <f t="shared" si="65"/>
        <v>69796.2</v>
      </c>
      <c r="S387" s="272"/>
      <c r="T387" s="64">
        <v>23</v>
      </c>
      <c r="U387" s="270"/>
      <c r="V387" s="38">
        <v>65682</v>
      </c>
      <c r="W387" s="38">
        <f t="shared" si="66"/>
        <v>14450.04</v>
      </c>
      <c r="X387" s="38">
        <f t="shared" si="67"/>
        <v>80132.039999999994</v>
      </c>
    </row>
    <row r="388" spans="1:24" ht="24" customHeight="1" x14ac:dyDescent="0.35">
      <c r="A388" s="56" t="s">
        <v>2612</v>
      </c>
      <c r="B388" s="2">
        <v>362</v>
      </c>
      <c r="C388" s="89">
        <v>10105146</v>
      </c>
      <c r="D388" s="90" t="s">
        <v>611</v>
      </c>
      <c r="E388" s="74" t="s">
        <v>2184</v>
      </c>
      <c r="F388" s="91">
        <v>2</v>
      </c>
      <c r="G388" s="64" t="s">
        <v>0</v>
      </c>
      <c r="H388" s="61">
        <v>42004</v>
      </c>
      <c r="I388" s="107" t="s">
        <v>976</v>
      </c>
      <c r="J388" s="63" t="s">
        <v>1917</v>
      </c>
      <c r="K388" s="108" t="s">
        <v>757</v>
      </c>
      <c r="L388" s="64" t="s">
        <v>845</v>
      </c>
      <c r="M388" s="65">
        <f t="shared" si="59"/>
        <v>12470.3</v>
      </c>
      <c r="N388" s="65">
        <f t="shared" si="63"/>
        <v>6235.15</v>
      </c>
      <c r="O388" s="65">
        <v>12470.3</v>
      </c>
      <c r="P388" s="65">
        <v>7960</v>
      </c>
      <c r="Q388" s="65">
        <f t="shared" si="64"/>
        <v>1751.2</v>
      </c>
      <c r="R388" s="65">
        <f t="shared" si="65"/>
        <v>9711.2000000000007</v>
      </c>
      <c r="S388" s="272"/>
      <c r="T388" s="64">
        <v>23</v>
      </c>
      <c r="U388" s="270"/>
      <c r="V388" s="38">
        <v>9136</v>
      </c>
      <c r="W388" s="38">
        <f t="shared" si="66"/>
        <v>2009.92</v>
      </c>
      <c r="X388" s="38">
        <f t="shared" si="67"/>
        <v>11145.92</v>
      </c>
    </row>
    <row r="389" spans="1:24" ht="22.5" customHeight="1" x14ac:dyDescent="0.35">
      <c r="A389" s="56" t="s">
        <v>2613</v>
      </c>
      <c r="B389" s="2">
        <v>363</v>
      </c>
      <c r="C389" s="89">
        <v>10105107</v>
      </c>
      <c r="D389" s="90" t="s">
        <v>612</v>
      </c>
      <c r="E389" s="74" t="s">
        <v>2184</v>
      </c>
      <c r="F389" s="75">
        <v>1</v>
      </c>
      <c r="G389" s="64" t="s">
        <v>0</v>
      </c>
      <c r="H389" s="61">
        <v>42004</v>
      </c>
      <c r="I389" s="107" t="s">
        <v>976</v>
      </c>
      <c r="J389" s="63" t="s">
        <v>1917</v>
      </c>
      <c r="K389" s="108" t="s">
        <v>758</v>
      </c>
      <c r="L389" s="64" t="s">
        <v>845</v>
      </c>
      <c r="M389" s="65">
        <f t="shared" si="59"/>
        <v>9199.7000000000007</v>
      </c>
      <c r="N389" s="65">
        <f t="shared" si="63"/>
        <v>9199.7000000000007</v>
      </c>
      <c r="O389" s="65">
        <v>9199.7000000000007</v>
      </c>
      <c r="P389" s="65">
        <v>5870</v>
      </c>
      <c r="Q389" s="65">
        <f t="shared" si="64"/>
        <v>1291.4000000000001</v>
      </c>
      <c r="R389" s="65">
        <f t="shared" si="65"/>
        <v>7161.4</v>
      </c>
      <c r="S389" s="272"/>
      <c r="T389" s="64">
        <v>23</v>
      </c>
      <c r="U389" s="270"/>
      <c r="V389" s="38">
        <v>6740</v>
      </c>
      <c r="W389" s="38">
        <f t="shared" si="66"/>
        <v>1482.8</v>
      </c>
      <c r="X389" s="38">
        <f t="shared" si="67"/>
        <v>8222.7999999999993</v>
      </c>
    </row>
    <row r="390" spans="1:24" ht="33.75" customHeight="1" x14ac:dyDescent="0.35">
      <c r="A390" s="56" t="s">
        <v>2614</v>
      </c>
      <c r="B390" s="2">
        <v>364</v>
      </c>
      <c r="C390" s="89">
        <v>102001352</v>
      </c>
      <c r="D390" s="106" t="s">
        <v>614</v>
      </c>
      <c r="E390" s="74" t="s">
        <v>2184</v>
      </c>
      <c r="F390" s="75">
        <v>1</v>
      </c>
      <c r="G390" s="64" t="s">
        <v>0</v>
      </c>
      <c r="H390" s="61">
        <v>42004</v>
      </c>
      <c r="I390" s="107" t="s">
        <v>976</v>
      </c>
      <c r="J390" s="63" t="s">
        <v>1917</v>
      </c>
      <c r="K390" s="108" t="s">
        <v>759</v>
      </c>
      <c r="L390" s="64" t="s">
        <v>845</v>
      </c>
      <c r="M390" s="65">
        <f t="shared" si="59"/>
        <v>204144.7</v>
      </c>
      <c r="N390" s="65">
        <f t="shared" si="63"/>
        <v>204144.7</v>
      </c>
      <c r="O390" s="65">
        <v>204144.7</v>
      </c>
      <c r="P390" s="65">
        <v>130260</v>
      </c>
      <c r="Q390" s="65">
        <f t="shared" si="64"/>
        <v>28657.200000000001</v>
      </c>
      <c r="R390" s="65">
        <f t="shared" si="65"/>
        <v>158917.20000000001</v>
      </c>
      <c r="S390" s="272"/>
      <c r="T390" s="64">
        <v>23</v>
      </c>
      <c r="U390" s="270"/>
      <c r="V390" s="38">
        <v>149556</v>
      </c>
      <c r="W390" s="38">
        <f t="shared" si="66"/>
        <v>32902.32</v>
      </c>
      <c r="X390" s="38">
        <f t="shared" si="67"/>
        <v>182458.32</v>
      </c>
    </row>
    <row r="391" spans="1:24" ht="38.15" customHeight="1" x14ac:dyDescent="0.35">
      <c r="A391" s="56" t="s">
        <v>2615</v>
      </c>
      <c r="B391" s="2">
        <v>365</v>
      </c>
      <c r="C391" s="89">
        <v>102000826</v>
      </c>
      <c r="D391" s="106" t="s">
        <v>615</v>
      </c>
      <c r="E391" s="74" t="s">
        <v>2184</v>
      </c>
      <c r="F391" s="75">
        <v>1</v>
      </c>
      <c r="G391" s="64" t="s">
        <v>0</v>
      </c>
      <c r="H391" s="61">
        <v>42004</v>
      </c>
      <c r="I391" s="107" t="s">
        <v>976</v>
      </c>
      <c r="J391" s="63" t="s">
        <v>1917</v>
      </c>
      <c r="K391" s="108" t="s">
        <v>760</v>
      </c>
      <c r="L391" s="64" t="s">
        <v>845</v>
      </c>
      <c r="M391" s="65">
        <f t="shared" si="59"/>
        <v>37543.870000000003</v>
      </c>
      <c r="N391" s="65">
        <f t="shared" si="63"/>
        <v>37543.870000000003</v>
      </c>
      <c r="O391" s="65">
        <v>37543.870000000003</v>
      </c>
      <c r="P391" s="65">
        <v>23960</v>
      </c>
      <c r="Q391" s="65">
        <f t="shared" si="64"/>
        <v>5271.2</v>
      </c>
      <c r="R391" s="65">
        <f t="shared" si="65"/>
        <v>29231.200000000001</v>
      </c>
      <c r="S391" s="272"/>
      <c r="T391" s="64">
        <v>23</v>
      </c>
      <c r="U391" s="270"/>
      <c r="V391" s="38">
        <v>27505</v>
      </c>
      <c r="W391" s="38">
        <f t="shared" si="66"/>
        <v>6051.1</v>
      </c>
      <c r="X391" s="38">
        <f t="shared" si="67"/>
        <v>33556.1</v>
      </c>
    </row>
    <row r="392" spans="1:24" ht="24" customHeight="1" x14ac:dyDescent="0.35">
      <c r="A392" s="56" t="s">
        <v>2616</v>
      </c>
      <c r="B392" s="2">
        <v>366</v>
      </c>
      <c r="C392" s="89">
        <v>102000824</v>
      </c>
      <c r="D392" s="106" t="s">
        <v>617</v>
      </c>
      <c r="E392" s="74" t="s">
        <v>2184</v>
      </c>
      <c r="F392" s="75">
        <v>1</v>
      </c>
      <c r="G392" s="64" t="s">
        <v>0</v>
      </c>
      <c r="H392" s="61">
        <v>42004</v>
      </c>
      <c r="I392" s="107" t="s">
        <v>976</v>
      </c>
      <c r="J392" s="63" t="s">
        <v>1917</v>
      </c>
      <c r="K392" s="108" t="s">
        <v>761</v>
      </c>
      <c r="L392" s="64" t="s">
        <v>845</v>
      </c>
      <c r="M392" s="65">
        <f t="shared" si="59"/>
        <v>63373.55</v>
      </c>
      <c r="N392" s="65">
        <f t="shared" si="63"/>
        <v>63373.55</v>
      </c>
      <c r="O392" s="65">
        <v>63373.55</v>
      </c>
      <c r="P392" s="65">
        <v>40440</v>
      </c>
      <c r="Q392" s="65">
        <f t="shared" si="64"/>
        <v>8896.7999999999993</v>
      </c>
      <c r="R392" s="65">
        <f t="shared" si="65"/>
        <v>49336.800000000003</v>
      </c>
      <c r="S392" s="272"/>
      <c r="T392" s="64">
        <v>23</v>
      </c>
      <c r="U392" s="270"/>
      <c r="V392" s="38">
        <v>46427</v>
      </c>
      <c r="W392" s="38">
        <f t="shared" si="66"/>
        <v>10213.94</v>
      </c>
      <c r="X392" s="38">
        <f t="shared" si="67"/>
        <v>56640.94</v>
      </c>
    </row>
    <row r="393" spans="1:24" ht="29.25" customHeight="1" x14ac:dyDescent="0.35">
      <c r="A393" s="56" t="s">
        <v>2617</v>
      </c>
      <c r="B393" s="2">
        <v>367</v>
      </c>
      <c r="C393" s="89">
        <v>102000871</v>
      </c>
      <c r="D393" s="106" t="s">
        <v>627</v>
      </c>
      <c r="E393" s="74" t="s">
        <v>2184</v>
      </c>
      <c r="F393" s="91">
        <v>8</v>
      </c>
      <c r="G393" s="64" t="s">
        <v>0</v>
      </c>
      <c r="H393" s="61">
        <v>42004</v>
      </c>
      <c r="I393" s="107" t="s">
        <v>976</v>
      </c>
      <c r="J393" s="63" t="s">
        <v>1917</v>
      </c>
      <c r="K393" s="108" t="s">
        <v>600</v>
      </c>
      <c r="L393" s="64" t="s">
        <v>845</v>
      </c>
      <c r="M393" s="65">
        <f t="shared" si="59"/>
        <v>2534564.48</v>
      </c>
      <c r="N393" s="65">
        <f t="shared" si="63"/>
        <v>316820.56</v>
      </c>
      <c r="O393" s="65">
        <v>2534564.48</v>
      </c>
      <c r="P393" s="65">
        <v>1617290</v>
      </c>
      <c r="Q393" s="65">
        <f t="shared" si="64"/>
        <v>355803.8</v>
      </c>
      <c r="R393" s="65">
        <f t="shared" si="65"/>
        <v>1973093.8</v>
      </c>
      <c r="S393" s="272"/>
      <c r="T393" s="64">
        <v>23</v>
      </c>
      <c r="U393" s="270"/>
      <c r="V393" s="38">
        <v>1856822</v>
      </c>
      <c r="W393" s="38">
        <f t="shared" si="66"/>
        <v>408500.84</v>
      </c>
      <c r="X393" s="38">
        <f t="shared" si="67"/>
        <v>2265322.84</v>
      </c>
    </row>
    <row r="394" spans="1:24" ht="34.5" customHeight="1" x14ac:dyDescent="0.35">
      <c r="A394" s="56" t="s">
        <v>2618</v>
      </c>
      <c r="B394" s="2">
        <v>368</v>
      </c>
      <c r="C394" s="89">
        <v>102001366</v>
      </c>
      <c r="D394" s="106" t="s">
        <v>271</v>
      </c>
      <c r="E394" s="74" t="s">
        <v>2184</v>
      </c>
      <c r="F394" s="91">
        <v>2</v>
      </c>
      <c r="G394" s="64" t="s">
        <v>0</v>
      </c>
      <c r="H394" s="61">
        <v>42004</v>
      </c>
      <c r="I394" s="107" t="s">
        <v>976</v>
      </c>
      <c r="J394" s="63" t="s">
        <v>1917</v>
      </c>
      <c r="K394" s="108" t="s">
        <v>601</v>
      </c>
      <c r="L394" s="64" t="s">
        <v>845</v>
      </c>
      <c r="M394" s="65">
        <f t="shared" si="59"/>
        <v>746892.80000000005</v>
      </c>
      <c r="N394" s="65">
        <f t="shared" si="63"/>
        <v>373446.40000000002</v>
      </c>
      <c r="O394" s="65">
        <v>746892.80000000005</v>
      </c>
      <c r="P394" s="65">
        <v>476590</v>
      </c>
      <c r="Q394" s="65">
        <f t="shared" si="64"/>
        <v>104849.8</v>
      </c>
      <c r="R394" s="65">
        <f t="shared" si="65"/>
        <v>581439.80000000005</v>
      </c>
      <c r="S394" s="272"/>
      <c r="T394" s="64">
        <v>23</v>
      </c>
      <c r="U394" s="270"/>
      <c r="V394" s="38">
        <v>547174</v>
      </c>
      <c r="W394" s="38">
        <f t="shared" si="66"/>
        <v>120378.28</v>
      </c>
      <c r="X394" s="38">
        <f t="shared" si="67"/>
        <v>667552.28</v>
      </c>
    </row>
    <row r="395" spans="1:24" ht="39" customHeight="1" x14ac:dyDescent="0.35">
      <c r="A395" s="56" t="s">
        <v>2619</v>
      </c>
      <c r="B395" s="2">
        <v>369</v>
      </c>
      <c r="C395" s="89">
        <v>102001001</v>
      </c>
      <c r="D395" s="106" t="s">
        <v>629</v>
      </c>
      <c r="E395" s="74" t="s">
        <v>2184</v>
      </c>
      <c r="F395" s="75">
        <v>1</v>
      </c>
      <c r="G395" s="64" t="s">
        <v>0</v>
      </c>
      <c r="H395" s="61">
        <v>42004</v>
      </c>
      <c r="I395" s="107" t="s">
        <v>976</v>
      </c>
      <c r="J395" s="63" t="s">
        <v>1917</v>
      </c>
      <c r="K395" s="108" t="s">
        <v>602</v>
      </c>
      <c r="L395" s="64" t="s">
        <v>845</v>
      </c>
      <c r="M395" s="65">
        <f t="shared" si="59"/>
        <v>87647.19</v>
      </c>
      <c r="N395" s="65">
        <f t="shared" si="63"/>
        <v>87647.19</v>
      </c>
      <c r="O395" s="65">
        <v>87647.19</v>
      </c>
      <c r="P395" s="65">
        <v>55930</v>
      </c>
      <c r="Q395" s="65">
        <f t="shared" si="64"/>
        <v>12304.6</v>
      </c>
      <c r="R395" s="65">
        <f t="shared" si="65"/>
        <v>68234.600000000006</v>
      </c>
      <c r="S395" s="272"/>
      <c r="T395" s="64">
        <v>23</v>
      </c>
      <c r="U395" s="270"/>
      <c r="V395" s="38">
        <v>64210</v>
      </c>
      <c r="W395" s="38">
        <f t="shared" si="66"/>
        <v>14126.2</v>
      </c>
      <c r="X395" s="38">
        <f t="shared" si="67"/>
        <v>78336.2</v>
      </c>
    </row>
    <row r="396" spans="1:24" ht="30" customHeight="1" x14ac:dyDescent="0.35">
      <c r="A396" s="56" t="s">
        <v>2620</v>
      </c>
      <c r="B396" s="2">
        <v>370</v>
      </c>
      <c r="C396" s="89">
        <v>102001209</v>
      </c>
      <c r="D396" s="106" t="s">
        <v>630</v>
      </c>
      <c r="E396" s="74" t="s">
        <v>2184</v>
      </c>
      <c r="F396" s="75">
        <v>1</v>
      </c>
      <c r="G396" s="64" t="s">
        <v>0</v>
      </c>
      <c r="H396" s="61">
        <v>42004</v>
      </c>
      <c r="I396" s="107" t="s">
        <v>976</v>
      </c>
      <c r="J396" s="63" t="s">
        <v>1917</v>
      </c>
      <c r="K396" s="108" t="s">
        <v>764</v>
      </c>
      <c r="L396" s="64" t="s">
        <v>845</v>
      </c>
      <c r="M396" s="65">
        <f t="shared" si="59"/>
        <v>536487.71</v>
      </c>
      <c r="N396" s="65">
        <f t="shared" si="63"/>
        <v>536487.71</v>
      </c>
      <c r="O396" s="65">
        <v>536487.71</v>
      </c>
      <c r="P396" s="65">
        <v>342330</v>
      </c>
      <c r="Q396" s="65">
        <f t="shared" si="64"/>
        <v>75312.600000000006</v>
      </c>
      <c r="R396" s="65">
        <f t="shared" si="65"/>
        <v>417642.6</v>
      </c>
      <c r="S396" s="272"/>
      <c r="T396" s="64">
        <v>23</v>
      </c>
      <c r="U396" s="270"/>
      <c r="V396" s="38">
        <v>393031</v>
      </c>
      <c r="W396" s="38">
        <f t="shared" si="66"/>
        <v>86466.82</v>
      </c>
      <c r="X396" s="38">
        <f t="shared" si="67"/>
        <v>479497.82</v>
      </c>
    </row>
    <row r="397" spans="1:24" ht="30" customHeight="1" x14ac:dyDescent="0.35">
      <c r="A397" s="56" t="s">
        <v>2621</v>
      </c>
      <c r="B397" s="2">
        <v>371</v>
      </c>
      <c r="C397" s="89">
        <v>102000789</v>
      </c>
      <c r="D397" s="106" t="s">
        <v>631</v>
      </c>
      <c r="E397" s="74" t="s">
        <v>2184</v>
      </c>
      <c r="F397" s="75">
        <v>1</v>
      </c>
      <c r="G397" s="64" t="s">
        <v>0</v>
      </c>
      <c r="H397" s="61">
        <v>42004</v>
      </c>
      <c r="I397" s="107" t="s">
        <v>976</v>
      </c>
      <c r="J397" s="63" t="s">
        <v>1917</v>
      </c>
      <c r="K397" s="108" t="s">
        <v>766</v>
      </c>
      <c r="L397" s="64" t="s">
        <v>845</v>
      </c>
      <c r="M397" s="65">
        <f t="shared" si="59"/>
        <v>196793.06</v>
      </c>
      <c r="N397" s="65">
        <f t="shared" si="63"/>
        <v>196793.06</v>
      </c>
      <c r="O397" s="65">
        <v>196793.06</v>
      </c>
      <c r="P397" s="65">
        <v>125570</v>
      </c>
      <c r="Q397" s="65">
        <f t="shared" si="64"/>
        <v>27625.4</v>
      </c>
      <c r="R397" s="65">
        <f t="shared" si="65"/>
        <v>153195.4</v>
      </c>
      <c r="S397" s="272"/>
      <c r="T397" s="64">
        <v>23</v>
      </c>
      <c r="U397" s="270"/>
      <c r="V397" s="38">
        <v>144171</v>
      </c>
      <c r="W397" s="38">
        <f t="shared" si="66"/>
        <v>31717.62</v>
      </c>
      <c r="X397" s="38">
        <f t="shared" si="67"/>
        <v>175888.62</v>
      </c>
    </row>
    <row r="398" spans="1:24" ht="30" customHeight="1" x14ac:dyDescent="0.35">
      <c r="A398" s="56" t="s">
        <v>2622</v>
      </c>
      <c r="B398" s="2">
        <v>372</v>
      </c>
      <c r="C398" s="89">
        <v>102000805</v>
      </c>
      <c r="D398" s="106" t="s">
        <v>658</v>
      </c>
      <c r="E398" s="74" t="s">
        <v>2184</v>
      </c>
      <c r="F398" s="75">
        <v>1</v>
      </c>
      <c r="G398" s="64" t="s">
        <v>0</v>
      </c>
      <c r="H398" s="61">
        <v>42004</v>
      </c>
      <c r="I398" s="107" t="s">
        <v>976</v>
      </c>
      <c r="J398" s="63" t="s">
        <v>1917</v>
      </c>
      <c r="K398" s="108" t="s">
        <v>781</v>
      </c>
      <c r="L398" s="64" t="s">
        <v>845</v>
      </c>
      <c r="M398" s="65">
        <f t="shared" si="59"/>
        <v>339438</v>
      </c>
      <c r="N398" s="65">
        <f t="shared" si="63"/>
        <v>339438</v>
      </c>
      <c r="O398" s="65">
        <v>339438</v>
      </c>
      <c r="P398" s="65">
        <v>216590</v>
      </c>
      <c r="Q398" s="65">
        <f t="shared" si="64"/>
        <v>47649.8</v>
      </c>
      <c r="R398" s="65">
        <f t="shared" si="65"/>
        <v>264239.8</v>
      </c>
      <c r="S398" s="272"/>
      <c r="T398" s="64">
        <v>23</v>
      </c>
      <c r="U398" s="270"/>
      <c r="V398" s="38">
        <v>248672</v>
      </c>
      <c r="W398" s="38">
        <f t="shared" si="66"/>
        <v>54707.839999999997</v>
      </c>
      <c r="X398" s="38">
        <f t="shared" si="67"/>
        <v>303379.84000000003</v>
      </c>
    </row>
    <row r="399" spans="1:24" ht="30" customHeight="1" x14ac:dyDescent="0.35">
      <c r="A399" s="56" t="s">
        <v>2623</v>
      </c>
      <c r="B399" s="2">
        <v>373</v>
      </c>
      <c r="C399" s="89">
        <v>102001514</v>
      </c>
      <c r="D399" s="106" t="s">
        <v>659</v>
      </c>
      <c r="E399" s="74" t="s">
        <v>2184</v>
      </c>
      <c r="F399" s="75">
        <v>1</v>
      </c>
      <c r="G399" s="64" t="s">
        <v>0</v>
      </c>
      <c r="H399" s="61">
        <v>42004</v>
      </c>
      <c r="I399" s="107" t="s">
        <v>976</v>
      </c>
      <c r="J399" s="63" t="s">
        <v>1917</v>
      </c>
      <c r="K399" s="108" t="s">
        <v>782</v>
      </c>
      <c r="L399" s="64" t="s">
        <v>845</v>
      </c>
      <c r="M399" s="65">
        <f t="shared" si="59"/>
        <v>408660</v>
      </c>
      <c r="N399" s="65">
        <f t="shared" si="63"/>
        <v>408660</v>
      </c>
      <c r="O399" s="65">
        <v>408660</v>
      </c>
      <c r="P399" s="65">
        <v>260760</v>
      </c>
      <c r="Q399" s="65">
        <f t="shared" si="64"/>
        <v>57367.199999999997</v>
      </c>
      <c r="R399" s="65">
        <f t="shared" si="65"/>
        <v>318127.2</v>
      </c>
      <c r="S399" s="272"/>
      <c r="T399" s="64">
        <v>23</v>
      </c>
      <c r="U399" s="270"/>
      <c r="V399" s="38">
        <v>299384</v>
      </c>
      <c r="W399" s="38">
        <f t="shared" si="66"/>
        <v>65864.479999999996</v>
      </c>
      <c r="X399" s="38">
        <f t="shared" si="67"/>
        <v>365248.48</v>
      </c>
    </row>
    <row r="400" spans="1:24" ht="30" customHeight="1" x14ac:dyDescent="0.35">
      <c r="A400" s="56" t="s">
        <v>2624</v>
      </c>
      <c r="B400" s="2">
        <v>374</v>
      </c>
      <c r="C400" s="109">
        <v>10137234</v>
      </c>
      <c r="D400" s="110" t="s">
        <v>851</v>
      </c>
      <c r="E400" s="74" t="s">
        <v>2147</v>
      </c>
      <c r="F400" s="114">
        <v>2</v>
      </c>
      <c r="G400" s="64" t="s">
        <v>0</v>
      </c>
      <c r="H400" s="111">
        <v>2010</v>
      </c>
      <c r="I400" s="63" t="s">
        <v>972</v>
      </c>
      <c r="J400" s="63" t="s">
        <v>1917</v>
      </c>
      <c r="K400" s="63" t="s">
        <v>961</v>
      </c>
      <c r="L400" s="61" t="s">
        <v>845</v>
      </c>
      <c r="M400" s="65">
        <f t="shared" si="59"/>
        <v>31668</v>
      </c>
      <c r="N400" s="65">
        <f t="shared" si="63"/>
        <v>15834</v>
      </c>
      <c r="O400" s="65">
        <v>31668</v>
      </c>
      <c r="P400" s="65">
        <v>22660</v>
      </c>
      <c r="Q400" s="65">
        <f t="shared" si="64"/>
        <v>4985.2</v>
      </c>
      <c r="R400" s="65">
        <f t="shared" si="65"/>
        <v>27645.200000000001</v>
      </c>
      <c r="S400" s="272"/>
      <c r="T400" s="64">
        <v>23</v>
      </c>
      <c r="U400" s="270"/>
      <c r="V400" s="38">
        <v>26015</v>
      </c>
      <c r="W400" s="38">
        <f t="shared" si="66"/>
        <v>5723.3</v>
      </c>
      <c r="X400" s="38">
        <f t="shared" si="67"/>
        <v>31738.3</v>
      </c>
    </row>
    <row r="401" spans="1:24" ht="39.75" customHeight="1" x14ac:dyDescent="0.35">
      <c r="A401" s="56" t="s">
        <v>2625</v>
      </c>
      <c r="B401" s="2">
        <v>375</v>
      </c>
      <c r="C401" s="109">
        <v>10137232</v>
      </c>
      <c r="D401" s="110" t="s">
        <v>852</v>
      </c>
      <c r="E401" s="74" t="s">
        <v>2147</v>
      </c>
      <c r="F401" s="114">
        <v>2</v>
      </c>
      <c r="G401" s="64" t="s">
        <v>0</v>
      </c>
      <c r="H401" s="111" t="s">
        <v>2145</v>
      </c>
      <c r="I401" s="63" t="s">
        <v>972</v>
      </c>
      <c r="J401" s="63" t="s">
        <v>1917</v>
      </c>
      <c r="K401" s="63" t="s">
        <v>961</v>
      </c>
      <c r="L401" s="61" t="s">
        <v>845</v>
      </c>
      <c r="M401" s="65">
        <f t="shared" si="59"/>
        <v>20748</v>
      </c>
      <c r="N401" s="65">
        <f t="shared" si="63"/>
        <v>10374</v>
      </c>
      <c r="O401" s="65">
        <v>20748</v>
      </c>
      <c r="P401" s="65">
        <v>14850</v>
      </c>
      <c r="Q401" s="65">
        <f t="shared" si="64"/>
        <v>3267</v>
      </c>
      <c r="R401" s="65">
        <f t="shared" si="65"/>
        <v>18117</v>
      </c>
      <c r="S401" s="272"/>
      <c r="T401" s="64">
        <v>23</v>
      </c>
      <c r="U401" s="270"/>
      <c r="V401" s="38">
        <v>17044</v>
      </c>
      <c r="W401" s="38">
        <f t="shared" si="66"/>
        <v>3749.68</v>
      </c>
      <c r="X401" s="38">
        <f t="shared" si="67"/>
        <v>20793.68</v>
      </c>
    </row>
    <row r="402" spans="1:24" ht="39.75" customHeight="1" x14ac:dyDescent="0.35">
      <c r="A402" s="56" t="s">
        <v>2626</v>
      </c>
      <c r="B402" s="2">
        <v>376</v>
      </c>
      <c r="C402" s="109">
        <v>10137233</v>
      </c>
      <c r="D402" s="110" t="s">
        <v>853</v>
      </c>
      <c r="E402" s="74" t="s">
        <v>2147</v>
      </c>
      <c r="F402" s="114">
        <v>2</v>
      </c>
      <c r="G402" s="64" t="s">
        <v>0</v>
      </c>
      <c r="H402" s="111" t="s">
        <v>2145</v>
      </c>
      <c r="I402" s="63" t="s">
        <v>972</v>
      </c>
      <c r="J402" s="63" t="s">
        <v>1917</v>
      </c>
      <c r="K402" s="63" t="s">
        <v>961</v>
      </c>
      <c r="L402" s="61" t="s">
        <v>845</v>
      </c>
      <c r="M402" s="65">
        <f t="shared" si="59"/>
        <v>8736</v>
      </c>
      <c r="N402" s="65">
        <f t="shared" si="63"/>
        <v>4368</v>
      </c>
      <c r="O402" s="65">
        <v>8736</v>
      </c>
      <c r="P402" s="65">
        <v>6250</v>
      </c>
      <c r="Q402" s="65">
        <f t="shared" si="64"/>
        <v>1375</v>
      </c>
      <c r="R402" s="65">
        <f t="shared" si="65"/>
        <v>7625</v>
      </c>
      <c r="S402" s="272"/>
      <c r="T402" s="64">
        <v>23</v>
      </c>
      <c r="U402" s="270"/>
      <c r="V402" s="38">
        <v>7176</v>
      </c>
      <c r="W402" s="38">
        <f t="shared" si="66"/>
        <v>1578.72</v>
      </c>
      <c r="X402" s="38">
        <f t="shared" si="67"/>
        <v>8754.7199999999993</v>
      </c>
    </row>
    <row r="403" spans="1:24" ht="39.75" customHeight="1" x14ac:dyDescent="0.35">
      <c r="A403" s="56" t="s">
        <v>2627</v>
      </c>
      <c r="B403" s="2">
        <v>377</v>
      </c>
      <c r="C403" s="109">
        <v>102001397</v>
      </c>
      <c r="D403" s="110" t="s">
        <v>887</v>
      </c>
      <c r="E403" s="74" t="s">
        <v>2151</v>
      </c>
      <c r="F403" s="114">
        <v>2</v>
      </c>
      <c r="G403" s="64" t="s">
        <v>0</v>
      </c>
      <c r="H403" s="124">
        <v>42004</v>
      </c>
      <c r="I403" s="63" t="s">
        <v>972</v>
      </c>
      <c r="J403" s="63" t="s">
        <v>1917</v>
      </c>
      <c r="K403" s="63" t="s">
        <v>961</v>
      </c>
      <c r="L403" s="61" t="s">
        <v>845</v>
      </c>
      <c r="M403" s="65">
        <f t="shared" si="59"/>
        <v>53032</v>
      </c>
      <c r="N403" s="65">
        <f t="shared" si="63"/>
        <v>26516</v>
      </c>
      <c r="O403" s="65">
        <v>53032</v>
      </c>
      <c r="P403" s="65">
        <v>33840</v>
      </c>
      <c r="Q403" s="65">
        <f t="shared" si="64"/>
        <v>7444.8</v>
      </c>
      <c r="R403" s="65">
        <f t="shared" si="65"/>
        <v>41284.800000000003</v>
      </c>
      <c r="S403" s="272"/>
      <c r="T403" s="64">
        <v>23</v>
      </c>
      <c r="U403" s="270"/>
      <c r="V403" s="38">
        <v>38851</v>
      </c>
      <c r="W403" s="38">
        <f t="shared" si="66"/>
        <v>8547.2199999999993</v>
      </c>
      <c r="X403" s="38">
        <f t="shared" si="67"/>
        <v>47398.22</v>
      </c>
    </row>
    <row r="404" spans="1:24" ht="39.75" customHeight="1" x14ac:dyDescent="0.35">
      <c r="A404" s="56" t="s">
        <v>2628</v>
      </c>
      <c r="B404" s="2">
        <v>378</v>
      </c>
      <c r="C404" s="109">
        <v>10122499</v>
      </c>
      <c r="D404" s="110" t="s">
        <v>894</v>
      </c>
      <c r="E404" s="74" t="s">
        <v>2147</v>
      </c>
      <c r="F404" s="114">
        <v>2</v>
      </c>
      <c r="G404" s="64" t="s">
        <v>0</v>
      </c>
      <c r="H404" s="124">
        <v>42170</v>
      </c>
      <c r="I404" s="63" t="s">
        <v>972</v>
      </c>
      <c r="J404" s="63" t="s">
        <v>1917</v>
      </c>
      <c r="K404" s="63" t="s">
        <v>961</v>
      </c>
      <c r="L404" s="61" t="s">
        <v>845</v>
      </c>
      <c r="M404" s="65">
        <f t="shared" si="59"/>
        <v>327360.56</v>
      </c>
      <c r="N404" s="65">
        <f t="shared" si="63"/>
        <v>163680.28</v>
      </c>
      <c r="O404" s="65">
        <v>327360.56</v>
      </c>
      <c r="P404" s="65">
        <v>196590</v>
      </c>
      <c r="Q404" s="65">
        <f t="shared" si="64"/>
        <v>43249.8</v>
      </c>
      <c r="R404" s="65">
        <f t="shared" si="65"/>
        <v>239839.8</v>
      </c>
      <c r="S404" s="272"/>
      <c r="T404" s="64">
        <v>23</v>
      </c>
      <c r="U404" s="270"/>
      <c r="V404" s="38">
        <v>225709</v>
      </c>
      <c r="W404" s="38">
        <f t="shared" si="66"/>
        <v>49655.98</v>
      </c>
      <c r="X404" s="38">
        <f t="shared" si="67"/>
        <v>275364.98</v>
      </c>
    </row>
    <row r="405" spans="1:24" ht="39.75" customHeight="1" x14ac:dyDescent="0.35">
      <c r="A405" s="56" t="s">
        <v>2629</v>
      </c>
      <c r="B405" s="2">
        <v>379</v>
      </c>
      <c r="C405" s="109">
        <v>102001008</v>
      </c>
      <c r="D405" s="110" t="s">
        <v>922</v>
      </c>
      <c r="E405" s="74" t="s">
        <v>2147</v>
      </c>
      <c r="F405" s="91">
        <v>1</v>
      </c>
      <c r="G405" s="64" t="s">
        <v>0</v>
      </c>
      <c r="H405" s="111" t="s">
        <v>2145</v>
      </c>
      <c r="I405" s="63" t="s">
        <v>972</v>
      </c>
      <c r="J405" s="63" t="s">
        <v>1917</v>
      </c>
      <c r="K405" s="63" t="s">
        <v>961</v>
      </c>
      <c r="L405" s="61" t="s">
        <v>845</v>
      </c>
      <c r="M405" s="65">
        <f t="shared" si="59"/>
        <v>38750</v>
      </c>
      <c r="N405" s="65">
        <f t="shared" si="63"/>
        <v>38750</v>
      </c>
      <c r="O405" s="65">
        <v>38750</v>
      </c>
      <c r="P405" s="65">
        <v>27730</v>
      </c>
      <c r="Q405" s="65">
        <f t="shared" si="64"/>
        <v>6100.6</v>
      </c>
      <c r="R405" s="65">
        <f t="shared" si="65"/>
        <v>33830.6</v>
      </c>
      <c r="S405" s="272"/>
      <c r="T405" s="64">
        <v>23</v>
      </c>
      <c r="U405" s="270"/>
      <c r="V405" s="38">
        <v>31832</v>
      </c>
      <c r="W405" s="38">
        <f t="shared" si="66"/>
        <v>7003.04</v>
      </c>
      <c r="X405" s="38">
        <f t="shared" si="67"/>
        <v>38835.040000000001</v>
      </c>
    </row>
    <row r="406" spans="1:24" ht="39.75" customHeight="1" x14ac:dyDescent="0.35">
      <c r="A406" s="56" t="s">
        <v>2630</v>
      </c>
      <c r="B406" s="2">
        <v>380</v>
      </c>
      <c r="C406" s="109">
        <v>102000746</v>
      </c>
      <c r="D406" s="110" t="s">
        <v>923</v>
      </c>
      <c r="E406" s="74" t="s">
        <v>2147</v>
      </c>
      <c r="F406" s="91">
        <v>1</v>
      </c>
      <c r="G406" s="64" t="s">
        <v>0</v>
      </c>
      <c r="H406" s="111" t="s">
        <v>2145</v>
      </c>
      <c r="I406" s="63" t="s">
        <v>972</v>
      </c>
      <c r="J406" s="63" t="s">
        <v>1917</v>
      </c>
      <c r="K406" s="63" t="s">
        <v>961</v>
      </c>
      <c r="L406" s="61" t="s">
        <v>845</v>
      </c>
      <c r="M406" s="65">
        <f t="shared" si="59"/>
        <v>828040</v>
      </c>
      <c r="N406" s="65">
        <f t="shared" si="63"/>
        <v>828040</v>
      </c>
      <c r="O406" s="65">
        <v>828040</v>
      </c>
      <c r="P406" s="65">
        <v>592470</v>
      </c>
      <c r="Q406" s="65">
        <f t="shared" si="64"/>
        <v>130343.4</v>
      </c>
      <c r="R406" s="65">
        <f t="shared" si="65"/>
        <v>722813.4</v>
      </c>
      <c r="S406" s="272"/>
      <c r="T406" s="64">
        <v>23</v>
      </c>
      <c r="U406" s="270"/>
      <c r="V406" s="38">
        <v>680218</v>
      </c>
      <c r="W406" s="38">
        <f t="shared" si="66"/>
        <v>149647.96</v>
      </c>
      <c r="X406" s="38">
        <f t="shared" si="67"/>
        <v>829865.96</v>
      </c>
    </row>
    <row r="407" spans="1:24" ht="39.75" customHeight="1" x14ac:dyDescent="0.35">
      <c r="A407" s="56" t="s">
        <v>2631</v>
      </c>
      <c r="B407" s="2">
        <v>381</v>
      </c>
      <c r="C407" s="109">
        <v>102000882</v>
      </c>
      <c r="D407" s="110" t="s">
        <v>924</v>
      </c>
      <c r="E407" s="74" t="s">
        <v>2147</v>
      </c>
      <c r="F407" s="91">
        <v>1</v>
      </c>
      <c r="G407" s="64" t="s">
        <v>0</v>
      </c>
      <c r="H407" s="111" t="s">
        <v>2145</v>
      </c>
      <c r="I407" s="63" t="s">
        <v>972</v>
      </c>
      <c r="J407" s="112" t="s">
        <v>959</v>
      </c>
      <c r="K407" s="63" t="s">
        <v>961</v>
      </c>
      <c r="L407" s="61" t="s">
        <v>845</v>
      </c>
      <c r="M407" s="65">
        <f t="shared" si="59"/>
        <v>62250</v>
      </c>
      <c r="N407" s="65">
        <f t="shared" si="63"/>
        <v>62250</v>
      </c>
      <c r="O407" s="65">
        <v>62250</v>
      </c>
      <c r="P407" s="65">
        <v>44540</v>
      </c>
      <c r="Q407" s="65">
        <f t="shared" si="64"/>
        <v>9798.7999999999993</v>
      </c>
      <c r="R407" s="65">
        <f t="shared" si="65"/>
        <v>54338.8</v>
      </c>
      <c r="S407" s="272"/>
      <c r="T407" s="64">
        <v>23</v>
      </c>
      <c r="U407" s="270"/>
      <c r="V407" s="38">
        <v>51137</v>
      </c>
      <c r="W407" s="38">
        <f t="shared" si="66"/>
        <v>11250.14</v>
      </c>
      <c r="X407" s="38">
        <f t="shared" si="67"/>
        <v>62387.14</v>
      </c>
    </row>
    <row r="408" spans="1:24" ht="39.75" customHeight="1" x14ac:dyDescent="0.35">
      <c r="A408" s="56" t="s">
        <v>2632</v>
      </c>
      <c r="B408" s="2">
        <v>382</v>
      </c>
      <c r="C408" s="109">
        <v>102000787</v>
      </c>
      <c r="D408" s="110" t="s">
        <v>934</v>
      </c>
      <c r="E408" s="74" t="s">
        <v>2147</v>
      </c>
      <c r="F408" s="91">
        <v>1</v>
      </c>
      <c r="G408" s="64" t="s">
        <v>0</v>
      </c>
      <c r="H408" s="111" t="s">
        <v>2145</v>
      </c>
      <c r="I408" s="63" t="s">
        <v>972</v>
      </c>
      <c r="J408" s="63" t="s">
        <v>1917</v>
      </c>
      <c r="K408" s="63" t="s">
        <v>961</v>
      </c>
      <c r="L408" s="61" t="s">
        <v>845</v>
      </c>
      <c r="M408" s="65">
        <f t="shared" si="59"/>
        <v>120790</v>
      </c>
      <c r="N408" s="65">
        <f t="shared" si="63"/>
        <v>120790</v>
      </c>
      <c r="O408" s="65">
        <v>120790</v>
      </c>
      <c r="P408" s="65">
        <v>86430</v>
      </c>
      <c r="Q408" s="65">
        <f t="shared" si="64"/>
        <v>19014.599999999999</v>
      </c>
      <c r="R408" s="65">
        <f t="shared" si="65"/>
        <v>105444.6</v>
      </c>
      <c r="S408" s="272"/>
      <c r="T408" s="64">
        <v>23</v>
      </c>
      <c r="U408" s="270"/>
      <c r="V408" s="38">
        <v>99227</v>
      </c>
      <c r="W408" s="38">
        <f t="shared" si="66"/>
        <v>21829.94</v>
      </c>
      <c r="X408" s="38">
        <f t="shared" si="67"/>
        <v>121056.94</v>
      </c>
    </row>
    <row r="409" spans="1:24" ht="39.75" customHeight="1" x14ac:dyDescent="0.35">
      <c r="A409" s="56" t="s">
        <v>2633</v>
      </c>
      <c r="B409" s="2">
        <v>383</v>
      </c>
      <c r="C409" s="109">
        <v>102001533</v>
      </c>
      <c r="D409" s="110" t="s">
        <v>935</v>
      </c>
      <c r="E409" s="74" t="s">
        <v>2147</v>
      </c>
      <c r="F409" s="91">
        <v>1</v>
      </c>
      <c r="G409" s="64" t="s">
        <v>0</v>
      </c>
      <c r="H409" s="111" t="s">
        <v>2145</v>
      </c>
      <c r="I409" s="63" t="s">
        <v>972</v>
      </c>
      <c r="J409" s="63" t="s">
        <v>1917</v>
      </c>
      <c r="K409" s="63" t="s">
        <v>961</v>
      </c>
      <c r="L409" s="61" t="s">
        <v>845</v>
      </c>
      <c r="M409" s="65">
        <f t="shared" si="59"/>
        <v>251850</v>
      </c>
      <c r="N409" s="65">
        <f t="shared" si="63"/>
        <v>251850</v>
      </c>
      <c r="O409" s="65">
        <v>251850</v>
      </c>
      <c r="P409" s="65">
        <v>180200</v>
      </c>
      <c r="Q409" s="65">
        <f t="shared" si="64"/>
        <v>39644</v>
      </c>
      <c r="R409" s="65">
        <f t="shared" si="65"/>
        <v>219844</v>
      </c>
      <c r="S409" s="272"/>
      <c r="T409" s="64">
        <v>23</v>
      </c>
      <c r="U409" s="270"/>
      <c r="V409" s="38">
        <v>206890</v>
      </c>
      <c r="W409" s="38">
        <f t="shared" si="66"/>
        <v>45515.8</v>
      </c>
      <c r="X409" s="38">
        <f t="shared" si="67"/>
        <v>252405.8</v>
      </c>
    </row>
    <row r="410" spans="1:24" ht="39.75" customHeight="1" x14ac:dyDescent="0.35">
      <c r="A410" s="56" t="s">
        <v>2634</v>
      </c>
      <c r="B410" s="2">
        <v>384</v>
      </c>
      <c r="C410" s="109">
        <v>102000931</v>
      </c>
      <c r="D410" s="110" t="s">
        <v>936</v>
      </c>
      <c r="E410" s="74" t="s">
        <v>2147</v>
      </c>
      <c r="F410" s="91">
        <v>1</v>
      </c>
      <c r="G410" s="64" t="s">
        <v>0</v>
      </c>
      <c r="H410" s="111" t="s">
        <v>2145</v>
      </c>
      <c r="I410" s="63" t="s">
        <v>972</v>
      </c>
      <c r="J410" s="112" t="s">
        <v>959</v>
      </c>
      <c r="K410" s="63" t="s">
        <v>961</v>
      </c>
      <c r="L410" s="61" t="s">
        <v>845</v>
      </c>
      <c r="M410" s="65">
        <f t="shared" si="59"/>
        <v>106610</v>
      </c>
      <c r="N410" s="65">
        <f t="shared" si="63"/>
        <v>106610</v>
      </c>
      <c r="O410" s="65">
        <v>106610</v>
      </c>
      <c r="P410" s="65">
        <v>76280</v>
      </c>
      <c r="Q410" s="65">
        <f t="shared" si="64"/>
        <v>16781.599999999999</v>
      </c>
      <c r="R410" s="65">
        <f t="shared" si="65"/>
        <v>93061.6</v>
      </c>
      <c r="S410" s="272"/>
      <c r="T410" s="64">
        <v>23</v>
      </c>
      <c r="U410" s="270"/>
      <c r="V410" s="38">
        <v>87578</v>
      </c>
      <c r="W410" s="38">
        <f t="shared" si="66"/>
        <v>19267.16</v>
      </c>
      <c r="X410" s="38">
        <f t="shared" si="67"/>
        <v>106845.16</v>
      </c>
    </row>
    <row r="411" spans="1:24" ht="39.75" customHeight="1" x14ac:dyDescent="0.35">
      <c r="A411" s="56" t="s">
        <v>2635</v>
      </c>
      <c r="B411" s="2">
        <v>385</v>
      </c>
      <c r="C411" s="45">
        <v>10123497</v>
      </c>
      <c r="D411" s="40" t="s">
        <v>1049</v>
      </c>
      <c r="E411" s="74" t="s">
        <v>2185</v>
      </c>
      <c r="F411" s="47">
        <v>39</v>
      </c>
      <c r="G411" s="64" t="s">
        <v>0</v>
      </c>
      <c r="H411" s="48" t="s">
        <v>500</v>
      </c>
      <c r="I411" s="63" t="s">
        <v>962</v>
      </c>
      <c r="J411" s="63" t="s">
        <v>1917</v>
      </c>
      <c r="K411" s="49" t="s">
        <v>1203</v>
      </c>
      <c r="L411" s="88" t="s">
        <v>845</v>
      </c>
      <c r="M411" s="76">
        <f t="shared" si="59"/>
        <v>8.26</v>
      </c>
      <c r="N411" s="76">
        <f t="shared" si="63"/>
        <v>0.21</v>
      </c>
      <c r="O411" s="76">
        <v>8.26</v>
      </c>
      <c r="P411" s="65">
        <v>10</v>
      </c>
      <c r="Q411" s="65">
        <f t="shared" si="64"/>
        <v>2.2000000000000002</v>
      </c>
      <c r="R411" s="65">
        <f t="shared" si="65"/>
        <v>12.2</v>
      </c>
      <c r="S411" s="272"/>
      <c r="T411" s="64">
        <v>23</v>
      </c>
      <c r="U411" s="270"/>
      <c r="V411" s="38">
        <v>6</v>
      </c>
      <c r="W411" s="38">
        <f t="shared" si="66"/>
        <v>1.32</v>
      </c>
      <c r="X411" s="38">
        <f t="shared" si="67"/>
        <v>7.32</v>
      </c>
    </row>
    <row r="412" spans="1:24" ht="39.75" customHeight="1" x14ac:dyDescent="0.35">
      <c r="A412" s="56" t="s">
        <v>2636</v>
      </c>
      <c r="B412" s="2">
        <v>386</v>
      </c>
      <c r="C412" s="45">
        <v>10124392</v>
      </c>
      <c r="D412" s="40" t="s">
        <v>1050</v>
      </c>
      <c r="E412" s="74" t="s">
        <v>2185</v>
      </c>
      <c r="F412" s="47">
        <v>1216</v>
      </c>
      <c r="G412" s="64" t="s">
        <v>0</v>
      </c>
      <c r="H412" s="48" t="s">
        <v>500</v>
      </c>
      <c r="I412" s="63" t="s">
        <v>962</v>
      </c>
      <c r="J412" s="63" t="s">
        <v>1917</v>
      </c>
      <c r="K412" s="49" t="s">
        <v>1204</v>
      </c>
      <c r="L412" s="88" t="s">
        <v>845</v>
      </c>
      <c r="M412" s="76">
        <f t="shared" ref="M412:M477" si="68">O412</f>
        <v>8120.4</v>
      </c>
      <c r="N412" s="76">
        <f t="shared" si="63"/>
        <v>6.68</v>
      </c>
      <c r="O412" s="76">
        <v>8120.4</v>
      </c>
      <c r="P412" s="65">
        <v>5420</v>
      </c>
      <c r="Q412" s="65">
        <f t="shared" si="64"/>
        <v>1192.4000000000001</v>
      </c>
      <c r="R412" s="65">
        <f t="shared" si="65"/>
        <v>6612.4</v>
      </c>
      <c r="S412" s="272"/>
      <c r="T412" s="64">
        <v>23</v>
      </c>
      <c r="U412" s="270"/>
      <c r="V412" s="38">
        <v>6221</v>
      </c>
      <c r="W412" s="38">
        <f t="shared" si="66"/>
        <v>1368.62</v>
      </c>
      <c r="X412" s="38">
        <f t="shared" si="67"/>
        <v>7589.62</v>
      </c>
    </row>
    <row r="413" spans="1:24" ht="39.75" customHeight="1" x14ac:dyDescent="0.35">
      <c r="A413" s="56" t="s">
        <v>2637</v>
      </c>
      <c r="B413" s="2">
        <v>387</v>
      </c>
      <c r="C413" s="45">
        <v>10124393</v>
      </c>
      <c r="D413" s="40" t="s">
        <v>1051</v>
      </c>
      <c r="E413" s="74" t="s">
        <v>2185</v>
      </c>
      <c r="F413" s="47">
        <v>1225</v>
      </c>
      <c r="G413" s="64" t="s">
        <v>0</v>
      </c>
      <c r="H413" s="48" t="s">
        <v>500</v>
      </c>
      <c r="I413" s="63" t="s">
        <v>962</v>
      </c>
      <c r="J413" s="63" t="s">
        <v>1917</v>
      </c>
      <c r="K413" s="49" t="s">
        <v>1205</v>
      </c>
      <c r="L413" s="88" t="s">
        <v>845</v>
      </c>
      <c r="M413" s="76">
        <f t="shared" si="68"/>
        <v>16579.009999999998</v>
      </c>
      <c r="N413" s="76">
        <f t="shared" si="63"/>
        <v>13.53</v>
      </c>
      <c r="O413" s="76">
        <v>16579.009999999998</v>
      </c>
      <c r="P413" s="65">
        <v>11060</v>
      </c>
      <c r="Q413" s="65">
        <f t="shared" si="64"/>
        <v>2433.1999999999998</v>
      </c>
      <c r="R413" s="65">
        <f t="shared" si="65"/>
        <v>13493.2</v>
      </c>
      <c r="S413" s="272"/>
      <c r="T413" s="64">
        <v>23</v>
      </c>
      <c r="U413" s="270"/>
      <c r="V413" s="38">
        <v>12700</v>
      </c>
      <c r="W413" s="38">
        <f t="shared" si="66"/>
        <v>2794</v>
      </c>
      <c r="X413" s="38">
        <f t="shared" si="67"/>
        <v>15494</v>
      </c>
    </row>
    <row r="414" spans="1:24" ht="39.75" customHeight="1" x14ac:dyDescent="0.35">
      <c r="A414" s="56" t="s">
        <v>2638</v>
      </c>
      <c r="B414" s="2">
        <v>388</v>
      </c>
      <c r="C414" s="45">
        <v>10116985</v>
      </c>
      <c r="D414" s="40" t="s">
        <v>1052</v>
      </c>
      <c r="E414" s="74" t="s">
        <v>2185</v>
      </c>
      <c r="F414" s="47">
        <v>251</v>
      </c>
      <c r="G414" s="64" t="s">
        <v>0</v>
      </c>
      <c r="H414" s="48" t="s">
        <v>499</v>
      </c>
      <c r="I414" s="63" t="s">
        <v>962</v>
      </c>
      <c r="J414" s="63" t="s">
        <v>1917</v>
      </c>
      <c r="K414" s="49" t="s">
        <v>1206</v>
      </c>
      <c r="L414" s="88" t="s">
        <v>845</v>
      </c>
      <c r="M414" s="76">
        <f t="shared" si="68"/>
        <v>4445.68</v>
      </c>
      <c r="N414" s="76">
        <f t="shared" si="63"/>
        <v>17.71</v>
      </c>
      <c r="O414" s="76">
        <v>4445.68</v>
      </c>
      <c r="P414" s="65">
        <v>2910</v>
      </c>
      <c r="Q414" s="65">
        <f t="shared" si="64"/>
        <v>640.20000000000005</v>
      </c>
      <c r="R414" s="65">
        <f t="shared" si="65"/>
        <v>3550.2</v>
      </c>
      <c r="S414" s="272"/>
      <c r="T414" s="64">
        <v>23</v>
      </c>
      <c r="U414" s="270"/>
      <c r="V414" s="38">
        <v>3341</v>
      </c>
      <c r="W414" s="38">
        <f t="shared" si="66"/>
        <v>735.02</v>
      </c>
      <c r="X414" s="38">
        <f t="shared" si="67"/>
        <v>4076.02</v>
      </c>
    </row>
    <row r="415" spans="1:24" ht="39.75" customHeight="1" x14ac:dyDescent="0.35">
      <c r="A415" s="56" t="s">
        <v>2639</v>
      </c>
      <c r="B415" s="2">
        <v>389</v>
      </c>
      <c r="C415" s="45">
        <v>10102693</v>
      </c>
      <c r="D415" s="40" t="s">
        <v>1053</v>
      </c>
      <c r="E415" s="74" t="s">
        <v>2185</v>
      </c>
      <c r="F415" s="47">
        <v>283</v>
      </c>
      <c r="G415" s="64" t="s">
        <v>0</v>
      </c>
      <c r="H415" s="48" t="s">
        <v>500</v>
      </c>
      <c r="I415" s="63" t="s">
        <v>962</v>
      </c>
      <c r="J415" s="63" t="s">
        <v>1917</v>
      </c>
      <c r="K415" s="49" t="s">
        <v>1207</v>
      </c>
      <c r="L415" s="88" t="s">
        <v>845</v>
      </c>
      <c r="M415" s="76">
        <f t="shared" si="68"/>
        <v>316.58</v>
      </c>
      <c r="N415" s="76">
        <f t="shared" si="63"/>
        <v>1.1200000000000001</v>
      </c>
      <c r="O415" s="76">
        <v>316.58</v>
      </c>
      <c r="P415" s="65">
        <v>210</v>
      </c>
      <c r="Q415" s="65">
        <f t="shared" si="64"/>
        <v>46.2</v>
      </c>
      <c r="R415" s="65">
        <f t="shared" si="65"/>
        <v>256.2</v>
      </c>
      <c r="S415" s="272"/>
      <c r="T415" s="64">
        <v>23</v>
      </c>
      <c r="U415" s="270"/>
      <c r="V415" s="38">
        <v>243</v>
      </c>
      <c r="W415" s="38">
        <f t="shared" si="66"/>
        <v>53.46</v>
      </c>
      <c r="X415" s="38">
        <f t="shared" si="67"/>
        <v>296.45999999999998</v>
      </c>
    </row>
    <row r="416" spans="1:24" ht="39.75" customHeight="1" x14ac:dyDescent="0.35">
      <c r="A416" s="56" t="s">
        <v>2640</v>
      </c>
      <c r="B416" s="2">
        <v>390</v>
      </c>
      <c r="C416" s="45">
        <v>10111000</v>
      </c>
      <c r="D416" s="40" t="s">
        <v>1054</v>
      </c>
      <c r="E416" s="74" t="s">
        <v>2185</v>
      </c>
      <c r="F416" s="47">
        <v>165</v>
      </c>
      <c r="G416" s="64" t="s">
        <v>0</v>
      </c>
      <c r="H416" s="48" t="s">
        <v>500</v>
      </c>
      <c r="I416" s="63" t="s">
        <v>962</v>
      </c>
      <c r="J416" s="63" t="s">
        <v>1917</v>
      </c>
      <c r="K416" s="49" t="s">
        <v>1208</v>
      </c>
      <c r="L416" s="88" t="s">
        <v>845</v>
      </c>
      <c r="M416" s="76">
        <f t="shared" si="68"/>
        <v>153.16999999999999</v>
      </c>
      <c r="N416" s="76">
        <f t="shared" si="63"/>
        <v>0.93</v>
      </c>
      <c r="O416" s="76">
        <v>153.16999999999999</v>
      </c>
      <c r="P416" s="65">
        <v>100</v>
      </c>
      <c r="Q416" s="65">
        <f t="shared" si="64"/>
        <v>22</v>
      </c>
      <c r="R416" s="65">
        <f t="shared" si="65"/>
        <v>122</v>
      </c>
      <c r="S416" s="272"/>
      <c r="T416" s="64">
        <v>23</v>
      </c>
      <c r="U416" s="270"/>
      <c r="V416" s="38">
        <v>117</v>
      </c>
      <c r="W416" s="38">
        <f t="shared" si="66"/>
        <v>25.74</v>
      </c>
      <c r="X416" s="38">
        <f t="shared" si="67"/>
        <v>142.74</v>
      </c>
    </row>
    <row r="417" spans="1:24" ht="39.75" customHeight="1" x14ac:dyDescent="0.35">
      <c r="A417" s="56" t="s">
        <v>2641</v>
      </c>
      <c r="B417" s="2">
        <v>391</v>
      </c>
      <c r="C417" s="45">
        <v>10124447</v>
      </c>
      <c r="D417" s="40" t="s">
        <v>472</v>
      </c>
      <c r="E417" s="74" t="s">
        <v>2185</v>
      </c>
      <c r="F417" s="47">
        <v>11</v>
      </c>
      <c r="G417" s="64" t="s">
        <v>0</v>
      </c>
      <c r="H417" s="48" t="s">
        <v>499</v>
      </c>
      <c r="I417" s="63" t="s">
        <v>962</v>
      </c>
      <c r="J417" s="42" t="s">
        <v>2232</v>
      </c>
      <c r="K417" s="49" t="s">
        <v>472</v>
      </c>
      <c r="L417" s="88" t="s">
        <v>845</v>
      </c>
      <c r="M417" s="76">
        <f t="shared" si="68"/>
        <v>72858.070000000007</v>
      </c>
      <c r="N417" s="76">
        <f t="shared" si="63"/>
        <v>6623.46</v>
      </c>
      <c r="O417" s="76">
        <v>72858.070000000007</v>
      </c>
      <c r="P417" s="65">
        <v>47690</v>
      </c>
      <c r="Q417" s="65">
        <f t="shared" si="64"/>
        <v>10491.8</v>
      </c>
      <c r="R417" s="65">
        <f t="shared" si="65"/>
        <v>58181.8</v>
      </c>
      <c r="S417" s="272"/>
      <c r="T417" s="64">
        <v>23</v>
      </c>
      <c r="U417" s="270"/>
      <c r="V417" s="38">
        <v>54754</v>
      </c>
      <c r="W417" s="38">
        <f t="shared" si="66"/>
        <v>12045.88</v>
      </c>
      <c r="X417" s="38">
        <f t="shared" si="67"/>
        <v>66799.88</v>
      </c>
    </row>
    <row r="418" spans="1:24" ht="39.75" customHeight="1" x14ac:dyDescent="0.35">
      <c r="A418" s="56" t="s">
        <v>2642</v>
      </c>
      <c r="B418" s="2">
        <v>392</v>
      </c>
      <c r="C418" s="45">
        <v>10123357</v>
      </c>
      <c r="D418" s="40" t="s">
        <v>1059</v>
      </c>
      <c r="E418" s="74" t="s">
        <v>2185</v>
      </c>
      <c r="F418" s="47">
        <v>150</v>
      </c>
      <c r="G418" s="64" t="s">
        <v>0</v>
      </c>
      <c r="H418" s="48" t="s">
        <v>500</v>
      </c>
      <c r="I418" s="63" t="s">
        <v>962</v>
      </c>
      <c r="J418" s="63" t="s">
        <v>1917</v>
      </c>
      <c r="K418" s="49" t="s">
        <v>1209</v>
      </c>
      <c r="L418" s="88" t="s">
        <v>845</v>
      </c>
      <c r="M418" s="76">
        <f t="shared" si="68"/>
        <v>3050.84</v>
      </c>
      <c r="N418" s="76">
        <f t="shared" si="63"/>
        <v>20.34</v>
      </c>
      <c r="O418" s="76">
        <v>3050.84</v>
      </c>
      <c r="P418" s="65">
        <v>2040</v>
      </c>
      <c r="Q418" s="65">
        <f t="shared" si="64"/>
        <v>448.8</v>
      </c>
      <c r="R418" s="65">
        <f t="shared" si="65"/>
        <v>2488.8000000000002</v>
      </c>
      <c r="S418" s="272"/>
      <c r="T418" s="64">
        <v>23</v>
      </c>
      <c r="U418" s="270"/>
      <c r="V418" s="38">
        <v>2337</v>
      </c>
      <c r="W418" s="38">
        <f t="shared" si="66"/>
        <v>514.14</v>
      </c>
      <c r="X418" s="38">
        <f t="shared" si="67"/>
        <v>2851.14</v>
      </c>
    </row>
    <row r="419" spans="1:24" ht="29.25" customHeight="1" x14ac:dyDescent="0.35">
      <c r="A419" s="56" t="s">
        <v>2643</v>
      </c>
      <c r="B419" s="2">
        <v>393</v>
      </c>
      <c r="C419" s="45">
        <v>10120430</v>
      </c>
      <c r="D419" s="40" t="s">
        <v>1060</v>
      </c>
      <c r="E419" s="74" t="s">
        <v>2185</v>
      </c>
      <c r="F419" s="47">
        <v>198</v>
      </c>
      <c r="G419" s="64" t="s">
        <v>0</v>
      </c>
      <c r="H419" s="48" t="s">
        <v>500</v>
      </c>
      <c r="I419" s="63" t="s">
        <v>962</v>
      </c>
      <c r="J419" s="63" t="s">
        <v>1917</v>
      </c>
      <c r="K419" s="49" t="s">
        <v>1210</v>
      </c>
      <c r="L419" s="88" t="s">
        <v>845</v>
      </c>
      <c r="M419" s="104">
        <f t="shared" si="68"/>
        <v>32804.22</v>
      </c>
      <c r="N419" s="140">
        <f t="shared" si="63"/>
        <v>165.68</v>
      </c>
      <c r="O419" s="76">
        <v>32804.22</v>
      </c>
      <c r="P419" s="65">
        <v>21890</v>
      </c>
      <c r="Q419" s="65">
        <f t="shared" si="64"/>
        <v>4815.8</v>
      </c>
      <c r="R419" s="65">
        <f t="shared" si="65"/>
        <v>26705.8</v>
      </c>
      <c r="S419" s="272"/>
      <c r="T419" s="64">
        <v>23</v>
      </c>
      <c r="U419" s="270"/>
      <c r="V419" s="38">
        <v>25129</v>
      </c>
      <c r="W419" s="38">
        <f t="shared" si="66"/>
        <v>5528.38</v>
      </c>
      <c r="X419" s="38">
        <f t="shared" si="67"/>
        <v>30657.38</v>
      </c>
    </row>
    <row r="420" spans="1:24" ht="39.75" customHeight="1" x14ac:dyDescent="0.35">
      <c r="A420" s="56" t="s">
        <v>2644</v>
      </c>
      <c r="B420" s="2">
        <v>394</v>
      </c>
      <c r="C420" s="45">
        <v>10102588</v>
      </c>
      <c r="D420" s="40" t="s">
        <v>1061</v>
      </c>
      <c r="E420" s="74" t="s">
        <v>2185</v>
      </c>
      <c r="F420" s="47">
        <v>58</v>
      </c>
      <c r="G420" s="64" t="s">
        <v>0</v>
      </c>
      <c r="H420" s="48" t="s">
        <v>500</v>
      </c>
      <c r="I420" s="63" t="s">
        <v>962</v>
      </c>
      <c r="J420" s="63" t="s">
        <v>1917</v>
      </c>
      <c r="K420" s="49" t="s">
        <v>1211</v>
      </c>
      <c r="L420" s="88" t="s">
        <v>845</v>
      </c>
      <c r="M420" s="104">
        <f t="shared" si="68"/>
        <v>21682.880000000001</v>
      </c>
      <c r="N420" s="104">
        <f t="shared" si="63"/>
        <v>373.84</v>
      </c>
      <c r="O420" s="76">
        <v>21682.880000000001</v>
      </c>
      <c r="P420" s="65">
        <v>14470</v>
      </c>
      <c r="Q420" s="65">
        <f t="shared" si="64"/>
        <v>3183.4</v>
      </c>
      <c r="R420" s="65">
        <f t="shared" si="65"/>
        <v>17653.400000000001</v>
      </c>
      <c r="S420" s="272"/>
      <c r="T420" s="64">
        <v>23</v>
      </c>
      <c r="U420" s="270"/>
      <c r="V420" s="38">
        <v>16610</v>
      </c>
      <c r="W420" s="38">
        <f t="shared" si="66"/>
        <v>3654.2</v>
      </c>
      <c r="X420" s="38">
        <f t="shared" si="67"/>
        <v>20264.2</v>
      </c>
    </row>
    <row r="421" spans="1:24" ht="39.75" customHeight="1" x14ac:dyDescent="0.35">
      <c r="A421" s="56" t="s">
        <v>2645</v>
      </c>
      <c r="B421" s="2">
        <v>395</v>
      </c>
      <c r="C421" s="45">
        <v>10120327</v>
      </c>
      <c r="D421" s="40" t="s">
        <v>1062</v>
      </c>
      <c r="E421" s="74" t="s">
        <v>2185</v>
      </c>
      <c r="F421" s="47">
        <v>82</v>
      </c>
      <c r="G421" s="64" t="s">
        <v>0</v>
      </c>
      <c r="H421" s="48" t="s">
        <v>500</v>
      </c>
      <c r="I421" s="63" t="s">
        <v>962</v>
      </c>
      <c r="J421" s="63" t="s">
        <v>1917</v>
      </c>
      <c r="K421" s="49" t="s">
        <v>1212</v>
      </c>
      <c r="L421" s="88" t="s">
        <v>845</v>
      </c>
      <c r="M421" s="76">
        <f t="shared" si="68"/>
        <v>20485.400000000001</v>
      </c>
      <c r="N421" s="76">
        <f t="shared" si="63"/>
        <v>249.82</v>
      </c>
      <c r="O421" s="76">
        <v>20485.400000000001</v>
      </c>
      <c r="P421" s="65">
        <v>13670</v>
      </c>
      <c r="Q421" s="65">
        <f t="shared" si="64"/>
        <v>3007.4</v>
      </c>
      <c r="R421" s="65">
        <f t="shared" si="65"/>
        <v>16677.400000000001</v>
      </c>
      <c r="S421" s="272"/>
      <c r="T421" s="64">
        <v>23</v>
      </c>
      <c r="U421" s="270"/>
      <c r="V421" s="38">
        <v>15693</v>
      </c>
      <c r="W421" s="38">
        <f t="shared" si="66"/>
        <v>3452.46</v>
      </c>
      <c r="X421" s="38">
        <f t="shared" si="67"/>
        <v>19145.46</v>
      </c>
    </row>
    <row r="422" spans="1:24" ht="39.75" customHeight="1" x14ac:dyDescent="0.35">
      <c r="A422" s="56" t="s">
        <v>2646</v>
      </c>
      <c r="B422" s="2">
        <v>396</v>
      </c>
      <c r="C422" s="45">
        <v>10116578</v>
      </c>
      <c r="D422" s="40" t="s">
        <v>1063</v>
      </c>
      <c r="E422" s="74" t="s">
        <v>2185</v>
      </c>
      <c r="F422" s="47">
        <v>422</v>
      </c>
      <c r="G422" s="64" t="s">
        <v>0</v>
      </c>
      <c r="H422" s="48" t="s">
        <v>499</v>
      </c>
      <c r="I422" s="63" t="s">
        <v>962</v>
      </c>
      <c r="J422" s="63" t="s">
        <v>1917</v>
      </c>
      <c r="K422" s="49" t="s">
        <v>1213</v>
      </c>
      <c r="L422" s="88" t="s">
        <v>845</v>
      </c>
      <c r="M422" s="76">
        <f t="shared" si="68"/>
        <v>47120.97</v>
      </c>
      <c r="N422" s="76">
        <f t="shared" si="63"/>
        <v>111.66</v>
      </c>
      <c r="O422" s="76">
        <v>47120.97</v>
      </c>
      <c r="P422" s="65">
        <v>30840</v>
      </c>
      <c r="Q422" s="65">
        <f t="shared" si="64"/>
        <v>6784.8</v>
      </c>
      <c r="R422" s="65">
        <f t="shared" si="65"/>
        <v>37624.800000000003</v>
      </c>
      <c r="S422" s="272"/>
      <c r="T422" s="64">
        <v>23</v>
      </c>
      <c r="U422" s="270"/>
      <c r="V422" s="38">
        <v>35412</v>
      </c>
      <c r="W422" s="38">
        <f t="shared" si="66"/>
        <v>7790.64</v>
      </c>
      <c r="X422" s="38">
        <f t="shared" si="67"/>
        <v>43202.64</v>
      </c>
    </row>
    <row r="423" spans="1:24" ht="39.75" customHeight="1" x14ac:dyDescent="0.35">
      <c r="A423" s="56" t="s">
        <v>2647</v>
      </c>
      <c r="B423" s="2">
        <v>397</v>
      </c>
      <c r="C423" s="45">
        <v>10019183</v>
      </c>
      <c r="D423" s="40" t="s">
        <v>1064</v>
      </c>
      <c r="E423" s="74" t="s">
        <v>2185</v>
      </c>
      <c r="F423" s="47">
        <v>143</v>
      </c>
      <c r="G423" s="64" t="s">
        <v>0</v>
      </c>
      <c r="H423" s="48" t="s">
        <v>495</v>
      </c>
      <c r="I423" s="63" t="s">
        <v>962</v>
      </c>
      <c r="J423" s="63" t="s">
        <v>1917</v>
      </c>
      <c r="K423" s="49" t="s">
        <v>1214</v>
      </c>
      <c r="L423" s="88" t="s">
        <v>845</v>
      </c>
      <c r="M423" s="76">
        <f t="shared" si="68"/>
        <v>13558.36</v>
      </c>
      <c r="N423" s="76">
        <f t="shared" si="63"/>
        <v>94.81</v>
      </c>
      <c r="O423" s="76">
        <v>13558.36</v>
      </c>
      <c r="P423" s="65">
        <v>9700</v>
      </c>
      <c r="Q423" s="65">
        <f t="shared" si="64"/>
        <v>2134</v>
      </c>
      <c r="R423" s="65">
        <f t="shared" si="65"/>
        <v>11834</v>
      </c>
      <c r="S423" s="272"/>
      <c r="T423" s="64">
        <v>23</v>
      </c>
      <c r="U423" s="270"/>
      <c r="V423" s="38">
        <v>11138</v>
      </c>
      <c r="W423" s="38">
        <f t="shared" si="66"/>
        <v>2450.36</v>
      </c>
      <c r="X423" s="38">
        <f t="shared" si="67"/>
        <v>13588.36</v>
      </c>
    </row>
    <row r="424" spans="1:24" ht="39.75" customHeight="1" x14ac:dyDescent="0.35">
      <c r="A424" s="56" t="s">
        <v>2648</v>
      </c>
      <c r="B424" s="2">
        <v>398</v>
      </c>
      <c r="C424" s="45">
        <v>10019184</v>
      </c>
      <c r="D424" s="40" t="s">
        <v>1065</v>
      </c>
      <c r="E424" s="74" t="s">
        <v>2185</v>
      </c>
      <c r="F424" s="47">
        <v>89</v>
      </c>
      <c r="G424" s="64" t="s">
        <v>0</v>
      </c>
      <c r="H424" s="48" t="s">
        <v>495</v>
      </c>
      <c r="I424" s="63" t="s">
        <v>962</v>
      </c>
      <c r="J424" s="63" t="s">
        <v>1917</v>
      </c>
      <c r="K424" s="49" t="s">
        <v>1215</v>
      </c>
      <c r="L424" s="88" t="s">
        <v>845</v>
      </c>
      <c r="M424" s="76">
        <f t="shared" si="68"/>
        <v>5857.39</v>
      </c>
      <c r="N424" s="76">
        <f t="shared" si="63"/>
        <v>65.81</v>
      </c>
      <c r="O424" s="76">
        <v>5857.39</v>
      </c>
      <c r="P424" s="65">
        <v>4190</v>
      </c>
      <c r="Q424" s="65">
        <f t="shared" si="64"/>
        <v>921.8</v>
      </c>
      <c r="R424" s="65">
        <f t="shared" si="65"/>
        <v>5111.8</v>
      </c>
      <c r="S424" s="272"/>
      <c r="T424" s="64">
        <v>23</v>
      </c>
      <c r="U424" s="270"/>
      <c r="V424" s="38">
        <v>4812</v>
      </c>
      <c r="W424" s="38">
        <f t="shared" si="66"/>
        <v>1058.6400000000001</v>
      </c>
      <c r="X424" s="38">
        <f t="shared" si="67"/>
        <v>5870.64</v>
      </c>
    </row>
    <row r="425" spans="1:24" ht="39.75" customHeight="1" x14ac:dyDescent="0.35">
      <c r="A425" s="56" t="s">
        <v>2649</v>
      </c>
      <c r="B425" s="2">
        <v>399</v>
      </c>
      <c r="C425" s="45">
        <v>10019207</v>
      </c>
      <c r="D425" s="40" t="s">
        <v>1066</v>
      </c>
      <c r="E425" s="74" t="s">
        <v>2185</v>
      </c>
      <c r="F425" s="47">
        <v>127</v>
      </c>
      <c r="G425" s="64" t="s">
        <v>0</v>
      </c>
      <c r="H425" s="48" t="s">
        <v>500</v>
      </c>
      <c r="I425" s="63" t="s">
        <v>962</v>
      </c>
      <c r="J425" s="63" t="s">
        <v>1917</v>
      </c>
      <c r="K425" s="49" t="s">
        <v>1216</v>
      </c>
      <c r="L425" s="88" t="s">
        <v>845</v>
      </c>
      <c r="M425" s="76">
        <f t="shared" si="68"/>
        <v>20353.36</v>
      </c>
      <c r="N425" s="76">
        <f t="shared" si="63"/>
        <v>160.26</v>
      </c>
      <c r="O425" s="76">
        <v>20353.36</v>
      </c>
      <c r="P425" s="65">
        <v>13580</v>
      </c>
      <c r="Q425" s="65">
        <f t="shared" si="64"/>
        <v>2987.6</v>
      </c>
      <c r="R425" s="65">
        <f t="shared" si="65"/>
        <v>16567.599999999999</v>
      </c>
      <c r="S425" s="272"/>
      <c r="T425" s="64">
        <v>23</v>
      </c>
      <c r="U425" s="270"/>
      <c r="V425" s="38">
        <v>15591</v>
      </c>
      <c r="W425" s="38">
        <f t="shared" si="66"/>
        <v>3430.02</v>
      </c>
      <c r="X425" s="38">
        <f t="shared" si="67"/>
        <v>19021.02</v>
      </c>
    </row>
    <row r="426" spans="1:24" ht="39.75" customHeight="1" x14ac:dyDescent="0.35">
      <c r="A426" s="56" t="s">
        <v>2650</v>
      </c>
      <c r="B426" s="2">
        <v>400</v>
      </c>
      <c r="C426" s="45">
        <v>10100574</v>
      </c>
      <c r="D426" s="40" t="s">
        <v>1067</v>
      </c>
      <c r="E426" s="74" t="s">
        <v>2185</v>
      </c>
      <c r="F426" s="47">
        <v>88</v>
      </c>
      <c r="G426" s="64" t="s">
        <v>0</v>
      </c>
      <c r="H426" s="48" t="s">
        <v>500</v>
      </c>
      <c r="I426" s="63" t="s">
        <v>962</v>
      </c>
      <c r="J426" s="63" t="s">
        <v>1917</v>
      </c>
      <c r="K426" s="49" t="s">
        <v>1217</v>
      </c>
      <c r="L426" s="88" t="s">
        <v>845</v>
      </c>
      <c r="M426" s="76">
        <f t="shared" si="68"/>
        <v>3044.07</v>
      </c>
      <c r="N426" s="76">
        <f t="shared" si="63"/>
        <v>34.590000000000003</v>
      </c>
      <c r="O426" s="76">
        <v>3044.07</v>
      </c>
      <c r="P426" s="65">
        <v>2030</v>
      </c>
      <c r="Q426" s="65">
        <f t="shared" si="64"/>
        <v>446.6</v>
      </c>
      <c r="R426" s="65">
        <f t="shared" si="65"/>
        <v>2476.6</v>
      </c>
      <c r="S426" s="272"/>
      <c r="T426" s="64">
        <v>23</v>
      </c>
      <c r="U426" s="270"/>
      <c r="V426" s="38">
        <v>2332</v>
      </c>
      <c r="W426" s="38">
        <f t="shared" si="66"/>
        <v>513.04</v>
      </c>
      <c r="X426" s="38">
        <f t="shared" si="67"/>
        <v>2845.04</v>
      </c>
    </row>
    <row r="427" spans="1:24" ht="39.75" customHeight="1" x14ac:dyDescent="0.35">
      <c r="A427" s="56" t="s">
        <v>2651</v>
      </c>
      <c r="B427" s="2">
        <v>401</v>
      </c>
      <c r="C427" s="45">
        <v>10101667</v>
      </c>
      <c r="D427" s="40" t="s">
        <v>1068</v>
      </c>
      <c r="E427" s="74" t="s">
        <v>2185</v>
      </c>
      <c r="F427" s="47">
        <v>459</v>
      </c>
      <c r="G427" s="64" t="s">
        <v>0</v>
      </c>
      <c r="H427" s="48" t="s">
        <v>500</v>
      </c>
      <c r="I427" s="63" t="s">
        <v>962</v>
      </c>
      <c r="J427" s="63" t="s">
        <v>1917</v>
      </c>
      <c r="K427" s="49" t="s">
        <v>1218</v>
      </c>
      <c r="L427" s="88" t="s">
        <v>845</v>
      </c>
      <c r="M427" s="76">
        <f t="shared" si="68"/>
        <v>135552.85999999999</v>
      </c>
      <c r="N427" s="76">
        <f t="shared" si="63"/>
        <v>295.32</v>
      </c>
      <c r="O427" s="76">
        <v>135552.85999999999</v>
      </c>
      <c r="P427" s="65">
        <v>90440</v>
      </c>
      <c r="Q427" s="65">
        <f t="shared" si="64"/>
        <v>19896.8</v>
      </c>
      <c r="R427" s="65">
        <f t="shared" si="65"/>
        <v>110336.8</v>
      </c>
      <c r="S427" s="272"/>
      <c r="T427" s="64">
        <v>23</v>
      </c>
      <c r="U427" s="270"/>
      <c r="V427" s="38">
        <v>103839</v>
      </c>
      <c r="W427" s="38">
        <f t="shared" si="66"/>
        <v>22844.58</v>
      </c>
      <c r="X427" s="38">
        <f t="shared" si="67"/>
        <v>126683.58</v>
      </c>
    </row>
    <row r="428" spans="1:24" ht="39.75" customHeight="1" x14ac:dyDescent="0.35">
      <c r="A428" s="56" t="s">
        <v>2652</v>
      </c>
      <c r="B428" s="2">
        <v>402</v>
      </c>
      <c r="C428" s="45">
        <v>10101508</v>
      </c>
      <c r="D428" s="40" t="s">
        <v>1069</v>
      </c>
      <c r="E428" s="74" t="s">
        <v>2185</v>
      </c>
      <c r="F428" s="47">
        <v>156</v>
      </c>
      <c r="G428" s="64" t="s">
        <v>0</v>
      </c>
      <c r="H428" s="48" t="s">
        <v>500</v>
      </c>
      <c r="I428" s="63" t="s">
        <v>962</v>
      </c>
      <c r="J428" s="63" t="s">
        <v>1917</v>
      </c>
      <c r="K428" s="49" t="s">
        <v>1219</v>
      </c>
      <c r="L428" s="88" t="s">
        <v>845</v>
      </c>
      <c r="M428" s="76">
        <f t="shared" si="68"/>
        <v>939.6</v>
      </c>
      <c r="N428" s="76">
        <f t="shared" si="63"/>
        <v>6.02</v>
      </c>
      <c r="O428" s="76">
        <v>939.6</v>
      </c>
      <c r="P428" s="65">
        <v>630</v>
      </c>
      <c r="Q428" s="65">
        <f t="shared" si="64"/>
        <v>138.6</v>
      </c>
      <c r="R428" s="65">
        <f t="shared" si="65"/>
        <v>768.6</v>
      </c>
      <c r="S428" s="272"/>
      <c r="T428" s="64">
        <v>23</v>
      </c>
      <c r="U428" s="270"/>
      <c r="V428" s="38">
        <v>720</v>
      </c>
      <c r="W428" s="38">
        <f t="shared" si="66"/>
        <v>158.4</v>
      </c>
      <c r="X428" s="38">
        <f t="shared" si="67"/>
        <v>878.4</v>
      </c>
    </row>
    <row r="429" spans="1:24" ht="39.75" customHeight="1" x14ac:dyDescent="0.35">
      <c r="A429" s="56" t="s">
        <v>2653</v>
      </c>
      <c r="B429" s="2">
        <v>403</v>
      </c>
      <c r="C429" s="45">
        <v>10121241</v>
      </c>
      <c r="D429" s="40" t="s">
        <v>1070</v>
      </c>
      <c r="E429" s="74" t="s">
        <v>2185</v>
      </c>
      <c r="F429" s="47">
        <v>81</v>
      </c>
      <c r="G429" s="64" t="s">
        <v>0</v>
      </c>
      <c r="H429" s="48" t="s">
        <v>500</v>
      </c>
      <c r="I429" s="63" t="s">
        <v>962</v>
      </c>
      <c r="J429" s="63" t="s">
        <v>1917</v>
      </c>
      <c r="K429" s="49" t="s">
        <v>1220</v>
      </c>
      <c r="L429" s="88" t="s">
        <v>845</v>
      </c>
      <c r="M429" s="76">
        <f t="shared" si="68"/>
        <v>18330.71</v>
      </c>
      <c r="N429" s="76">
        <f t="shared" si="63"/>
        <v>226.31</v>
      </c>
      <c r="O429" s="76">
        <v>18330.71</v>
      </c>
      <c r="P429" s="65">
        <v>12230</v>
      </c>
      <c r="Q429" s="65">
        <f t="shared" si="64"/>
        <v>2690.6</v>
      </c>
      <c r="R429" s="65">
        <f t="shared" si="65"/>
        <v>14920.6</v>
      </c>
      <c r="S429" s="272"/>
      <c r="T429" s="64">
        <v>23</v>
      </c>
      <c r="U429" s="270"/>
      <c r="V429" s="38">
        <v>14042</v>
      </c>
      <c r="W429" s="38">
        <f t="shared" si="66"/>
        <v>3089.24</v>
      </c>
      <c r="X429" s="38">
        <f t="shared" si="67"/>
        <v>17131.240000000002</v>
      </c>
    </row>
    <row r="430" spans="1:24" ht="39.75" customHeight="1" x14ac:dyDescent="0.35">
      <c r="A430" s="56" t="s">
        <v>2654</v>
      </c>
      <c r="B430" s="2">
        <v>404</v>
      </c>
      <c r="C430" s="45">
        <v>10019185</v>
      </c>
      <c r="D430" s="40" t="s">
        <v>1071</v>
      </c>
      <c r="E430" s="74" t="s">
        <v>2185</v>
      </c>
      <c r="F430" s="47">
        <v>86</v>
      </c>
      <c r="G430" s="64" t="s">
        <v>0</v>
      </c>
      <c r="H430" s="48" t="s">
        <v>495</v>
      </c>
      <c r="I430" s="63" t="s">
        <v>962</v>
      </c>
      <c r="J430" s="63" t="s">
        <v>1917</v>
      </c>
      <c r="K430" s="49" t="s">
        <v>1221</v>
      </c>
      <c r="L430" s="88" t="s">
        <v>845</v>
      </c>
      <c r="M430" s="76">
        <f t="shared" si="68"/>
        <v>4893.97</v>
      </c>
      <c r="N430" s="76">
        <f t="shared" si="63"/>
        <v>56.91</v>
      </c>
      <c r="O430" s="76">
        <v>4893.97</v>
      </c>
      <c r="P430" s="65">
        <v>3500</v>
      </c>
      <c r="Q430" s="65">
        <f t="shared" si="64"/>
        <v>770</v>
      </c>
      <c r="R430" s="65">
        <f t="shared" si="65"/>
        <v>4270</v>
      </c>
      <c r="S430" s="272"/>
      <c r="T430" s="64">
        <v>23</v>
      </c>
      <c r="U430" s="270"/>
      <c r="V430" s="38">
        <v>4020</v>
      </c>
      <c r="W430" s="38">
        <f t="shared" si="66"/>
        <v>884.4</v>
      </c>
      <c r="X430" s="38">
        <f t="shared" si="67"/>
        <v>4904.3999999999996</v>
      </c>
    </row>
    <row r="431" spans="1:24" ht="39.75" customHeight="1" x14ac:dyDescent="0.35">
      <c r="A431" s="56" t="s">
        <v>2655</v>
      </c>
      <c r="B431" s="2">
        <v>405</v>
      </c>
      <c r="C431" s="45">
        <v>10101770</v>
      </c>
      <c r="D431" s="40" t="s">
        <v>1072</v>
      </c>
      <c r="E431" s="74" t="s">
        <v>2185</v>
      </c>
      <c r="F431" s="47">
        <v>90</v>
      </c>
      <c r="G431" s="64" t="s">
        <v>0</v>
      </c>
      <c r="H431" s="48" t="s">
        <v>500</v>
      </c>
      <c r="I431" s="63" t="s">
        <v>962</v>
      </c>
      <c r="J431" s="63" t="s">
        <v>1917</v>
      </c>
      <c r="K431" s="49" t="s">
        <v>1222</v>
      </c>
      <c r="L431" s="88" t="s">
        <v>845</v>
      </c>
      <c r="M431" s="76">
        <f t="shared" si="68"/>
        <v>5292.46</v>
      </c>
      <c r="N431" s="76">
        <f t="shared" ref="N431:N456" si="69">O431/F431</f>
        <v>58.81</v>
      </c>
      <c r="O431" s="76">
        <v>5292.46</v>
      </c>
      <c r="P431" s="65">
        <v>3530</v>
      </c>
      <c r="Q431" s="65">
        <f t="shared" si="64"/>
        <v>776.6</v>
      </c>
      <c r="R431" s="65">
        <f t="shared" si="65"/>
        <v>4306.6000000000004</v>
      </c>
      <c r="S431" s="272"/>
      <c r="T431" s="64">
        <v>23</v>
      </c>
      <c r="U431" s="270"/>
      <c r="V431" s="38">
        <v>4054</v>
      </c>
      <c r="W431" s="38">
        <f t="shared" si="66"/>
        <v>891.88</v>
      </c>
      <c r="X431" s="38">
        <f t="shared" si="67"/>
        <v>4945.88</v>
      </c>
    </row>
    <row r="432" spans="1:24" ht="39.75" customHeight="1" x14ac:dyDescent="0.35">
      <c r="A432" s="56" t="s">
        <v>2656</v>
      </c>
      <c r="B432" s="2">
        <v>406</v>
      </c>
      <c r="C432" s="45">
        <v>10124465</v>
      </c>
      <c r="D432" s="40" t="s">
        <v>454</v>
      </c>
      <c r="E432" s="74" t="s">
        <v>2185</v>
      </c>
      <c r="F432" s="47">
        <v>5</v>
      </c>
      <c r="G432" s="64" t="s">
        <v>0</v>
      </c>
      <c r="H432" s="48" t="s">
        <v>500</v>
      </c>
      <c r="I432" s="63" t="s">
        <v>962</v>
      </c>
      <c r="J432" s="42" t="s">
        <v>2232</v>
      </c>
      <c r="K432" s="49" t="s">
        <v>454</v>
      </c>
      <c r="L432" s="88" t="s">
        <v>845</v>
      </c>
      <c r="M432" s="76">
        <f t="shared" si="68"/>
        <v>11207.35</v>
      </c>
      <c r="N432" s="76">
        <f t="shared" si="69"/>
        <v>2241.4699999999998</v>
      </c>
      <c r="O432" s="76">
        <v>11207.35</v>
      </c>
      <c r="P432" s="65">
        <v>7480</v>
      </c>
      <c r="Q432" s="65">
        <f t="shared" si="64"/>
        <v>1645.6</v>
      </c>
      <c r="R432" s="65">
        <f t="shared" si="65"/>
        <v>9125.6</v>
      </c>
      <c r="S432" s="272"/>
      <c r="T432" s="64">
        <v>23</v>
      </c>
      <c r="U432" s="270"/>
      <c r="V432" s="38">
        <v>8585</v>
      </c>
      <c r="W432" s="38">
        <f t="shared" si="66"/>
        <v>1888.7</v>
      </c>
      <c r="X432" s="38">
        <f t="shared" si="67"/>
        <v>10473.700000000001</v>
      </c>
    </row>
    <row r="433" spans="1:24" ht="39.75" customHeight="1" x14ac:dyDescent="0.35">
      <c r="A433" s="56" t="s">
        <v>2657</v>
      </c>
      <c r="B433" s="2">
        <v>407</v>
      </c>
      <c r="C433" s="45">
        <v>10124535</v>
      </c>
      <c r="D433" s="40" t="s">
        <v>486</v>
      </c>
      <c r="E433" s="74" t="s">
        <v>2185</v>
      </c>
      <c r="F433" s="47">
        <v>34</v>
      </c>
      <c r="G433" s="64" t="s">
        <v>0</v>
      </c>
      <c r="H433" s="48" t="s">
        <v>500</v>
      </c>
      <c r="I433" s="63" t="s">
        <v>962</v>
      </c>
      <c r="J433" s="42" t="s">
        <v>2232</v>
      </c>
      <c r="K433" s="49" t="s">
        <v>486</v>
      </c>
      <c r="L433" s="88" t="s">
        <v>845</v>
      </c>
      <c r="M433" s="76">
        <f t="shared" si="68"/>
        <v>3316.02</v>
      </c>
      <c r="N433" s="76">
        <f t="shared" si="69"/>
        <v>97.53</v>
      </c>
      <c r="O433" s="76">
        <v>3316.02</v>
      </c>
      <c r="P433" s="65">
        <v>2210</v>
      </c>
      <c r="Q433" s="65">
        <f t="shared" si="64"/>
        <v>486.2</v>
      </c>
      <c r="R433" s="65">
        <f t="shared" si="65"/>
        <v>2696.2</v>
      </c>
      <c r="S433" s="272"/>
      <c r="T433" s="64">
        <v>23</v>
      </c>
      <c r="U433" s="270"/>
      <c r="V433" s="38">
        <v>2540</v>
      </c>
      <c r="W433" s="38">
        <f t="shared" si="66"/>
        <v>558.79999999999995</v>
      </c>
      <c r="X433" s="38">
        <f t="shared" si="67"/>
        <v>3098.8</v>
      </c>
    </row>
    <row r="434" spans="1:24" ht="39.75" customHeight="1" x14ac:dyDescent="0.35">
      <c r="A434" s="56" t="s">
        <v>2658</v>
      </c>
      <c r="B434" s="2">
        <v>408</v>
      </c>
      <c r="C434" s="45">
        <v>10108983</v>
      </c>
      <c r="D434" s="40" t="s">
        <v>1074</v>
      </c>
      <c r="E434" s="74" t="s">
        <v>2185</v>
      </c>
      <c r="F434" s="47">
        <v>130</v>
      </c>
      <c r="G434" s="64" t="s">
        <v>0</v>
      </c>
      <c r="H434" s="48" t="s">
        <v>499</v>
      </c>
      <c r="I434" s="63" t="s">
        <v>962</v>
      </c>
      <c r="J434" s="63" t="s">
        <v>1917</v>
      </c>
      <c r="K434" s="49" t="s">
        <v>1074</v>
      </c>
      <c r="L434" s="88" t="s">
        <v>845</v>
      </c>
      <c r="M434" s="76">
        <f t="shared" si="68"/>
        <v>4283.38</v>
      </c>
      <c r="N434" s="76">
        <f t="shared" si="69"/>
        <v>32.950000000000003</v>
      </c>
      <c r="O434" s="76">
        <v>4283.38</v>
      </c>
      <c r="P434" s="65">
        <v>2800</v>
      </c>
      <c r="Q434" s="65">
        <f t="shared" si="64"/>
        <v>616</v>
      </c>
      <c r="R434" s="65">
        <f t="shared" si="65"/>
        <v>3416</v>
      </c>
      <c r="S434" s="272"/>
      <c r="T434" s="64">
        <v>23</v>
      </c>
      <c r="U434" s="270"/>
      <c r="V434" s="38">
        <v>3219</v>
      </c>
      <c r="W434" s="38">
        <f t="shared" si="66"/>
        <v>708.18</v>
      </c>
      <c r="X434" s="38">
        <f t="shared" si="67"/>
        <v>3927.18</v>
      </c>
    </row>
    <row r="435" spans="1:24" ht="39.75" customHeight="1" x14ac:dyDescent="0.35">
      <c r="A435" s="56" t="s">
        <v>2659</v>
      </c>
      <c r="B435" s="2">
        <v>409</v>
      </c>
      <c r="C435" s="45">
        <v>10108527</v>
      </c>
      <c r="D435" s="40" t="s">
        <v>1075</v>
      </c>
      <c r="E435" s="74" t="s">
        <v>2185</v>
      </c>
      <c r="F435" s="47">
        <v>12</v>
      </c>
      <c r="G435" s="64" t="s">
        <v>0</v>
      </c>
      <c r="H435" s="48" t="s">
        <v>495</v>
      </c>
      <c r="I435" s="63" t="s">
        <v>962</v>
      </c>
      <c r="J435" s="63" t="s">
        <v>1917</v>
      </c>
      <c r="K435" s="49" t="s">
        <v>1075</v>
      </c>
      <c r="L435" s="88" t="s">
        <v>845</v>
      </c>
      <c r="M435" s="76">
        <f t="shared" si="68"/>
        <v>41640</v>
      </c>
      <c r="N435" s="76">
        <f t="shared" si="69"/>
        <v>3470</v>
      </c>
      <c r="O435" s="76">
        <v>41640</v>
      </c>
      <c r="P435" s="65">
        <v>29790</v>
      </c>
      <c r="Q435" s="65">
        <f t="shared" si="64"/>
        <v>6553.8</v>
      </c>
      <c r="R435" s="65">
        <f t="shared" si="65"/>
        <v>36343.800000000003</v>
      </c>
      <c r="S435" s="272"/>
      <c r="T435" s="64">
        <v>23</v>
      </c>
      <c r="U435" s="270"/>
      <c r="V435" s="38">
        <v>34206</v>
      </c>
      <c r="W435" s="38">
        <f t="shared" si="66"/>
        <v>7525.32</v>
      </c>
      <c r="X435" s="38">
        <f t="shared" si="67"/>
        <v>41731.32</v>
      </c>
    </row>
    <row r="436" spans="1:24" ht="39.75" customHeight="1" x14ac:dyDescent="0.35">
      <c r="A436" s="56" t="s">
        <v>2660</v>
      </c>
      <c r="B436" s="2">
        <v>410</v>
      </c>
      <c r="C436" s="45">
        <v>10152406</v>
      </c>
      <c r="D436" s="40" t="s">
        <v>466</v>
      </c>
      <c r="E436" s="74" t="s">
        <v>2185</v>
      </c>
      <c r="F436" s="47">
        <v>7</v>
      </c>
      <c r="G436" s="64" t="s">
        <v>0</v>
      </c>
      <c r="H436" s="48" t="s">
        <v>493</v>
      </c>
      <c r="I436" s="63" t="s">
        <v>962</v>
      </c>
      <c r="J436" s="63" t="s">
        <v>1917</v>
      </c>
      <c r="K436" s="49" t="s">
        <v>466</v>
      </c>
      <c r="L436" s="88" t="s">
        <v>845</v>
      </c>
      <c r="M436" s="76">
        <f t="shared" si="68"/>
        <v>22750</v>
      </c>
      <c r="N436" s="76">
        <f t="shared" si="69"/>
        <v>3250</v>
      </c>
      <c r="O436" s="76">
        <v>22750</v>
      </c>
      <c r="P436" s="65">
        <v>14940</v>
      </c>
      <c r="Q436" s="65">
        <f t="shared" si="64"/>
        <v>3286.8</v>
      </c>
      <c r="R436" s="65">
        <f t="shared" si="65"/>
        <v>18226.8</v>
      </c>
      <c r="S436" s="272"/>
      <c r="T436" s="64">
        <v>23</v>
      </c>
      <c r="U436" s="270"/>
      <c r="V436" s="38">
        <v>17147</v>
      </c>
      <c r="W436" s="38">
        <f t="shared" si="66"/>
        <v>3772.34</v>
      </c>
      <c r="X436" s="38">
        <f t="shared" si="67"/>
        <v>20919.34</v>
      </c>
    </row>
    <row r="437" spans="1:24" ht="39.75" customHeight="1" x14ac:dyDescent="0.35">
      <c r="A437" s="56" t="s">
        <v>2661</v>
      </c>
      <c r="B437" s="2">
        <v>411</v>
      </c>
      <c r="C437" s="45">
        <v>10152405</v>
      </c>
      <c r="D437" s="40" t="s">
        <v>469</v>
      </c>
      <c r="E437" s="74" t="s">
        <v>2185</v>
      </c>
      <c r="F437" s="47">
        <v>8</v>
      </c>
      <c r="G437" s="64" t="s">
        <v>0</v>
      </c>
      <c r="H437" s="48" t="s">
        <v>493</v>
      </c>
      <c r="I437" s="63" t="s">
        <v>962</v>
      </c>
      <c r="J437" s="63" t="s">
        <v>1917</v>
      </c>
      <c r="K437" s="49" t="s">
        <v>469</v>
      </c>
      <c r="L437" s="88" t="s">
        <v>845</v>
      </c>
      <c r="M437" s="76">
        <f t="shared" si="68"/>
        <v>27840</v>
      </c>
      <c r="N437" s="76">
        <f t="shared" si="69"/>
        <v>3480</v>
      </c>
      <c r="O437" s="76">
        <v>27840</v>
      </c>
      <c r="P437" s="65">
        <v>18280</v>
      </c>
      <c r="Q437" s="65">
        <f t="shared" si="64"/>
        <v>4021.6</v>
      </c>
      <c r="R437" s="65">
        <f t="shared" si="65"/>
        <v>22301.599999999999</v>
      </c>
      <c r="S437" s="272"/>
      <c r="T437" s="64">
        <v>23</v>
      </c>
      <c r="U437" s="270"/>
      <c r="V437" s="38">
        <v>20984</v>
      </c>
      <c r="W437" s="38">
        <f t="shared" si="66"/>
        <v>4616.4799999999996</v>
      </c>
      <c r="X437" s="38">
        <f t="shared" si="67"/>
        <v>25600.48</v>
      </c>
    </row>
    <row r="438" spans="1:24" ht="39.75" customHeight="1" x14ac:dyDescent="0.35">
      <c r="A438" s="56" t="s">
        <v>2662</v>
      </c>
      <c r="B438" s="2">
        <v>412</v>
      </c>
      <c r="C438" s="45">
        <v>10030884</v>
      </c>
      <c r="D438" s="40" t="s">
        <v>1076</v>
      </c>
      <c r="E438" s="74" t="s">
        <v>2185</v>
      </c>
      <c r="F438" s="47">
        <v>52</v>
      </c>
      <c r="G438" s="64" t="s">
        <v>0</v>
      </c>
      <c r="H438" s="48" t="s">
        <v>495</v>
      </c>
      <c r="I438" s="63" t="s">
        <v>962</v>
      </c>
      <c r="J438" s="63" t="s">
        <v>1917</v>
      </c>
      <c r="K438" s="49" t="s">
        <v>1076</v>
      </c>
      <c r="L438" s="88" t="s">
        <v>845</v>
      </c>
      <c r="M438" s="76">
        <f t="shared" si="68"/>
        <v>81120</v>
      </c>
      <c r="N438" s="76">
        <f t="shared" si="69"/>
        <v>1560</v>
      </c>
      <c r="O438" s="76">
        <v>81120</v>
      </c>
      <c r="P438" s="65">
        <v>58040</v>
      </c>
      <c r="Q438" s="65">
        <f t="shared" si="64"/>
        <v>12768.8</v>
      </c>
      <c r="R438" s="65">
        <f t="shared" si="65"/>
        <v>70808.800000000003</v>
      </c>
      <c r="S438" s="272"/>
      <c r="T438" s="64">
        <v>23</v>
      </c>
      <c r="U438" s="270"/>
      <c r="V438" s="38">
        <v>66638</v>
      </c>
      <c r="W438" s="38">
        <f t="shared" si="66"/>
        <v>14660.36</v>
      </c>
      <c r="X438" s="38">
        <f t="shared" si="67"/>
        <v>81298.36</v>
      </c>
    </row>
    <row r="439" spans="1:24" ht="39.75" customHeight="1" x14ac:dyDescent="0.35">
      <c r="A439" s="56" t="s">
        <v>2663</v>
      </c>
      <c r="B439" s="2">
        <v>413</v>
      </c>
      <c r="C439" s="45">
        <v>10124540</v>
      </c>
      <c r="D439" s="40" t="s">
        <v>421</v>
      </c>
      <c r="E439" s="74" t="s">
        <v>2185</v>
      </c>
      <c r="F439" s="47">
        <v>2</v>
      </c>
      <c r="G439" s="64" t="s">
        <v>0</v>
      </c>
      <c r="H439" s="48" t="s">
        <v>500</v>
      </c>
      <c r="I439" s="63" t="s">
        <v>962</v>
      </c>
      <c r="J439" s="63" t="s">
        <v>1917</v>
      </c>
      <c r="K439" s="49" t="s">
        <v>421</v>
      </c>
      <c r="L439" s="88" t="s">
        <v>845</v>
      </c>
      <c r="M439" s="76">
        <f t="shared" si="68"/>
        <v>8527.7000000000007</v>
      </c>
      <c r="N439" s="76">
        <f t="shared" si="69"/>
        <v>4263.8500000000004</v>
      </c>
      <c r="O439" s="76">
        <v>8527.7000000000007</v>
      </c>
      <c r="P439" s="65">
        <v>5690</v>
      </c>
      <c r="Q439" s="65">
        <f t="shared" si="64"/>
        <v>1251.8</v>
      </c>
      <c r="R439" s="65">
        <f t="shared" si="65"/>
        <v>6941.8</v>
      </c>
      <c r="S439" s="272"/>
      <c r="T439" s="64">
        <v>23</v>
      </c>
      <c r="U439" s="270"/>
      <c r="V439" s="38">
        <v>6533</v>
      </c>
      <c r="W439" s="38">
        <f t="shared" si="66"/>
        <v>1437.26</v>
      </c>
      <c r="X439" s="38">
        <f t="shared" si="67"/>
        <v>7970.26</v>
      </c>
    </row>
    <row r="440" spans="1:24" ht="39.75" customHeight="1" x14ac:dyDescent="0.35">
      <c r="A440" s="56" t="s">
        <v>2664</v>
      </c>
      <c r="B440" s="2">
        <v>414</v>
      </c>
      <c r="C440" s="45">
        <v>10108570</v>
      </c>
      <c r="D440" s="40" t="s">
        <v>1077</v>
      </c>
      <c r="E440" s="74" t="s">
        <v>2185</v>
      </c>
      <c r="F440" s="47">
        <v>4</v>
      </c>
      <c r="G440" s="64" t="s">
        <v>0</v>
      </c>
      <c r="H440" s="48" t="s">
        <v>495</v>
      </c>
      <c r="I440" s="63" t="s">
        <v>962</v>
      </c>
      <c r="J440" s="63" t="s">
        <v>1917</v>
      </c>
      <c r="K440" s="49" t="s">
        <v>1077</v>
      </c>
      <c r="L440" s="88" t="s">
        <v>845</v>
      </c>
      <c r="M440" s="76">
        <f t="shared" si="68"/>
        <v>2560</v>
      </c>
      <c r="N440" s="76">
        <f t="shared" si="69"/>
        <v>640</v>
      </c>
      <c r="O440" s="76">
        <v>2560</v>
      </c>
      <c r="P440" s="65">
        <v>1830</v>
      </c>
      <c r="Q440" s="65">
        <f t="shared" si="64"/>
        <v>402.6</v>
      </c>
      <c r="R440" s="65">
        <f t="shared" si="65"/>
        <v>2232.6</v>
      </c>
      <c r="S440" s="272"/>
      <c r="T440" s="64">
        <v>23</v>
      </c>
      <c r="U440" s="270"/>
      <c r="V440" s="38">
        <v>2103</v>
      </c>
      <c r="W440" s="38">
        <f t="shared" si="66"/>
        <v>462.66</v>
      </c>
      <c r="X440" s="38">
        <f t="shared" si="67"/>
        <v>2565.66</v>
      </c>
    </row>
    <row r="441" spans="1:24" ht="39.75" customHeight="1" x14ac:dyDescent="0.35">
      <c r="A441" s="56" t="s">
        <v>2665</v>
      </c>
      <c r="B441" s="2">
        <v>415</v>
      </c>
      <c r="C441" s="45">
        <v>10110894</v>
      </c>
      <c r="D441" s="40" t="s">
        <v>1078</v>
      </c>
      <c r="E441" s="74" t="s">
        <v>2185</v>
      </c>
      <c r="F441" s="47">
        <v>119</v>
      </c>
      <c r="G441" s="64" t="s">
        <v>0</v>
      </c>
      <c r="H441" s="48" t="s">
        <v>500</v>
      </c>
      <c r="I441" s="63" t="s">
        <v>962</v>
      </c>
      <c r="J441" s="63" t="s">
        <v>1917</v>
      </c>
      <c r="K441" s="49" t="s">
        <v>1223</v>
      </c>
      <c r="L441" s="88" t="s">
        <v>845</v>
      </c>
      <c r="M441" s="76">
        <f t="shared" si="68"/>
        <v>106321.54</v>
      </c>
      <c r="N441" s="76">
        <f t="shared" si="69"/>
        <v>893.46</v>
      </c>
      <c r="O441" s="76">
        <v>106321.54</v>
      </c>
      <c r="P441" s="65">
        <v>70940</v>
      </c>
      <c r="Q441" s="65">
        <f t="shared" si="64"/>
        <v>15606.8</v>
      </c>
      <c r="R441" s="65">
        <f t="shared" si="65"/>
        <v>86546.8</v>
      </c>
      <c r="S441" s="272"/>
      <c r="T441" s="64">
        <v>23</v>
      </c>
      <c r="U441" s="270"/>
      <c r="V441" s="38">
        <v>81447</v>
      </c>
      <c r="W441" s="38">
        <f t="shared" si="66"/>
        <v>17918.34</v>
      </c>
      <c r="X441" s="38">
        <f t="shared" si="67"/>
        <v>99365.34</v>
      </c>
    </row>
    <row r="442" spans="1:24" ht="39.75" customHeight="1" x14ac:dyDescent="0.35">
      <c r="A442" s="56" t="s">
        <v>2666</v>
      </c>
      <c r="B442" s="2">
        <v>416</v>
      </c>
      <c r="C442" s="45">
        <v>10105985</v>
      </c>
      <c r="D442" s="40" t="s">
        <v>1079</v>
      </c>
      <c r="E442" s="74" t="s">
        <v>2185</v>
      </c>
      <c r="F442" s="47">
        <v>776</v>
      </c>
      <c r="G442" s="64" t="s">
        <v>0</v>
      </c>
      <c r="H442" s="48" t="s">
        <v>500</v>
      </c>
      <c r="I442" s="63" t="s">
        <v>962</v>
      </c>
      <c r="J442" s="63" t="s">
        <v>1917</v>
      </c>
      <c r="K442" s="49" t="s">
        <v>1224</v>
      </c>
      <c r="L442" s="88" t="s">
        <v>845</v>
      </c>
      <c r="M442" s="76">
        <f t="shared" si="68"/>
        <v>739502</v>
      </c>
      <c r="N442" s="76">
        <f t="shared" si="69"/>
        <v>952.97</v>
      </c>
      <c r="O442" s="76">
        <v>739502</v>
      </c>
      <c r="P442" s="65">
        <v>493410</v>
      </c>
      <c r="Q442" s="65">
        <f t="shared" si="64"/>
        <v>108550.2</v>
      </c>
      <c r="R442" s="65">
        <f t="shared" si="65"/>
        <v>601960.19999999995</v>
      </c>
      <c r="S442" s="272"/>
      <c r="T442" s="64">
        <v>23</v>
      </c>
      <c r="U442" s="270"/>
      <c r="V442" s="38">
        <v>566488</v>
      </c>
      <c r="W442" s="38">
        <f t="shared" si="66"/>
        <v>124627.36</v>
      </c>
      <c r="X442" s="38">
        <f t="shared" si="67"/>
        <v>691115.36</v>
      </c>
    </row>
    <row r="443" spans="1:24" ht="39.75" customHeight="1" x14ac:dyDescent="0.35">
      <c r="A443" s="56" t="s">
        <v>2667</v>
      </c>
      <c r="B443" s="2">
        <v>417</v>
      </c>
      <c r="C443" s="45">
        <v>10124459</v>
      </c>
      <c r="D443" s="40" t="s">
        <v>453</v>
      </c>
      <c r="E443" s="74" t="s">
        <v>2185</v>
      </c>
      <c r="F443" s="47">
        <v>5</v>
      </c>
      <c r="G443" s="64" t="s">
        <v>0</v>
      </c>
      <c r="H443" s="48" t="s">
        <v>499</v>
      </c>
      <c r="I443" s="63" t="s">
        <v>962</v>
      </c>
      <c r="J443" s="63" t="s">
        <v>1917</v>
      </c>
      <c r="K443" s="49" t="s">
        <v>453</v>
      </c>
      <c r="L443" s="88" t="s">
        <v>845</v>
      </c>
      <c r="M443" s="76">
        <f t="shared" si="68"/>
        <v>17322.349999999999</v>
      </c>
      <c r="N443" s="76">
        <f t="shared" si="69"/>
        <v>3464.47</v>
      </c>
      <c r="O443" s="76">
        <v>17322.349999999999</v>
      </c>
      <c r="P443" s="65">
        <v>11340</v>
      </c>
      <c r="Q443" s="65">
        <f t="shared" si="64"/>
        <v>2494.8000000000002</v>
      </c>
      <c r="R443" s="65">
        <f t="shared" si="65"/>
        <v>13834.8</v>
      </c>
      <c r="S443" s="272"/>
      <c r="T443" s="64">
        <v>23</v>
      </c>
      <c r="U443" s="270"/>
      <c r="V443" s="38">
        <v>13018</v>
      </c>
      <c r="W443" s="38">
        <f t="shared" si="66"/>
        <v>2863.96</v>
      </c>
      <c r="X443" s="38">
        <f t="shared" si="67"/>
        <v>15881.96</v>
      </c>
    </row>
    <row r="444" spans="1:24" ht="39.75" customHeight="1" x14ac:dyDescent="0.35">
      <c r="A444" s="56" t="s">
        <v>2668</v>
      </c>
      <c r="B444" s="2">
        <v>418</v>
      </c>
      <c r="C444" s="45">
        <v>10110512</v>
      </c>
      <c r="D444" s="40" t="s">
        <v>1080</v>
      </c>
      <c r="E444" s="74" t="s">
        <v>2185</v>
      </c>
      <c r="F444" s="47">
        <v>1</v>
      </c>
      <c r="G444" s="64" t="s">
        <v>0</v>
      </c>
      <c r="H444" s="48" t="s">
        <v>499</v>
      </c>
      <c r="I444" s="63" t="s">
        <v>962</v>
      </c>
      <c r="J444" s="63" t="s">
        <v>1917</v>
      </c>
      <c r="K444" s="49" t="s">
        <v>1080</v>
      </c>
      <c r="L444" s="88" t="s">
        <v>845</v>
      </c>
      <c r="M444" s="76">
        <f t="shared" si="68"/>
        <v>12870</v>
      </c>
      <c r="N444" s="76">
        <f t="shared" si="69"/>
        <v>12870</v>
      </c>
      <c r="O444" s="76">
        <v>12870</v>
      </c>
      <c r="P444" s="65">
        <v>8420</v>
      </c>
      <c r="Q444" s="65">
        <f t="shared" si="64"/>
        <v>1852.4</v>
      </c>
      <c r="R444" s="65">
        <f t="shared" si="65"/>
        <v>10272.4</v>
      </c>
      <c r="S444" s="272"/>
      <c r="T444" s="64">
        <v>23</v>
      </c>
      <c r="U444" s="270"/>
      <c r="V444" s="38">
        <v>9672</v>
      </c>
      <c r="W444" s="38">
        <f t="shared" si="66"/>
        <v>2127.84</v>
      </c>
      <c r="X444" s="38">
        <f t="shared" si="67"/>
        <v>11799.84</v>
      </c>
    </row>
    <row r="445" spans="1:24" ht="39.75" customHeight="1" x14ac:dyDescent="0.35">
      <c r="A445" s="56" t="s">
        <v>2669</v>
      </c>
      <c r="B445" s="2">
        <v>419</v>
      </c>
      <c r="C445" s="45">
        <v>10110920</v>
      </c>
      <c r="D445" s="40" t="s">
        <v>1081</v>
      </c>
      <c r="E445" s="74" t="s">
        <v>2185</v>
      </c>
      <c r="F445" s="47">
        <v>1684</v>
      </c>
      <c r="G445" s="64" t="s">
        <v>0</v>
      </c>
      <c r="H445" s="48" t="s">
        <v>500</v>
      </c>
      <c r="I445" s="63" t="s">
        <v>962</v>
      </c>
      <c r="J445" s="63" t="s">
        <v>1917</v>
      </c>
      <c r="K445" s="49" t="s">
        <v>1081</v>
      </c>
      <c r="L445" s="88" t="s">
        <v>845</v>
      </c>
      <c r="M445" s="76">
        <f t="shared" si="68"/>
        <v>1943759.27</v>
      </c>
      <c r="N445" s="76">
        <f t="shared" si="69"/>
        <v>1154.25</v>
      </c>
      <c r="O445" s="76">
        <v>1943759.27</v>
      </c>
      <c r="P445" s="65">
        <v>1296920</v>
      </c>
      <c r="Q445" s="65">
        <f t="shared" si="64"/>
        <v>285322.40000000002</v>
      </c>
      <c r="R445" s="65">
        <f t="shared" si="65"/>
        <v>1582242.4</v>
      </c>
      <c r="S445" s="272"/>
      <c r="T445" s="64">
        <v>23</v>
      </c>
      <c r="U445" s="270"/>
      <c r="V445" s="38">
        <v>1488997</v>
      </c>
      <c r="W445" s="38">
        <f t="shared" si="66"/>
        <v>327579.34000000003</v>
      </c>
      <c r="X445" s="38">
        <f t="shared" si="67"/>
        <v>1816576.34</v>
      </c>
    </row>
    <row r="446" spans="1:24" ht="39.75" customHeight="1" x14ac:dyDescent="0.35">
      <c r="A446" s="56" t="s">
        <v>2670</v>
      </c>
      <c r="B446" s="2">
        <v>420</v>
      </c>
      <c r="C446" s="45">
        <v>10125265</v>
      </c>
      <c r="D446" s="40" t="s">
        <v>476</v>
      </c>
      <c r="E446" s="74" t="s">
        <v>2185</v>
      </c>
      <c r="F446" s="47">
        <v>17</v>
      </c>
      <c r="G446" s="64" t="s">
        <v>0</v>
      </c>
      <c r="H446" s="48" t="s">
        <v>499</v>
      </c>
      <c r="I446" s="63" t="s">
        <v>962</v>
      </c>
      <c r="J446" s="42" t="s">
        <v>2232</v>
      </c>
      <c r="K446" s="49" t="s">
        <v>476</v>
      </c>
      <c r="L446" s="88" t="s">
        <v>845</v>
      </c>
      <c r="M446" s="76">
        <f t="shared" si="68"/>
        <v>21624</v>
      </c>
      <c r="N446" s="76">
        <f t="shared" si="69"/>
        <v>1272</v>
      </c>
      <c r="O446" s="76">
        <v>21624</v>
      </c>
      <c r="P446" s="65">
        <v>14150</v>
      </c>
      <c r="Q446" s="65">
        <f t="shared" si="64"/>
        <v>3113</v>
      </c>
      <c r="R446" s="65">
        <f t="shared" si="65"/>
        <v>17263</v>
      </c>
      <c r="S446" s="272"/>
      <c r="T446" s="64">
        <v>23</v>
      </c>
      <c r="U446" s="270"/>
      <c r="V446" s="38">
        <v>16251</v>
      </c>
      <c r="W446" s="38">
        <f t="shared" si="66"/>
        <v>3575.22</v>
      </c>
      <c r="X446" s="38">
        <f t="shared" si="67"/>
        <v>19826.22</v>
      </c>
    </row>
    <row r="447" spans="1:24" ht="39.75" customHeight="1" x14ac:dyDescent="0.35">
      <c r="A447" s="56" t="s">
        <v>2671</v>
      </c>
      <c r="B447" s="2">
        <v>421</v>
      </c>
      <c r="C447" s="45">
        <v>10120490</v>
      </c>
      <c r="D447" s="40" t="s">
        <v>1097</v>
      </c>
      <c r="E447" s="74" t="s">
        <v>2185</v>
      </c>
      <c r="F447" s="47">
        <v>20</v>
      </c>
      <c r="G447" s="64" t="s">
        <v>0</v>
      </c>
      <c r="H447" s="48" t="s">
        <v>500</v>
      </c>
      <c r="I447" s="63" t="s">
        <v>962</v>
      </c>
      <c r="J447" s="63" t="s">
        <v>1917</v>
      </c>
      <c r="K447" s="49" t="s">
        <v>1236</v>
      </c>
      <c r="L447" s="88" t="s">
        <v>845</v>
      </c>
      <c r="M447" s="76">
        <f t="shared" si="68"/>
        <v>10.17</v>
      </c>
      <c r="N447" s="76">
        <f t="shared" si="69"/>
        <v>0.51</v>
      </c>
      <c r="O447" s="76">
        <v>10.17</v>
      </c>
      <c r="P447" s="65">
        <v>10</v>
      </c>
      <c r="Q447" s="65">
        <f t="shared" si="64"/>
        <v>2.2000000000000002</v>
      </c>
      <c r="R447" s="65">
        <f t="shared" si="65"/>
        <v>12.2</v>
      </c>
      <c r="S447" s="272"/>
      <c r="T447" s="64">
        <v>23</v>
      </c>
      <c r="U447" s="270"/>
      <c r="V447" s="38">
        <v>8</v>
      </c>
      <c r="W447" s="38">
        <f t="shared" si="66"/>
        <v>1.76</v>
      </c>
      <c r="X447" s="38">
        <f t="shared" si="67"/>
        <v>9.76</v>
      </c>
    </row>
    <row r="448" spans="1:24" ht="39.75" customHeight="1" x14ac:dyDescent="0.35">
      <c r="A448" s="56" t="s">
        <v>2672</v>
      </c>
      <c r="B448" s="2">
        <v>422</v>
      </c>
      <c r="C448" s="45">
        <v>10120500</v>
      </c>
      <c r="D448" s="40" t="s">
        <v>1098</v>
      </c>
      <c r="E448" s="74" t="s">
        <v>2185</v>
      </c>
      <c r="F448" s="47">
        <v>318</v>
      </c>
      <c r="G448" s="64" t="s">
        <v>0</v>
      </c>
      <c r="H448" s="48" t="s">
        <v>500</v>
      </c>
      <c r="I448" s="63" t="s">
        <v>962</v>
      </c>
      <c r="J448" s="63" t="s">
        <v>1917</v>
      </c>
      <c r="K448" s="49" t="s">
        <v>1237</v>
      </c>
      <c r="L448" s="88" t="s">
        <v>845</v>
      </c>
      <c r="M448" s="76">
        <f t="shared" si="68"/>
        <v>159</v>
      </c>
      <c r="N448" s="76">
        <f t="shared" si="69"/>
        <v>0.5</v>
      </c>
      <c r="O448" s="76">
        <v>159</v>
      </c>
      <c r="P448" s="65">
        <v>110</v>
      </c>
      <c r="Q448" s="65">
        <f t="shared" ref="Q448:Q511" si="70">P448*0.22</f>
        <v>24.2</v>
      </c>
      <c r="R448" s="65">
        <f t="shared" ref="R448:R511" si="71">P448+Q448</f>
        <v>134.19999999999999</v>
      </c>
      <c r="S448" s="272"/>
      <c r="T448" s="64">
        <v>23</v>
      </c>
      <c r="U448" s="270"/>
      <c r="V448" s="38">
        <v>122</v>
      </c>
      <c r="W448" s="38">
        <f t="shared" ref="W448:W511" si="72">V448*0.22</f>
        <v>26.84</v>
      </c>
      <c r="X448" s="38">
        <f t="shared" si="67"/>
        <v>148.84</v>
      </c>
    </row>
    <row r="449" spans="1:24" ht="39.75" customHeight="1" x14ac:dyDescent="0.35">
      <c r="A449" s="56" t="s">
        <v>2673</v>
      </c>
      <c r="B449" s="2">
        <v>423</v>
      </c>
      <c r="C449" s="45">
        <v>10120482</v>
      </c>
      <c r="D449" s="40" t="s">
        <v>1099</v>
      </c>
      <c r="E449" s="74" t="s">
        <v>2185</v>
      </c>
      <c r="F449" s="47">
        <v>288</v>
      </c>
      <c r="G449" s="64" t="s">
        <v>0</v>
      </c>
      <c r="H449" s="48" t="s">
        <v>500</v>
      </c>
      <c r="I449" s="63" t="s">
        <v>962</v>
      </c>
      <c r="J449" s="63" t="s">
        <v>1917</v>
      </c>
      <c r="K449" s="49" t="s">
        <v>1238</v>
      </c>
      <c r="L449" s="88" t="s">
        <v>845</v>
      </c>
      <c r="M449" s="76">
        <f t="shared" si="68"/>
        <v>139.13</v>
      </c>
      <c r="N449" s="76">
        <f t="shared" si="69"/>
        <v>0.48</v>
      </c>
      <c r="O449" s="76">
        <v>139.13</v>
      </c>
      <c r="P449" s="65">
        <v>90</v>
      </c>
      <c r="Q449" s="65">
        <f t="shared" si="70"/>
        <v>19.8</v>
      </c>
      <c r="R449" s="65">
        <f t="shared" si="71"/>
        <v>109.8</v>
      </c>
      <c r="S449" s="272"/>
      <c r="T449" s="64">
        <v>23</v>
      </c>
      <c r="U449" s="270"/>
      <c r="V449" s="38">
        <v>107</v>
      </c>
      <c r="W449" s="38">
        <f t="shared" si="72"/>
        <v>23.54</v>
      </c>
      <c r="X449" s="38">
        <f t="shared" si="67"/>
        <v>130.54</v>
      </c>
    </row>
    <row r="450" spans="1:24" ht="39.75" customHeight="1" x14ac:dyDescent="0.35">
      <c r="A450" s="56" t="s">
        <v>2674</v>
      </c>
      <c r="B450" s="2">
        <v>424</v>
      </c>
      <c r="C450" s="45">
        <v>10120483</v>
      </c>
      <c r="D450" s="40" t="s">
        <v>1100</v>
      </c>
      <c r="E450" s="74" t="s">
        <v>2185</v>
      </c>
      <c r="F450" s="47">
        <v>323</v>
      </c>
      <c r="G450" s="64" t="s">
        <v>0</v>
      </c>
      <c r="H450" s="48" t="s">
        <v>500</v>
      </c>
      <c r="I450" s="63" t="s">
        <v>962</v>
      </c>
      <c r="J450" s="63" t="s">
        <v>1917</v>
      </c>
      <c r="K450" s="49" t="s">
        <v>1239</v>
      </c>
      <c r="L450" s="88" t="s">
        <v>845</v>
      </c>
      <c r="M450" s="76">
        <f t="shared" si="68"/>
        <v>156.03</v>
      </c>
      <c r="N450" s="76">
        <f t="shared" si="69"/>
        <v>0.48</v>
      </c>
      <c r="O450" s="76">
        <v>156.03</v>
      </c>
      <c r="P450" s="65">
        <v>100</v>
      </c>
      <c r="Q450" s="65">
        <f t="shared" si="70"/>
        <v>22</v>
      </c>
      <c r="R450" s="65">
        <f t="shared" si="71"/>
        <v>122</v>
      </c>
      <c r="S450" s="272"/>
      <c r="T450" s="64">
        <v>23</v>
      </c>
      <c r="U450" s="270"/>
      <c r="V450" s="38">
        <v>120</v>
      </c>
      <c r="W450" s="38">
        <f t="shared" si="72"/>
        <v>26.4</v>
      </c>
      <c r="X450" s="38">
        <f t="shared" ref="X450:X513" si="73">V450+W450</f>
        <v>146.4</v>
      </c>
    </row>
    <row r="451" spans="1:24" ht="39.75" customHeight="1" x14ac:dyDescent="0.35">
      <c r="A451" s="56" t="s">
        <v>2675</v>
      </c>
      <c r="B451" s="2">
        <v>425</v>
      </c>
      <c r="C451" s="45">
        <v>10120480</v>
      </c>
      <c r="D451" s="40" t="s">
        <v>1101</v>
      </c>
      <c r="E451" s="74" t="s">
        <v>2185</v>
      </c>
      <c r="F451" s="47">
        <v>111</v>
      </c>
      <c r="G451" s="64" t="s">
        <v>0</v>
      </c>
      <c r="H451" s="48" t="s">
        <v>500</v>
      </c>
      <c r="I451" s="63" t="s">
        <v>962</v>
      </c>
      <c r="J451" s="63" t="s">
        <v>1917</v>
      </c>
      <c r="K451" s="49" t="s">
        <v>1240</v>
      </c>
      <c r="L451" s="88" t="s">
        <v>845</v>
      </c>
      <c r="M451" s="76">
        <f t="shared" si="68"/>
        <v>53.62</v>
      </c>
      <c r="N451" s="76">
        <f t="shared" si="69"/>
        <v>0.48</v>
      </c>
      <c r="O451" s="76">
        <v>53.62</v>
      </c>
      <c r="P451" s="65">
        <v>40</v>
      </c>
      <c r="Q451" s="65">
        <f t="shared" si="70"/>
        <v>8.8000000000000007</v>
      </c>
      <c r="R451" s="65">
        <f t="shared" si="71"/>
        <v>48.8</v>
      </c>
      <c r="S451" s="272"/>
      <c r="T451" s="64">
        <v>23</v>
      </c>
      <c r="U451" s="270"/>
      <c r="V451" s="38">
        <v>41</v>
      </c>
      <c r="W451" s="38">
        <f t="shared" si="72"/>
        <v>9.02</v>
      </c>
      <c r="X451" s="38">
        <f t="shared" si="73"/>
        <v>50.02</v>
      </c>
    </row>
    <row r="452" spans="1:24" ht="39.75" customHeight="1" x14ac:dyDescent="0.35">
      <c r="A452" s="56" t="s">
        <v>2676</v>
      </c>
      <c r="B452" s="2">
        <v>426</v>
      </c>
      <c r="C452" s="45">
        <v>10120407</v>
      </c>
      <c r="D452" s="40" t="s">
        <v>1102</v>
      </c>
      <c r="E452" s="74" t="s">
        <v>2185</v>
      </c>
      <c r="F452" s="47">
        <v>138</v>
      </c>
      <c r="G452" s="64" t="s">
        <v>0</v>
      </c>
      <c r="H452" s="48" t="s">
        <v>500</v>
      </c>
      <c r="I452" s="63" t="s">
        <v>962</v>
      </c>
      <c r="J452" s="63" t="s">
        <v>1917</v>
      </c>
      <c r="K452" s="49" t="s">
        <v>1241</v>
      </c>
      <c r="L452" s="88" t="s">
        <v>845</v>
      </c>
      <c r="M452" s="76">
        <f t="shared" si="68"/>
        <v>126.29</v>
      </c>
      <c r="N452" s="76">
        <f t="shared" si="69"/>
        <v>0.92</v>
      </c>
      <c r="O452" s="76">
        <v>126.29</v>
      </c>
      <c r="P452" s="65">
        <v>80</v>
      </c>
      <c r="Q452" s="65">
        <f t="shared" si="70"/>
        <v>17.600000000000001</v>
      </c>
      <c r="R452" s="65">
        <f t="shared" si="71"/>
        <v>97.6</v>
      </c>
      <c r="S452" s="272"/>
      <c r="T452" s="64">
        <v>23</v>
      </c>
      <c r="U452" s="270"/>
      <c r="V452" s="38">
        <v>97</v>
      </c>
      <c r="W452" s="38">
        <f t="shared" si="72"/>
        <v>21.34</v>
      </c>
      <c r="X452" s="38">
        <f t="shared" si="73"/>
        <v>118.34</v>
      </c>
    </row>
    <row r="453" spans="1:24" ht="30" customHeight="1" x14ac:dyDescent="0.35">
      <c r="A453" s="56" t="s">
        <v>2677</v>
      </c>
      <c r="B453" s="2">
        <v>427</v>
      </c>
      <c r="C453" s="89">
        <v>10107075</v>
      </c>
      <c r="D453" s="106" t="s">
        <v>1322</v>
      </c>
      <c r="E453" s="74" t="s">
        <v>1320</v>
      </c>
      <c r="F453" s="141">
        <f>22-6</f>
        <v>16</v>
      </c>
      <c r="G453" s="64" t="s">
        <v>0</v>
      </c>
      <c r="H453" s="64">
        <v>2014</v>
      </c>
      <c r="I453" s="92" t="s">
        <v>1318</v>
      </c>
      <c r="J453" s="63" t="s">
        <v>1917</v>
      </c>
      <c r="K453" s="108" t="s">
        <v>1324</v>
      </c>
      <c r="L453" s="88" t="s">
        <v>845</v>
      </c>
      <c r="M453" s="76">
        <f t="shared" si="68"/>
        <v>25200</v>
      </c>
      <c r="N453" s="76">
        <f t="shared" si="69"/>
        <v>1575</v>
      </c>
      <c r="O453" s="76">
        <f>34650/22*16</f>
        <v>25200</v>
      </c>
      <c r="P453" s="65">
        <v>16190</v>
      </c>
      <c r="Q453" s="65">
        <f t="shared" si="70"/>
        <v>3561.8</v>
      </c>
      <c r="R453" s="65">
        <f t="shared" si="71"/>
        <v>19751.8</v>
      </c>
      <c r="S453" s="272"/>
      <c r="T453" s="64">
        <v>23</v>
      </c>
      <c r="U453" s="270"/>
      <c r="V453" s="38">
        <v>18583</v>
      </c>
      <c r="W453" s="38">
        <f t="shared" si="72"/>
        <v>4088.26</v>
      </c>
      <c r="X453" s="38">
        <f t="shared" si="73"/>
        <v>22671.26</v>
      </c>
    </row>
    <row r="454" spans="1:24" ht="30" customHeight="1" x14ac:dyDescent="0.35">
      <c r="A454" s="56" t="s">
        <v>2678</v>
      </c>
      <c r="B454" s="2">
        <v>428</v>
      </c>
      <c r="C454" s="74">
        <v>10107220</v>
      </c>
      <c r="D454" s="74" t="s">
        <v>2119</v>
      </c>
      <c r="E454" s="74" t="s">
        <v>2147</v>
      </c>
      <c r="F454" s="75">
        <v>52</v>
      </c>
      <c r="G454" s="64" t="s">
        <v>0</v>
      </c>
      <c r="H454" s="64">
        <v>2006</v>
      </c>
      <c r="I454" s="105" t="s">
        <v>972</v>
      </c>
      <c r="J454" s="63" t="s">
        <v>1917</v>
      </c>
      <c r="K454" s="63" t="s">
        <v>961</v>
      </c>
      <c r="L454" s="61" t="s">
        <v>845</v>
      </c>
      <c r="M454" s="65">
        <f t="shared" si="68"/>
        <v>466555.44</v>
      </c>
      <c r="N454" s="65">
        <f t="shared" si="69"/>
        <v>8972.2199999999993</v>
      </c>
      <c r="O454" s="65">
        <v>466555.44</v>
      </c>
      <c r="P454" s="65">
        <v>451300</v>
      </c>
      <c r="Q454" s="65">
        <f t="shared" si="70"/>
        <v>99286</v>
      </c>
      <c r="R454" s="65">
        <f t="shared" si="71"/>
        <v>550586</v>
      </c>
      <c r="S454" s="272"/>
      <c r="T454" s="64">
        <v>23</v>
      </c>
      <c r="U454" s="270"/>
      <c r="V454" s="38">
        <v>518138</v>
      </c>
      <c r="W454" s="38">
        <f t="shared" si="72"/>
        <v>113990.36</v>
      </c>
      <c r="X454" s="38">
        <f t="shared" si="73"/>
        <v>632128.36</v>
      </c>
    </row>
    <row r="455" spans="1:24" ht="30" customHeight="1" x14ac:dyDescent="0.35">
      <c r="A455" s="56" t="s">
        <v>2679</v>
      </c>
      <c r="B455" s="2">
        <v>429</v>
      </c>
      <c r="C455" s="74">
        <v>10020148</v>
      </c>
      <c r="D455" s="74" t="s">
        <v>2132</v>
      </c>
      <c r="E455" s="74" t="s">
        <v>2147</v>
      </c>
      <c r="F455" s="75">
        <v>10</v>
      </c>
      <c r="G455" s="64" t="s">
        <v>0</v>
      </c>
      <c r="H455" s="64">
        <v>2006</v>
      </c>
      <c r="I455" s="105" t="s">
        <v>972</v>
      </c>
      <c r="J455" s="63" t="s">
        <v>1917</v>
      </c>
      <c r="K455" s="63" t="s">
        <v>961</v>
      </c>
      <c r="L455" s="61" t="s">
        <v>845</v>
      </c>
      <c r="M455" s="65">
        <f t="shared" si="68"/>
        <v>1776.1</v>
      </c>
      <c r="N455" s="65">
        <f t="shared" si="69"/>
        <v>177.61</v>
      </c>
      <c r="O455" s="65">
        <v>1776.1</v>
      </c>
      <c r="P455" s="65">
        <v>1720</v>
      </c>
      <c r="Q455" s="65">
        <f t="shared" si="70"/>
        <v>378.4</v>
      </c>
      <c r="R455" s="65">
        <f t="shared" si="71"/>
        <v>2098.4</v>
      </c>
      <c r="S455" s="272"/>
      <c r="T455" s="64">
        <v>23</v>
      </c>
      <c r="U455" s="270"/>
      <c r="V455" s="38">
        <v>1972</v>
      </c>
      <c r="W455" s="38">
        <f t="shared" si="72"/>
        <v>433.84</v>
      </c>
      <c r="X455" s="38">
        <f t="shared" si="73"/>
        <v>2405.84</v>
      </c>
    </row>
    <row r="456" spans="1:24" ht="30" customHeight="1" x14ac:dyDescent="0.35">
      <c r="A456" s="56" t="s">
        <v>2680</v>
      </c>
      <c r="B456" s="2">
        <v>430</v>
      </c>
      <c r="C456" s="77">
        <v>10009560</v>
      </c>
      <c r="D456" s="74" t="s">
        <v>36</v>
      </c>
      <c r="E456" s="59" t="s">
        <v>2167</v>
      </c>
      <c r="F456" s="75">
        <v>2</v>
      </c>
      <c r="G456" s="64" t="s">
        <v>0</v>
      </c>
      <c r="H456" s="61">
        <v>41633</v>
      </c>
      <c r="I456" s="4" t="s">
        <v>957</v>
      </c>
      <c r="J456" s="88" t="s">
        <v>2238</v>
      </c>
      <c r="K456" s="61" t="s">
        <v>1985</v>
      </c>
      <c r="L456" s="61" t="s">
        <v>2097</v>
      </c>
      <c r="M456" s="65">
        <f t="shared" si="68"/>
        <v>1024.8</v>
      </c>
      <c r="N456" s="65">
        <f t="shared" si="69"/>
        <v>512.4</v>
      </c>
      <c r="O456" s="65">
        <v>1024.8</v>
      </c>
      <c r="P456" s="65">
        <v>970</v>
      </c>
      <c r="Q456" s="65">
        <f t="shared" si="70"/>
        <v>213.4</v>
      </c>
      <c r="R456" s="65">
        <f t="shared" si="71"/>
        <v>1183.4000000000001</v>
      </c>
      <c r="S456" s="276"/>
      <c r="T456" s="64">
        <v>23</v>
      </c>
      <c r="U456" s="270"/>
      <c r="V456" s="38">
        <v>1119</v>
      </c>
      <c r="W456" s="38">
        <f t="shared" si="72"/>
        <v>246.18</v>
      </c>
      <c r="X456" s="38">
        <f t="shared" si="73"/>
        <v>1365.18</v>
      </c>
    </row>
    <row r="457" spans="1:24" ht="15" customHeight="1" x14ac:dyDescent="0.35">
      <c r="A457" s="56"/>
      <c r="B457" s="15"/>
      <c r="C457" s="77"/>
      <c r="D457" s="74"/>
      <c r="E457" s="74"/>
      <c r="F457" s="75"/>
      <c r="G457" s="64"/>
      <c r="H457" s="61"/>
      <c r="I457" s="4"/>
      <c r="J457" s="88"/>
      <c r="K457" s="61"/>
      <c r="L457" s="61"/>
      <c r="M457" s="65"/>
      <c r="N457" s="65"/>
      <c r="O457" s="126">
        <f>SUM(O367:O456)</f>
        <v>15515838.369999999</v>
      </c>
      <c r="P457" s="126">
        <f t="shared" ref="P457:R457" si="74">SUM(P367:P456)</f>
        <v>10510650</v>
      </c>
      <c r="Q457" s="126">
        <f t="shared" si="74"/>
        <v>2312343</v>
      </c>
      <c r="R457" s="126">
        <f t="shared" si="74"/>
        <v>12822993</v>
      </c>
      <c r="S457" s="72">
        <f>R457/100*10</f>
        <v>1282299.3</v>
      </c>
      <c r="T457" s="73">
        <v>23</v>
      </c>
      <c r="U457" s="275"/>
      <c r="V457" s="38"/>
      <c r="W457" s="38"/>
      <c r="X457" s="38"/>
    </row>
    <row r="458" spans="1:24" ht="30" customHeight="1" x14ac:dyDescent="0.35">
      <c r="A458" s="56" t="s">
        <v>2681</v>
      </c>
      <c r="B458" s="2">
        <v>431</v>
      </c>
      <c r="C458" s="77">
        <v>10007562</v>
      </c>
      <c r="D458" s="74" t="s">
        <v>1601</v>
      </c>
      <c r="E458" s="59" t="s">
        <v>2167</v>
      </c>
      <c r="F458" s="75">
        <v>1</v>
      </c>
      <c r="G458" s="64" t="s">
        <v>0</v>
      </c>
      <c r="H458" s="78">
        <v>41431</v>
      </c>
      <c r="I458" s="4" t="s">
        <v>957</v>
      </c>
      <c r="J458" s="63" t="s">
        <v>1917</v>
      </c>
      <c r="K458" s="63" t="s">
        <v>961</v>
      </c>
      <c r="L458" s="69" t="s">
        <v>950</v>
      </c>
      <c r="M458" s="70">
        <f t="shared" si="68"/>
        <v>6048.35</v>
      </c>
      <c r="N458" s="70">
        <f>O458/F458</f>
        <v>6048.35</v>
      </c>
      <c r="O458" s="70">
        <v>6048.35</v>
      </c>
      <c r="P458" s="65">
        <v>11340</v>
      </c>
      <c r="Q458" s="65">
        <f t="shared" si="70"/>
        <v>2494.8000000000002</v>
      </c>
      <c r="R458" s="65">
        <f t="shared" si="71"/>
        <v>13834.8</v>
      </c>
      <c r="S458" s="125"/>
      <c r="T458" s="64">
        <v>24</v>
      </c>
      <c r="U458" s="273" t="s">
        <v>2261</v>
      </c>
      <c r="V458" s="38">
        <v>11339</v>
      </c>
      <c r="W458" s="38">
        <f t="shared" si="72"/>
        <v>2494.58</v>
      </c>
      <c r="X458" s="38">
        <f t="shared" si="73"/>
        <v>13833.58</v>
      </c>
    </row>
    <row r="459" spans="1:24" ht="15" customHeight="1" x14ac:dyDescent="0.35">
      <c r="A459" s="56"/>
      <c r="B459" s="15"/>
      <c r="C459" s="77"/>
      <c r="D459" s="74"/>
      <c r="E459" s="74"/>
      <c r="F459" s="75"/>
      <c r="G459" s="64"/>
      <c r="H459" s="78"/>
      <c r="I459" s="4"/>
      <c r="J459" s="63"/>
      <c r="K459" s="63"/>
      <c r="L459" s="69"/>
      <c r="M459" s="70"/>
      <c r="N459" s="70"/>
      <c r="O459" s="71">
        <f>O458</f>
        <v>6048.35</v>
      </c>
      <c r="P459" s="71">
        <f t="shared" ref="P459:R459" si="75">P458</f>
        <v>11340</v>
      </c>
      <c r="Q459" s="71">
        <f t="shared" si="75"/>
        <v>2494.8000000000002</v>
      </c>
      <c r="R459" s="71">
        <f t="shared" si="75"/>
        <v>13834.8</v>
      </c>
      <c r="S459" s="72">
        <f>R459/100*10</f>
        <v>1383.48</v>
      </c>
      <c r="T459" s="73">
        <v>24</v>
      </c>
      <c r="U459" s="275"/>
      <c r="V459" s="38"/>
      <c r="W459" s="38"/>
      <c r="X459" s="38"/>
    </row>
    <row r="460" spans="1:24" ht="30" customHeight="1" x14ac:dyDescent="0.35">
      <c r="A460" s="56" t="s">
        <v>2682</v>
      </c>
      <c r="B460" s="2">
        <v>432</v>
      </c>
      <c r="C460" s="77">
        <v>10040653</v>
      </c>
      <c r="D460" s="74" t="s">
        <v>1449</v>
      </c>
      <c r="E460" s="59" t="s">
        <v>2167</v>
      </c>
      <c r="F460" s="75">
        <v>123</v>
      </c>
      <c r="G460" s="64" t="s">
        <v>0</v>
      </c>
      <c r="H460" s="78">
        <v>41375</v>
      </c>
      <c r="I460" s="4" t="s">
        <v>957</v>
      </c>
      <c r="J460" s="63" t="s">
        <v>1917</v>
      </c>
      <c r="K460" s="63" t="s">
        <v>961</v>
      </c>
      <c r="L460" s="69" t="s">
        <v>950</v>
      </c>
      <c r="M460" s="70">
        <f t="shared" si="68"/>
        <v>46502.12</v>
      </c>
      <c r="N460" s="70">
        <f t="shared" ref="N460:N479" si="76">O460/F460</f>
        <v>378.07</v>
      </c>
      <c r="O460" s="70">
        <v>46502.12</v>
      </c>
      <c r="P460" s="65">
        <v>97460</v>
      </c>
      <c r="Q460" s="65">
        <f t="shared" si="70"/>
        <v>21441.200000000001</v>
      </c>
      <c r="R460" s="65">
        <f t="shared" si="71"/>
        <v>118901.2</v>
      </c>
      <c r="S460" s="267"/>
      <c r="T460" s="64">
        <v>25</v>
      </c>
      <c r="U460" s="273" t="s">
        <v>2262</v>
      </c>
      <c r="V460" s="38">
        <v>108889</v>
      </c>
      <c r="W460" s="38">
        <f t="shared" si="72"/>
        <v>23955.58</v>
      </c>
      <c r="X460" s="38">
        <f t="shared" si="73"/>
        <v>132844.57999999999</v>
      </c>
    </row>
    <row r="461" spans="1:24" ht="26.25" customHeight="1" x14ac:dyDescent="0.35">
      <c r="A461" s="56" t="s">
        <v>2683</v>
      </c>
      <c r="B461" s="2">
        <v>433</v>
      </c>
      <c r="C461" s="77">
        <v>10019925</v>
      </c>
      <c r="D461" s="74" t="s">
        <v>1450</v>
      </c>
      <c r="E461" s="59" t="s">
        <v>2167</v>
      </c>
      <c r="F461" s="75">
        <v>9</v>
      </c>
      <c r="G461" s="64" t="s">
        <v>0</v>
      </c>
      <c r="H461" s="78">
        <v>41375</v>
      </c>
      <c r="I461" s="4" t="s">
        <v>957</v>
      </c>
      <c r="J461" s="63" t="s">
        <v>1917</v>
      </c>
      <c r="K461" s="63" t="s">
        <v>961</v>
      </c>
      <c r="L461" s="69" t="s">
        <v>950</v>
      </c>
      <c r="M461" s="70">
        <f t="shared" si="68"/>
        <v>25173.9</v>
      </c>
      <c r="N461" s="70">
        <f t="shared" si="76"/>
        <v>2797.1</v>
      </c>
      <c r="O461" s="70">
        <v>25173.9</v>
      </c>
      <c r="P461" s="65">
        <v>52760</v>
      </c>
      <c r="Q461" s="65">
        <f t="shared" si="70"/>
        <v>11607.2</v>
      </c>
      <c r="R461" s="65">
        <f t="shared" si="71"/>
        <v>64367.199999999997</v>
      </c>
      <c r="S461" s="272"/>
      <c r="T461" s="64">
        <v>25</v>
      </c>
      <c r="U461" s="274"/>
      <c r="V461" s="38">
        <v>58947</v>
      </c>
      <c r="W461" s="38">
        <f t="shared" si="72"/>
        <v>12968.34</v>
      </c>
      <c r="X461" s="38">
        <f t="shared" si="73"/>
        <v>71915.34</v>
      </c>
    </row>
    <row r="462" spans="1:24" ht="24" customHeight="1" x14ac:dyDescent="0.35">
      <c r="A462" s="56" t="s">
        <v>2684</v>
      </c>
      <c r="B462" s="2">
        <v>434</v>
      </c>
      <c r="C462" s="77">
        <v>10040654</v>
      </c>
      <c r="D462" s="74" t="s">
        <v>1451</v>
      </c>
      <c r="E462" s="59" t="s">
        <v>2167</v>
      </c>
      <c r="F462" s="75">
        <v>13</v>
      </c>
      <c r="G462" s="64" t="s">
        <v>0</v>
      </c>
      <c r="H462" s="78">
        <v>41375</v>
      </c>
      <c r="I462" s="4" t="s">
        <v>957</v>
      </c>
      <c r="J462" s="63" t="s">
        <v>1917</v>
      </c>
      <c r="K462" s="63" t="s">
        <v>961</v>
      </c>
      <c r="L462" s="69" t="s">
        <v>950</v>
      </c>
      <c r="M462" s="70">
        <f t="shared" si="68"/>
        <v>5252.09</v>
      </c>
      <c r="N462" s="70">
        <f t="shared" si="76"/>
        <v>404.01</v>
      </c>
      <c r="O462" s="70">
        <v>5252.09</v>
      </c>
      <c r="P462" s="65">
        <v>11010</v>
      </c>
      <c r="Q462" s="65">
        <f t="shared" si="70"/>
        <v>2422.1999999999998</v>
      </c>
      <c r="R462" s="65">
        <f t="shared" si="71"/>
        <v>13432.2</v>
      </c>
      <c r="S462" s="272"/>
      <c r="T462" s="64">
        <v>25</v>
      </c>
      <c r="U462" s="274"/>
      <c r="V462" s="38">
        <v>12298</v>
      </c>
      <c r="W462" s="38">
        <f t="shared" si="72"/>
        <v>2705.56</v>
      </c>
      <c r="X462" s="38">
        <f t="shared" si="73"/>
        <v>15003.56</v>
      </c>
    </row>
    <row r="463" spans="1:24" ht="30" customHeight="1" x14ac:dyDescent="0.35">
      <c r="A463" s="56" t="s">
        <v>2685</v>
      </c>
      <c r="B463" s="2">
        <v>435</v>
      </c>
      <c r="C463" s="77">
        <v>10040655</v>
      </c>
      <c r="D463" s="74" t="s">
        <v>1452</v>
      </c>
      <c r="E463" s="59" t="s">
        <v>2167</v>
      </c>
      <c r="F463" s="75">
        <v>42</v>
      </c>
      <c r="G463" s="64" t="s">
        <v>0</v>
      </c>
      <c r="H463" s="78">
        <v>40224</v>
      </c>
      <c r="I463" s="4" t="s">
        <v>957</v>
      </c>
      <c r="J463" s="63" t="s">
        <v>1917</v>
      </c>
      <c r="K463" s="63" t="s">
        <v>961</v>
      </c>
      <c r="L463" s="69" t="s">
        <v>950</v>
      </c>
      <c r="M463" s="70">
        <f t="shared" si="68"/>
        <v>18152.78</v>
      </c>
      <c r="N463" s="70">
        <f t="shared" si="76"/>
        <v>432.21</v>
      </c>
      <c r="O463" s="70">
        <v>18152.78</v>
      </c>
      <c r="P463" s="65">
        <v>45140</v>
      </c>
      <c r="Q463" s="65">
        <f t="shared" si="70"/>
        <v>9930.7999999999993</v>
      </c>
      <c r="R463" s="65">
        <f t="shared" si="71"/>
        <v>55070.8</v>
      </c>
      <c r="S463" s="272"/>
      <c r="T463" s="64">
        <v>25</v>
      </c>
      <c r="U463" s="274"/>
      <c r="V463" s="38">
        <v>50438</v>
      </c>
      <c r="W463" s="38">
        <f t="shared" si="72"/>
        <v>11096.36</v>
      </c>
      <c r="X463" s="38">
        <f t="shared" si="73"/>
        <v>61534.36</v>
      </c>
    </row>
    <row r="464" spans="1:24" ht="15" customHeight="1" x14ac:dyDescent="0.35">
      <c r="A464" s="56" t="s">
        <v>2686</v>
      </c>
      <c r="B464" s="2">
        <v>436</v>
      </c>
      <c r="C464" s="77">
        <v>10040656</v>
      </c>
      <c r="D464" s="74" t="s">
        <v>1453</v>
      </c>
      <c r="E464" s="59" t="s">
        <v>2167</v>
      </c>
      <c r="F464" s="75">
        <v>13</v>
      </c>
      <c r="G464" s="64" t="s">
        <v>0</v>
      </c>
      <c r="H464" s="78">
        <v>41375</v>
      </c>
      <c r="I464" s="4" t="s">
        <v>957</v>
      </c>
      <c r="J464" s="63" t="s">
        <v>1917</v>
      </c>
      <c r="K464" s="63" t="s">
        <v>961</v>
      </c>
      <c r="L464" s="69" t="s">
        <v>950</v>
      </c>
      <c r="M464" s="70">
        <f t="shared" si="68"/>
        <v>5378.49</v>
      </c>
      <c r="N464" s="70">
        <f t="shared" si="76"/>
        <v>413.73</v>
      </c>
      <c r="O464" s="70">
        <v>5378.49</v>
      </c>
      <c r="P464" s="65">
        <v>11270</v>
      </c>
      <c r="Q464" s="65">
        <f t="shared" si="70"/>
        <v>2479.4</v>
      </c>
      <c r="R464" s="65">
        <f t="shared" si="71"/>
        <v>13749.4</v>
      </c>
      <c r="S464" s="272"/>
      <c r="T464" s="64">
        <v>25</v>
      </c>
      <c r="U464" s="274"/>
      <c r="V464" s="38">
        <v>12594</v>
      </c>
      <c r="W464" s="38">
        <f t="shared" si="72"/>
        <v>2770.68</v>
      </c>
      <c r="X464" s="38">
        <f t="shared" si="73"/>
        <v>15364.68</v>
      </c>
    </row>
    <row r="465" spans="1:24" ht="30" customHeight="1" x14ac:dyDescent="0.35">
      <c r="A465" s="56" t="s">
        <v>2687</v>
      </c>
      <c r="B465" s="2">
        <v>437</v>
      </c>
      <c r="C465" s="77">
        <v>10007368</v>
      </c>
      <c r="D465" s="74" t="s">
        <v>1454</v>
      </c>
      <c r="E465" s="59" t="s">
        <v>2167</v>
      </c>
      <c r="F465" s="75">
        <v>112</v>
      </c>
      <c r="G465" s="64" t="s">
        <v>0</v>
      </c>
      <c r="H465" s="78">
        <v>41375</v>
      </c>
      <c r="I465" s="4" t="s">
        <v>957</v>
      </c>
      <c r="J465" s="63" t="s">
        <v>1917</v>
      </c>
      <c r="K465" s="63" t="s">
        <v>961</v>
      </c>
      <c r="L465" s="69" t="s">
        <v>950</v>
      </c>
      <c r="M465" s="70">
        <f t="shared" si="68"/>
        <v>100654.21</v>
      </c>
      <c r="N465" s="70">
        <f t="shared" si="76"/>
        <v>898.7</v>
      </c>
      <c r="O465" s="70">
        <v>100654.21</v>
      </c>
      <c r="P465" s="65">
        <v>210940</v>
      </c>
      <c r="Q465" s="65">
        <f t="shared" si="70"/>
        <v>46406.8</v>
      </c>
      <c r="R465" s="65">
        <f t="shared" si="71"/>
        <v>257346.8</v>
      </c>
      <c r="S465" s="272"/>
      <c r="T465" s="64">
        <v>25</v>
      </c>
      <c r="U465" s="274"/>
      <c r="V465" s="38">
        <v>235692</v>
      </c>
      <c r="W465" s="38">
        <f t="shared" si="72"/>
        <v>51852.24</v>
      </c>
      <c r="X465" s="38">
        <f t="shared" si="73"/>
        <v>287544.24</v>
      </c>
    </row>
    <row r="466" spans="1:24" ht="15" customHeight="1" x14ac:dyDescent="0.35">
      <c r="A466" s="56" t="s">
        <v>2688</v>
      </c>
      <c r="B466" s="2">
        <v>438</v>
      </c>
      <c r="C466" s="77">
        <v>10019927</v>
      </c>
      <c r="D466" s="74" t="s">
        <v>1455</v>
      </c>
      <c r="E466" s="59" t="s">
        <v>2167</v>
      </c>
      <c r="F466" s="75">
        <v>9</v>
      </c>
      <c r="G466" s="64" t="s">
        <v>0</v>
      </c>
      <c r="H466" s="78">
        <v>41375</v>
      </c>
      <c r="I466" s="4" t="s">
        <v>957</v>
      </c>
      <c r="J466" s="63" t="s">
        <v>1917</v>
      </c>
      <c r="K466" s="63" t="s">
        <v>961</v>
      </c>
      <c r="L466" s="69" t="s">
        <v>950</v>
      </c>
      <c r="M466" s="70">
        <f t="shared" si="68"/>
        <v>1730.68</v>
      </c>
      <c r="N466" s="70">
        <f t="shared" si="76"/>
        <v>192.3</v>
      </c>
      <c r="O466" s="70">
        <v>1730.68</v>
      </c>
      <c r="P466" s="65">
        <v>3630</v>
      </c>
      <c r="Q466" s="65">
        <f t="shared" si="70"/>
        <v>798.6</v>
      </c>
      <c r="R466" s="65">
        <f t="shared" si="71"/>
        <v>4428.6000000000004</v>
      </c>
      <c r="S466" s="272"/>
      <c r="T466" s="64">
        <v>25</v>
      </c>
      <c r="U466" s="274"/>
      <c r="V466" s="38">
        <v>4053</v>
      </c>
      <c r="W466" s="38">
        <f t="shared" si="72"/>
        <v>891.66</v>
      </c>
      <c r="X466" s="38">
        <f t="shared" si="73"/>
        <v>4944.66</v>
      </c>
    </row>
    <row r="467" spans="1:24" ht="15" customHeight="1" x14ac:dyDescent="0.35">
      <c r="A467" s="56" t="s">
        <v>2689</v>
      </c>
      <c r="B467" s="2">
        <v>439</v>
      </c>
      <c r="C467" s="77">
        <v>10106435</v>
      </c>
      <c r="D467" s="74" t="s">
        <v>1471</v>
      </c>
      <c r="E467" s="59" t="s">
        <v>2167</v>
      </c>
      <c r="F467" s="75">
        <v>42</v>
      </c>
      <c r="G467" s="64" t="s">
        <v>0</v>
      </c>
      <c r="H467" s="78">
        <v>41375</v>
      </c>
      <c r="I467" s="4" t="s">
        <v>957</v>
      </c>
      <c r="J467" s="63" t="s">
        <v>1917</v>
      </c>
      <c r="K467" s="63" t="s">
        <v>961</v>
      </c>
      <c r="L467" s="69" t="s">
        <v>950</v>
      </c>
      <c r="M467" s="70">
        <f t="shared" si="68"/>
        <v>26622.12</v>
      </c>
      <c r="N467" s="70">
        <f t="shared" si="76"/>
        <v>633.86</v>
      </c>
      <c r="O467" s="70">
        <v>26622.12</v>
      </c>
      <c r="P467" s="65">
        <v>55790</v>
      </c>
      <c r="Q467" s="65">
        <f t="shared" si="70"/>
        <v>12273.8</v>
      </c>
      <c r="R467" s="65">
        <f t="shared" si="71"/>
        <v>68063.8</v>
      </c>
      <c r="S467" s="272"/>
      <c r="T467" s="64">
        <v>25</v>
      </c>
      <c r="U467" s="274"/>
      <c r="V467" s="38">
        <v>62338</v>
      </c>
      <c r="W467" s="38">
        <f t="shared" si="72"/>
        <v>13714.36</v>
      </c>
      <c r="X467" s="38">
        <f t="shared" si="73"/>
        <v>76052.36</v>
      </c>
    </row>
    <row r="468" spans="1:24" ht="20.25" customHeight="1" x14ac:dyDescent="0.35">
      <c r="A468" s="56" t="s">
        <v>2690</v>
      </c>
      <c r="B468" s="2">
        <v>440</v>
      </c>
      <c r="C468" s="77">
        <v>10121809</v>
      </c>
      <c r="D468" s="74" t="s">
        <v>1472</v>
      </c>
      <c r="E468" s="59" t="s">
        <v>2167</v>
      </c>
      <c r="F468" s="75">
        <v>9</v>
      </c>
      <c r="G468" s="64" t="s">
        <v>0</v>
      </c>
      <c r="H468" s="78">
        <v>41375</v>
      </c>
      <c r="I468" s="4" t="s">
        <v>957</v>
      </c>
      <c r="J468" s="63" t="s">
        <v>1917</v>
      </c>
      <c r="K468" s="63" t="s">
        <v>961</v>
      </c>
      <c r="L468" s="69" t="s">
        <v>950</v>
      </c>
      <c r="M468" s="70">
        <f t="shared" si="68"/>
        <v>5630.94</v>
      </c>
      <c r="N468" s="70">
        <f t="shared" si="76"/>
        <v>625.66</v>
      </c>
      <c r="O468" s="70">
        <v>5630.94</v>
      </c>
      <c r="P468" s="65">
        <v>11800</v>
      </c>
      <c r="Q468" s="65">
        <f t="shared" si="70"/>
        <v>2596</v>
      </c>
      <c r="R468" s="65">
        <f t="shared" si="71"/>
        <v>14396</v>
      </c>
      <c r="S468" s="272"/>
      <c r="T468" s="64">
        <v>25</v>
      </c>
      <c r="U468" s="274"/>
      <c r="V468" s="38">
        <v>13185</v>
      </c>
      <c r="W468" s="38">
        <f t="shared" si="72"/>
        <v>2900.7</v>
      </c>
      <c r="X468" s="38">
        <f t="shared" si="73"/>
        <v>16085.7</v>
      </c>
    </row>
    <row r="469" spans="1:24" ht="15" customHeight="1" x14ac:dyDescent="0.35">
      <c r="A469" s="56" t="s">
        <v>2691</v>
      </c>
      <c r="B469" s="2">
        <v>441</v>
      </c>
      <c r="C469" s="77">
        <v>10090497</v>
      </c>
      <c r="D469" s="74" t="s">
        <v>1473</v>
      </c>
      <c r="E469" s="59" t="s">
        <v>2167</v>
      </c>
      <c r="F469" s="75">
        <v>9</v>
      </c>
      <c r="G469" s="64" t="s">
        <v>0</v>
      </c>
      <c r="H469" s="78">
        <v>41375</v>
      </c>
      <c r="I469" s="4" t="s">
        <v>957</v>
      </c>
      <c r="J469" s="63" t="s">
        <v>1917</v>
      </c>
      <c r="K469" s="63" t="s">
        <v>961</v>
      </c>
      <c r="L469" s="69" t="s">
        <v>950</v>
      </c>
      <c r="M469" s="97">
        <f t="shared" si="68"/>
        <v>11158.56</v>
      </c>
      <c r="N469" s="97">
        <f t="shared" si="76"/>
        <v>1239.8399999999999</v>
      </c>
      <c r="O469" s="70">
        <v>11158.56</v>
      </c>
      <c r="P469" s="65">
        <v>23390</v>
      </c>
      <c r="Q469" s="65">
        <f t="shared" si="70"/>
        <v>5145.8</v>
      </c>
      <c r="R469" s="65">
        <f t="shared" si="71"/>
        <v>28535.8</v>
      </c>
      <c r="S469" s="272"/>
      <c r="T469" s="64">
        <v>25</v>
      </c>
      <c r="U469" s="274"/>
      <c r="V469" s="38">
        <v>26129</v>
      </c>
      <c r="W469" s="38">
        <f t="shared" si="72"/>
        <v>5748.38</v>
      </c>
      <c r="X469" s="38">
        <f t="shared" si="73"/>
        <v>31877.38</v>
      </c>
    </row>
    <row r="470" spans="1:24" ht="15" customHeight="1" x14ac:dyDescent="0.35">
      <c r="A470" s="56" t="s">
        <v>2692</v>
      </c>
      <c r="B470" s="2">
        <v>442</v>
      </c>
      <c r="C470" s="77">
        <v>10127783</v>
      </c>
      <c r="D470" s="74" t="s">
        <v>1474</v>
      </c>
      <c r="E470" s="59" t="s">
        <v>2167</v>
      </c>
      <c r="F470" s="75">
        <v>42</v>
      </c>
      <c r="G470" s="64" t="s">
        <v>0</v>
      </c>
      <c r="H470" s="78">
        <v>41375</v>
      </c>
      <c r="I470" s="4" t="s">
        <v>957</v>
      </c>
      <c r="J470" s="63" t="s">
        <v>1917</v>
      </c>
      <c r="K470" s="63" t="s">
        <v>961</v>
      </c>
      <c r="L470" s="69" t="s">
        <v>950</v>
      </c>
      <c r="M470" s="70">
        <f t="shared" si="68"/>
        <v>37640.400000000001</v>
      </c>
      <c r="N470" s="70">
        <f t="shared" si="76"/>
        <v>896.2</v>
      </c>
      <c r="O470" s="70">
        <v>37640.400000000001</v>
      </c>
      <c r="P470" s="65">
        <v>78880</v>
      </c>
      <c r="Q470" s="65">
        <f t="shared" si="70"/>
        <v>17353.599999999999</v>
      </c>
      <c r="R470" s="65">
        <f t="shared" si="71"/>
        <v>96233.600000000006</v>
      </c>
      <c r="S470" s="272"/>
      <c r="T470" s="64">
        <v>25</v>
      </c>
      <c r="U470" s="274"/>
      <c r="V470" s="38">
        <v>88139</v>
      </c>
      <c r="W470" s="38">
        <f t="shared" si="72"/>
        <v>19390.580000000002</v>
      </c>
      <c r="X470" s="38">
        <f t="shared" si="73"/>
        <v>107529.58</v>
      </c>
    </row>
    <row r="471" spans="1:24" ht="15" customHeight="1" x14ac:dyDescent="0.35">
      <c r="A471" s="56" t="s">
        <v>2693</v>
      </c>
      <c r="B471" s="2">
        <v>443</v>
      </c>
      <c r="C471" s="77">
        <v>10120737</v>
      </c>
      <c r="D471" s="74" t="s">
        <v>1475</v>
      </c>
      <c r="E471" s="59" t="s">
        <v>2167</v>
      </c>
      <c r="F471" s="75">
        <v>12</v>
      </c>
      <c r="G471" s="64" t="s">
        <v>0</v>
      </c>
      <c r="H471" s="78">
        <v>41375</v>
      </c>
      <c r="I471" s="4" t="s">
        <v>957</v>
      </c>
      <c r="J471" s="63" t="s">
        <v>1917</v>
      </c>
      <c r="K471" s="63" t="s">
        <v>961</v>
      </c>
      <c r="L471" s="69" t="s">
        <v>950</v>
      </c>
      <c r="M471" s="70">
        <f t="shared" si="68"/>
        <v>3509.65</v>
      </c>
      <c r="N471" s="70">
        <f t="shared" si="76"/>
        <v>292.47000000000003</v>
      </c>
      <c r="O471" s="70">
        <v>3509.65</v>
      </c>
      <c r="P471" s="65">
        <v>7360</v>
      </c>
      <c r="Q471" s="65">
        <f t="shared" si="70"/>
        <v>1619.2</v>
      </c>
      <c r="R471" s="65">
        <f t="shared" si="71"/>
        <v>8979.2000000000007</v>
      </c>
      <c r="S471" s="272"/>
      <c r="T471" s="64">
        <v>25</v>
      </c>
      <c r="U471" s="274"/>
      <c r="V471" s="38">
        <v>8218</v>
      </c>
      <c r="W471" s="38">
        <f t="shared" si="72"/>
        <v>1807.96</v>
      </c>
      <c r="X471" s="38">
        <f t="shared" si="73"/>
        <v>10025.959999999999</v>
      </c>
    </row>
    <row r="472" spans="1:24" ht="15" customHeight="1" x14ac:dyDescent="0.35">
      <c r="A472" s="56" t="s">
        <v>2694</v>
      </c>
      <c r="B472" s="2">
        <v>444</v>
      </c>
      <c r="C472" s="77">
        <v>10090614</v>
      </c>
      <c r="D472" s="74" t="s">
        <v>1476</v>
      </c>
      <c r="E472" s="59" t="s">
        <v>2167</v>
      </c>
      <c r="F472" s="75">
        <v>25</v>
      </c>
      <c r="G472" s="64" t="s">
        <v>0</v>
      </c>
      <c r="H472" s="78">
        <v>41375</v>
      </c>
      <c r="I472" s="4" t="s">
        <v>957</v>
      </c>
      <c r="J472" s="63" t="s">
        <v>1917</v>
      </c>
      <c r="K472" s="63" t="s">
        <v>961</v>
      </c>
      <c r="L472" s="69" t="s">
        <v>950</v>
      </c>
      <c r="M472" s="70">
        <f t="shared" si="68"/>
        <v>27940.07</v>
      </c>
      <c r="N472" s="70">
        <f t="shared" si="76"/>
        <v>1117.5999999999999</v>
      </c>
      <c r="O472" s="70">
        <v>27940.07</v>
      </c>
      <c r="P472" s="65">
        <v>58550</v>
      </c>
      <c r="Q472" s="65">
        <f t="shared" si="70"/>
        <v>12881</v>
      </c>
      <c r="R472" s="65">
        <f t="shared" si="71"/>
        <v>71431</v>
      </c>
      <c r="S472" s="272"/>
      <c r="T472" s="64">
        <v>25</v>
      </c>
      <c r="U472" s="274"/>
      <c r="V472" s="38">
        <v>65424</v>
      </c>
      <c r="W472" s="38">
        <f t="shared" si="72"/>
        <v>14393.28</v>
      </c>
      <c r="X472" s="38">
        <f t="shared" si="73"/>
        <v>79817.279999999999</v>
      </c>
    </row>
    <row r="473" spans="1:24" ht="15" customHeight="1" x14ac:dyDescent="0.35">
      <c r="A473" s="56" t="s">
        <v>2695</v>
      </c>
      <c r="B473" s="2">
        <v>445</v>
      </c>
      <c r="C473" s="77">
        <v>10027992</v>
      </c>
      <c r="D473" s="74" t="s">
        <v>1477</v>
      </c>
      <c r="E473" s="59" t="s">
        <v>2167</v>
      </c>
      <c r="F473" s="75">
        <v>42</v>
      </c>
      <c r="G473" s="64" t="s">
        <v>0</v>
      </c>
      <c r="H473" s="78">
        <v>41479</v>
      </c>
      <c r="I473" s="4" t="s">
        <v>957</v>
      </c>
      <c r="J473" s="63" t="s">
        <v>1917</v>
      </c>
      <c r="K473" s="63" t="s">
        <v>961</v>
      </c>
      <c r="L473" s="69" t="s">
        <v>950</v>
      </c>
      <c r="M473" s="70">
        <f t="shared" si="68"/>
        <v>66257.960000000006</v>
      </c>
      <c r="N473" s="70">
        <f t="shared" si="76"/>
        <v>1577.57</v>
      </c>
      <c r="O473" s="70">
        <v>66257.960000000006</v>
      </c>
      <c r="P473" s="65">
        <v>134570</v>
      </c>
      <c r="Q473" s="65">
        <f t="shared" si="70"/>
        <v>29605.4</v>
      </c>
      <c r="R473" s="65">
        <f t="shared" si="71"/>
        <v>164175.4</v>
      </c>
      <c r="S473" s="272"/>
      <c r="T473" s="64">
        <v>25</v>
      </c>
      <c r="U473" s="274"/>
      <c r="V473" s="38">
        <v>150358</v>
      </c>
      <c r="W473" s="38">
        <f t="shared" si="72"/>
        <v>33078.76</v>
      </c>
      <c r="X473" s="38">
        <f t="shared" si="73"/>
        <v>183436.76</v>
      </c>
    </row>
    <row r="474" spans="1:24" ht="15" customHeight="1" x14ac:dyDescent="0.35">
      <c r="A474" s="56" t="s">
        <v>2696</v>
      </c>
      <c r="B474" s="2">
        <v>446</v>
      </c>
      <c r="C474" s="77">
        <v>10031298</v>
      </c>
      <c r="D474" s="74" t="s">
        <v>1478</v>
      </c>
      <c r="E474" s="59" t="s">
        <v>2167</v>
      </c>
      <c r="F474" s="75">
        <v>21</v>
      </c>
      <c r="G474" s="64" t="s">
        <v>0</v>
      </c>
      <c r="H474" s="78">
        <v>41375</v>
      </c>
      <c r="I474" s="4" t="s">
        <v>957</v>
      </c>
      <c r="J474" s="63" t="s">
        <v>1917</v>
      </c>
      <c r="K474" s="63" t="s">
        <v>961</v>
      </c>
      <c r="L474" s="69" t="s">
        <v>950</v>
      </c>
      <c r="M474" s="70">
        <f t="shared" si="68"/>
        <v>6196.92</v>
      </c>
      <c r="N474" s="70">
        <f t="shared" si="76"/>
        <v>295.08999999999997</v>
      </c>
      <c r="O474" s="70">
        <v>6196.92</v>
      </c>
      <c r="P474" s="65">
        <v>12990</v>
      </c>
      <c r="Q474" s="65">
        <f t="shared" si="70"/>
        <v>2857.8</v>
      </c>
      <c r="R474" s="65">
        <f t="shared" si="71"/>
        <v>15847.8</v>
      </c>
      <c r="S474" s="272"/>
      <c r="T474" s="64">
        <v>25</v>
      </c>
      <c r="U474" s="274"/>
      <c r="V474" s="38">
        <v>14511</v>
      </c>
      <c r="W474" s="38">
        <f t="shared" si="72"/>
        <v>3192.42</v>
      </c>
      <c r="X474" s="38">
        <f t="shared" si="73"/>
        <v>17703.419999999998</v>
      </c>
    </row>
    <row r="475" spans="1:24" ht="15" customHeight="1" x14ac:dyDescent="0.35">
      <c r="A475" s="56" t="s">
        <v>2697</v>
      </c>
      <c r="B475" s="2">
        <v>447</v>
      </c>
      <c r="C475" s="77">
        <v>10090615</v>
      </c>
      <c r="D475" s="74" t="s">
        <v>1479</v>
      </c>
      <c r="E475" s="59" t="s">
        <v>2167</v>
      </c>
      <c r="F475" s="75">
        <v>52</v>
      </c>
      <c r="G475" s="64" t="s">
        <v>0</v>
      </c>
      <c r="H475" s="78">
        <v>41375</v>
      </c>
      <c r="I475" s="4" t="s">
        <v>957</v>
      </c>
      <c r="J475" s="63" t="s">
        <v>1917</v>
      </c>
      <c r="K475" s="63" t="s">
        <v>961</v>
      </c>
      <c r="L475" s="69" t="s">
        <v>950</v>
      </c>
      <c r="M475" s="70">
        <f t="shared" si="68"/>
        <v>24113.759999999998</v>
      </c>
      <c r="N475" s="70">
        <f t="shared" si="76"/>
        <v>463.73</v>
      </c>
      <c r="O475" s="70">
        <v>24113.759999999998</v>
      </c>
      <c r="P475" s="65">
        <v>50540</v>
      </c>
      <c r="Q475" s="65">
        <f t="shared" si="70"/>
        <v>11118.8</v>
      </c>
      <c r="R475" s="65">
        <f t="shared" si="71"/>
        <v>61658.8</v>
      </c>
      <c r="S475" s="272"/>
      <c r="T475" s="64">
        <v>25</v>
      </c>
      <c r="U475" s="274"/>
      <c r="V475" s="38">
        <v>56465</v>
      </c>
      <c r="W475" s="38">
        <f t="shared" si="72"/>
        <v>12422.3</v>
      </c>
      <c r="X475" s="38">
        <f t="shared" si="73"/>
        <v>68887.3</v>
      </c>
    </row>
    <row r="476" spans="1:24" ht="30" customHeight="1" x14ac:dyDescent="0.35">
      <c r="A476" s="56" t="s">
        <v>2698</v>
      </c>
      <c r="B476" s="2">
        <v>448</v>
      </c>
      <c r="C476" s="77">
        <v>10002578</v>
      </c>
      <c r="D476" s="74" t="s">
        <v>1480</v>
      </c>
      <c r="E476" s="59" t="s">
        <v>2167</v>
      </c>
      <c r="F476" s="75">
        <v>13</v>
      </c>
      <c r="G476" s="64" t="s">
        <v>0</v>
      </c>
      <c r="H476" s="78">
        <v>41375</v>
      </c>
      <c r="I476" s="4" t="s">
        <v>957</v>
      </c>
      <c r="J476" s="63" t="s">
        <v>1917</v>
      </c>
      <c r="K476" s="63" t="s">
        <v>961</v>
      </c>
      <c r="L476" s="69" t="s">
        <v>950</v>
      </c>
      <c r="M476" s="70">
        <f t="shared" si="68"/>
        <v>8995.74</v>
      </c>
      <c r="N476" s="70">
        <f t="shared" si="76"/>
        <v>691.98</v>
      </c>
      <c r="O476" s="70">
        <v>8995.74</v>
      </c>
      <c r="P476" s="65">
        <v>18850</v>
      </c>
      <c r="Q476" s="65">
        <f t="shared" si="70"/>
        <v>4147</v>
      </c>
      <c r="R476" s="65">
        <f t="shared" si="71"/>
        <v>22997</v>
      </c>
      <c r="S476" s="272"/>
      <c r="T476" s="64">
        <v>25</v>
      </c>
      <c r="U476" s="274"/>
      <c r="V476" s="38">
        <v>21064</v>
      </c>
      <c r="W476" s="38">
        <f t="shared" si="72"/>
        <v>4634.08</v>
      </c>
      <c r="X476" s="38">
        <f t="shared" si="73"/>
        <v>25698.080000000002</v>
      </c>
    </row>
    <row r="477" spans="1:24" ht="15" customHeight="1" x14ac:dyDescent="0.35">
      <c r="A477" s="56" t="s">
        <v>2699</v>
      </c>
      <c r="B477" s="2">
        <v>449</v>
      </c>
      <c r="C477" s="77">
        <v>10117577</v>
      </c>
      <c r="D477" s="74" t="s">
        <v>1481</v>
      </c>
      <c r="E477" s="59" t="s">
        <v>2167</v>
      </c>
      <c r="F477" s="75">
        <v>87</v>
      </c>
      <c r="G477" s="64" t="s">
        <v>0</v>
      </c>
      <c r="H477" s="78">
        <v>41375</v>
      </c>
      <c r="I477" s="4" t="s">
        <v>957</v>
      </c>
      <c r="J477" s="63" t="s">
        <v>1917</v>
      </c>
      <c r="K477" s="63" t="s">
        <v>961</v>
      </c>
      <c r="L477" s="69" t="s">
        <v>950</v>
      </c>
      <c r="M477" s="70">
        <f t="shared" si="68"/>
        <v>60301.440000000002</v>
      </c>
      <c r="N477" s="70">
        <f t="shared" si="76"/>
        <v>693.12</v>
      </c>
      <c r="O477" s="70">
        <v>60301.440000000002</v>
      </c>
      <c r="P477" s="65">
        <v>126380</v>
      </c>
      <c r="Q477" s="65">
        <f t="shared" si="70"/>
        <v>27803.599999999999</v>
      </c>
      <c r="R477" s="65">
        <f t="shared" si="71"/>
        <v>154183.6</v>
      </c>
      <c r="S477" s="272"/>
      <c r="T477" s="64">
        <v>25</v>
      </c>
      <c r="U477" s="274"/>
      <c r="V477" s="38">
        <v>141202</v>
      </c>
      <c r="W477" s="38">
        <f t="shared" si="72"/>
        <v>31064.44</v>
      </c>
      <c r="X477" s="38">
        <f t="shared" si="73"/>
        <v>172266.44</v>
      </c>
    </row>
    <row r="478" spans="1:24" ht="30" customHeight="1" x14ac:dyDescent="0.35">
      <c r="A478" s="56" t="s">
        <v>2700</v>
      </c>
      <c r="B478" s="2">
        <v>450</v>
      </c>
      <c r="C478" s="77">
        <v>102000921</v>
      </c>
      <c r="D478" s="74" t="s">
        <v>1852</v>
      </c>
      <c r="E478" s="59" t="s">
        <v>2167</v>
      </c>
      <c r="F478" s="75">
        <v>1</v>
      </c>
      <c r="G478" s="64" t="s">
        <v>0</v>
      </c>
      <c r="H478" s="78">
        <v>42004</v>
      </c>
      <c r="I478" s="4" t="s">
        <v>957</v>
      </c>
      <c r="J478" s="63" t="s">
        <v>1917</v>
      </c>
      <c r="K478" s="63" t="s">
        <v>961</v>
      </c>
      <c r="L478" s="69" t="s">
        <v>950</v>
      </c>
      <c r="M478" s="70">
        <f t="shared" ref="M478:M529" si="77">O478</f>
        <v>98659.64</v>
      </c>
      <c r="N478" s="70">
        <f t="shared" si="76"/>
        <v>98659.64</v>
      </c>
      <c r="O478" s="70">
        <v>98659.64</v>
      </c>
      <c r="P478" s="65">
        <v>167770</v>
      </c>
      <c r="Q478" s="65">
        <f t="shared" si="70"/>
        <v>36909.4</v>
      </c>
      <c r="R478" s="65">
        <f t="shared" si="71"/>
        <v>204679.4</v>
      </c>
      <c r="S478" s="272"/>
      <c r="T478" s="64">
        <v>25</v>
      </c>
      <c r="U478" s="274"/>
      <c r="V478" s="38">
        <v>187458</v>
      </c>
      <c r="W478" s="38">
        <f t="shared" si="72"/>
        <v>41240.76</v>
      </c>
      <c r="X478" s="38">
        <f t="shared" si="73"/>
        <v>228698.76</v>
      </c>
    </row>
    <row r="479" spans="1:24" ht="15" customHeight="1" x14ac:dyDescent="0.35">
      <c r="A479" s="56" t="s">
        <v>2701</v>
      </c>
      <c r="B479" s="2">
        <v>451</v>
      </c>
      <c r="C479" s="77">
        <v>10005688</v>
      </c>
      <c r="D479" s="74" t="s">
        <v>1813</v>
      </c>
      <c r="E479" s="59" t="s">
        <v>2167</v>
      </c>
      <c r="F479" s="75">
        <f>2-1</f>
        <v>1</v>
      </c>
      <c r="G479" s="64" t="s">
        <v>0</v>
      </c>
      <c r="H479" s="78">
        <v>42200</v>
      </c>
      <c r="I479" s="4" t="s">
        <v>957</v>
      </c>
      <c r="J479" s="63" t="s">
        <v>1917</v>
      </c>
      <c r="K479" s="63" t="s">
        <v>961</v>
      </c>
      <c r="L479" s="69" t="s">
        <v>950</v>
      </c>
      <c r="M479" s="70">
        <f t="shared" si="77"/>
        <v>9045</v>
      </c>
      <c r="N479" s="70">
        <f t="shared" si="76"/>
        <v>9045</v>
      </c>
      <c r="O479" s="70">
        <f>18090/2*1</f>
        <v>9045</v>
      </c>
      <c r="P479" s="65">
        <v>12680</v>
      </c>
      <c r="Q479" s="65">
        <f t="shared" si="70"/>
        <v>2789.6</v>
      </c>
      <c r="R479" s="65">
        <f t="shared" si="71"/>
        <v>15469.6</v>
      </c>
      <c r="S479" s="276"/>
      <c r="T479" s="64">
        <v>25</v>
      </c>
      <c r="U479" s="274"/>
      <c r="V479" s="38">
        <v>14169</v>
      </c>
      <c r="W479" s="38">
        <f t="shared" si="72"/>
        <v>3117.18</v>
      </c>
      <c r="X479" s="38">
        <f t="shared" si="73"/>
        <v>17286.18</v>
      </c>
    </row>
    <row r="480" spans="1:24" ht="15" customHeight="1" x14ac:dyDescent="0.35">
      <c r="A480" s="56"/>
      <c r="B480" s="15"/>
      <c r="C480" s="77"/>
      <c r="D480" s="74"/>
      <c r="E480" s="74"/>
      <c r="F480" s="75"/>
      <c r="G480" s="64"/>
      <c r="H480" s="78"/>
      <c r="I480" s="4"/>
      <c r="J480" s="63"/>
      <c r="K480" s="63"/>
      <c r="L480" s="69"/>
      <c r="M480" s="70"/>
      <c r="N480" s="70"/>
      <c r="O480" s="71">
        <f>SUM(O460:O479)</f>
        <v>588916.47</v>
      </c>
      <c r="P480" s="71">
        <f t="shared" ref="P480:R480" si="78">SUM(P460:P479)</f>
        <v>1191760</v>
      </c>
      <c r="Q480" s="71">
        <f t="shared" si="78"/>
        <v>262187.2</v>
      </c>
      <c r="R480" s="71">
        <f t="shared" si="78"/>
        <v>1453947.2</v>
      </c>
      <c r="S480" s="72">
        <f>R480/100*10</f>
        <v>145394.72</v>
      </c>
      <c r="T480" s="73">
        <v>25</v>
      </c>
      <c r="U480" s="275"/>
      <c r="V480" s="38"/>
      <c r="W480" s="38"/>
      <c r="X480" s="38"/>
    </row>
    <row r="481" spans="1:24" ht="15" customHeight="1" x14ac:dyDescent="0.35">
      <c r="A481" s="56" t="s">
        <v>2702</v>
      </c>
      <c r="B481" s="2">
        <v>452</v>
      </c>
      <c r="C481" s="77">
        <v>10056608</v>
      </c>
      <c r="D481" s="74" t="s">
        <v>373</v>
      </c>
      <c r="E481" s="74" t="s">
        <v>2147</v>
      </c>
      <c r="F481" s="75">
        <v>7</v>
      </c>
      <c r="G481" s="64" t="s">
        <v>0</v>
      </c>
      <c r="H481" s="101" t="s">
        <v>2145</v>
      </c>
      <c r="I481" s="61" t="s">
        <v>972</v>
      </c>
      <c r="J481" s="63" t="s">
        <v>1917</v>
      </c>
      <c r="K481" s="61" t="s">
        <v>961</v>
      </c>
      <c r="L481" s="61" t="s">
        <v>845</v>
      </c>
      <c r="M481" s="65">
        <f t="shared" si="77"/>
        <v>166635</v>
      </c>
      <c r="N481" s="65">
        <f t="shared" ref="N481:N486" si="79">O481/F481</f>
        <v>23805</v>
      </c>
      <c r="O481" s="65">
        <v>166635</v>
      </c>
      <c r="P481" s="65">
        <v>172620</v>
      </c>
      <c r="Q481" s="65">
        <f t="shared" si="70"/>
        <v>37976.400000000001</v>
      </c>
      <c r="R481" s="65">
        <f t="shared" si="71"/>
        <v>210596.4</v>
      </c>
      <c r="S481" s="267"/>
      <c r="T481" s="64">
        <v>26</v>
      </c>
      <c r="U481" s="273" t="s">
        <v>2262</v>
      </c>
      <c r="V481" s="38">
        <v>188241</v>
      </c>
      <c r="W481" s="38">
        <f t="shared" si="72"/>
        <v>41413.019999999997</v>
      </c>
      <c r="X481" s="38">
        <f t="shared" si="73"/>
        <v>229654.02</v>
      </c>
    </row>
    <row r="482" spans="1:24" ht="15" customHeight="1" x14ac:dyDescent="0.35">
      <c r="A482" s="56" t="s">
        <v>2703</v>
      </c>
      <c r="B482" s="2">
        <v>453</v>
      </c>
      <c r="C482" s="77">
        <v>102002015</v>
      </c>
      <c r="D482" s="74" t="s">
        <v>347</v>
      </c>
      <c r="E482" s="74" t="s">
        <v>2151</v>
      </c>
      <c r="F482" s="75">
        <v>2</v>
      </c>
      <c r="G482" s="64" t="s">
        <v>0</v>
      </c>
      <c r="H482" s="61">
        <v>42004</v>
      </c>
      <c r="I482" s="61" t="s">
        <v>972</v>
      </c>
      <c r="J482" s="63" t="s">
        <v>1917</v>
      </c>
      <c r="K482" s="61" t="s">
        <v>961</v>
      </c>
      <c r="L482" s="69" t="s">
        <v>2093</v>
      </c>
      <c r="M482" s="70">
        <f t="shared" si="77"/>
        <v>545037.19999999995</v>
      </c>
      <c r="N482" s="70">
        <f t="shared" si="79"/>
        <v>272518.59999999998</v>
      </c>
      <c r="O482" s="70">
        <v>545037.19999999995</v>
      </c>
      <c r="P482" s="65">
        <v>521300</v>
      </c>
      <c r="Q482" s="65">
        <f t="shared" si="70"/>
        <v>114686</v>
      </c>
      <c r="R482" s="65">
        <f t="shared" si="71"/>
        <v>635986</v>
      </c>
      <c r="S482" s="272"/>
      <c r="T482" s="64">
        <v>26</v>
      </c>
      <c r="U482" s="274"/>
      <c r="V482" s="38">
        <v>568481</v>
      </c>
      <c r="W482" s="38">
        <f t="shared" si="72"/>
        <v>125065.82</v>
      </c>
      <c r="X482" s="38">
        <f t="shared" si="73"/>
        <v>693546.82</v>
      </c>
    </row>
    <row r="483" spans="1:24" ht="15" customHeight="1" x14ac:dyDescent="0.35">
      <c r="A483" s="56" t="s">
        <v>2704</v>
      </c>
      <c r="B483" s="2">
        <v>454</v>
      </c>
      <c r="C483" s="77">
        <v>10097930</v>
      </c>
      <c r="D483" s="74" t="s">
        <v>213</v>
      </c>
      <c r="E483" s="74" t="s">
        <v>2156</v>
      </c>
      <c r="F483" s="75">
        <v>1</v>
      </c>
      <c r="G483" s="64" t="s">
        <v>0</v>
      </c>
      <c r="H483" s="61">
        <v>42036</v>
      </c>
      <c r="I483" s="61" t="s">
        <v>2094</v>
      </c>
      <c r="J483" s="63" t="s">
        <v>1917</v>
      </c>
      <c r="K483" s="61" t="s">
        <v>961</v>
      </c>
      <c r="L483" s="88" t="s">
        <v>845</v>
      </c>
      <c r="M483" s="76">
        <f t="shared" si="77"/>
        <v>8803.44</v>
      </c>
      <c r="N483" s="76">
        <f t="shared" si="79"/>
        <v>8803.44</v>
      </c>
      <c r="O483" s="76">
        <v>8803.44</v>
      </c>
      <c r="P483" s="65">
        <v>7960</v>
      </c>
      <c r="Q483" s="65">
        <f t="shared" si="70"/>
        <v>1751.2</v>
      </c>
      <c r="R483" s="65">
        <f t="shared" si="71"/>
        <v>9711.2000000000007</v>
      </c>
      <c r="S483" s="272"/>
      <c r="T483" s="64">
        <v>26</v>
      </c>
      <c r="U483" s="274"/>
      <c r="V483" s="38">
        <v>8684</v>
      </c>
      <c r="W483" s="38">
        <f t="shared" si="72"/>
        <v>1910.48</v>
      </c>
      <c r="X483" s="38">
        <f t="shared" si="73"/>
        <v>10594.48</v>
      </c>
    </row>
    <row r="484" spans="1:24" ht="15" customHeight="1" x14ac:dyDescent="0.35">
      <c r="A484" s="56" t="s">
        <v>2705</v>
      </c>
      <c r="B484" s="2">
        <v>455</v>
      </c>
      <c r="C484" s="77">
        <v>10015300</v>
      </c>
      <c r="D484" s="74" t="s">
        <v>1260</v>
      </c>
      <c r="E484" s="74" t="s">
        <v>2160</v>
      </c>
      <c r="F484" s="75">
        <v>1</v>
      </c>
      <c r="G484" s="64" t="s">
        <v>0</v>
      </c>
      <c r="H484" s="61">
        <v>42004</v>
      </c>
      <c r="I484" s="61" t="s">
        <v>2158</v>
      </c>
      <c r="J484" s="63" t="s">
        <v>1917</v>
      </c>
      <c r="K484" s="101" t="s">
        <v>961</v>
      </c>
      <c r="L484" s="88" t="s">
        <v>845</v>
      </c>
      <c r="M484" s="76">
        <f t="shared" si="77"/>
        <v>18872.580000000002</v>
      </c>
      <c r="N484" s="76">
        <f t="shared" si="79"/>
        <v>18872.580000000002</v>
      </c>
      <c r="O484" s="76">
        <v>18872.580000000002</v>
      </c>
      <c r="P484" s="65">
        <v>18450</v>
      </c>
      <c r="Q484" s="65">
        <f t="shared" si="70"/>
        <v>4059</v>
      </c>
      <c r="R484" s="65">
        <f t="shared" si="71"/>
        <v>22509</v>
      </c>
      <c r="S484" s="272"/>
      <c r="T484" s="64">
        <v>26</v>
      </c>
      <c r="U484" s="274"/>
      <c r="V484" s="38">
        <v>20125</v>
      </c>
      <c r="W484" s="38">
        <f t="shared" si="72"/>
        <v>4427.5</v>
      </c>
      <c r="X484" s="38">
        <f t="shared" si="73"/>
        <v>24552.5</v>
      </c>
    </row>
    <row r="485" spans="1:24" ht="15" customHeight="1" x14ac:dyDescent="0.35">
      <c r="A485" s="56" t="s">
        <v>2706</v>
      </c>
      <c r="B485" s="2">
        <v>456</v>
      </c>
      <c r="C485" s="77">
        <v>10124759</v>
      </c>
      <c r="D485" s="74" t="s">
        <v>47</v>
      </c>
      <c r="E485" s="59" t="s">
        <v>2167</v>
      </c>
      <c r="F485" s="75">
        <v>2</v>
      </c>
      <c r="G485" s="64" t="s">
        <v>28</v>
      </c>
      <c r="H485" s="101" t="s">
        <v>2145</v>
      </c>
      <c r="I485" s="4" t="s">
        <v>957</v>
      </c>
      <c r="J485" s="61" t="s">
        <v>1917</v>
      </c>
      <c r="K485" s="61" t="s">
        <v>961</v>
      </c>
      <c r="L485" s="69" t="s">
        <v>2093</v>
      </c>
      <c r="M485" s="70">
        <f t="shared" si="77"/>
        <v>290.95</v>
      </c>
      <c r="N485" s="70">
        <f t="shared" si="79"/>
        <v>145.47999999999999</v>
      </c>
      <c r="O485" s="70">
        <v>290.95</v>
      </c>
      <c r="P485" s="65">
        <v>300</v>
      </c>
      <c r="Q485" s="65">
        <f t="shared" si="70"/>
        <v>66</v>
      </c>
      <c r="R485" s="65">
        <f t="shared" si="71"/>
        <v>366</v>
      </c>
      <c r="S485" s="272"/>
      <c r="T485" s="64">
        <v>26</v>
      </c>
      <c r="U485" s="274"/>
      <c r="V485" s="38">
        <v>329</v>
      </c>
      <c r="W485" s="38">
        <f t="shared" si="72"/>
        <v>72.38</v>
      </c>
      <c r="X485" s="38">
        <f t="shared" si="73"/>
        <v>401.38</v>
      </c>
    </row>
    <row r="486" spans="1:24" ht="29.25" customHeight="1" x14ac:dyDescent="0.35">
      <c r="A486" s="56" t="s">
        <v>2707</v>
      </c>
      <c r="B486" s="2">
        <v>457</v>
      </c>
      <c r="C486" s="77">
        <v>10097809</v>
      </c>
      <c r="D486" s="74" t="s">
        <v>18</v>
      </c>
      <c r="E486" s="59" t="s">
        <v>2167</v>
      </c>
      <c r="F486" s="75">
        <v>1</v>
      </c>
      <c r="G486" s="64" t="s">
        <v>0</v>
      </c>
      <c r="H486" s="61">
        <v>42262</v>
      </c>
      <c r="I486" s="4" t="s">
        <v>957</v>
      </c>
      <c r="J486" s="88" t="s">
        <v>2217</v>
      </c>
      <c r="K486" s="88" t="s">
        <v>2005</v>
      </c>
      <c r="L486" s="61" t="s">
        <v>2097</v>
      </c>
      <c r="M486" s="65">
        <f t="shared" si="77"/>
        <v>10976.09</v>
      </c>
      <c r="N486" s="65">
        <f t="shared" si="79"/>
        <v>10976.09</v>
      </c>
      <c r="O486" s="65">
        <v>10976.09</v>
      </c>
      <c r="P486" s="65">
        <v>13840</v>
      </c>
      <c r="Q486" s="65">
        <f t="shared" si="70"/>
        <v>3044.8</v>
      </c>
      <c r="R486" s="65">
        <f t="shared" si="71"/>
        <v>16884.8</v>
      </c>
      <c r="S486" s="276"/>
      <c r="T486" s="64">
        <v>26</v>
      </c>
      <c r="U486" s="274"/>
      <c r="V486" s="38">
        <v>15088</v>
      </c>
      <c r="W486" s="38">
        <f t="shared" si="72"/>
        <v>3319.36</v>
      </c>
      <c r="X486" s="38">
        <f t="shared" si="73"/>
        <v>18407.36</v>
      </c>
    </row>
    <row r="487" spans="1:24" ht="15" customHeight="1" x14ac:dyDescent="0.35">
      <c r="A487" s="56"/>
      <c r="B487" s="15"/>
      <c r="C487" s="77"/>
      <c r="D487" s="74"/>
      <c r="E487" s="74"/>
      <c r="F487" s="75"/>
      <c r="G487" s="64"/>
      <c r="H487" s="61"/>
      <c r="I487" s="4"/>
      <c r="J487" s="88"/>
      <c r="K487" s="88"/>
      <c r="L487" s="61"/>
      <c r="M487" s="65"/>
      <c r="N487" s="65"/>
      <c r="O487" s="126">
        <f>SUM(O481:O486)</f>
        <v>750615.26</v>
      </c>
      <c r="P487" s="126">
        <f t="shared" ref="P487:R487" si="80">SUM(P481:P486)</f>
        <v>734470</v>
      </c>
      <c r="Q487" s="126">
        <f t="shared" si="80"/>
        <v>161583.4</v>
      </c>
      <c r="R487" s="126">
        <f t="shared" si="80"/>
        <v>896053.4</v>
      </c>
      <c r="S487" s="72">
        <f>R487/100*10</f>
        <v>89605.34</v>
      </c>
      <c r="T487" s="73">
        <v>26</v>
      </c>
      <c r="U487" s="275"/>
      <c r="V487" s="38"/>
      <c r="W487" s="38"/>
      <c r="X487" s="38"/>
    </row>
    <row r="488" spans="1:24" ht="15" customHeight="1" x14ac:dyDescent="0.35">
      <c r="A488" s="56" t="s">
        <v>2708</v>
      </c>
      <c r="B488" s="2">
        <v>458</v>
      </c>
      <c r="C488" s="77">
        <v>10070685</v>
      </c>
      <c r="D488" s="74" t="s">
        <v>1727</v>
      </c>
      <c r="E488" s="59" t="s">
        <v>2167</v>
      </c>
      <c r="F488" s="75">
        <v>3</v>
      </c>
      <c r="G488" s="64" t="s">
        <v>0</v>
      </c>
      <c r="H488" s="78">
        <v>41431</v>
      </c>
      <c r="I488" s="4" t="s">
        <v>957</v>
      </c>
      <c r="J488" s="63" t="s">
        <v>1917</v>
      </c>
      <c r="K488" s="63" t="s">
        <v>961</v>
      </c>
      <c r="L488" s="69" t="s">
        <v>950</v>
      </c>
      <c r="M488" s="70">
        <f t="shared" si="77"/>
        <v>74</v>
      </c>
      <c r="N488" s="70">
        <f>O488/F488</f>
        <v>24.67</v>
      </c>
      <c r="O488" s="70">
        <v>74</v>
      </c>
      <c r="P488" s="65">
        <v>140</v>
      </c>
      <c r="Q488" s="65">
        <f t="shared" si="70"/>
        <v>30.8</v>
      </c>
      <c r="R488" s="65">
        <f t="shared" si="71"/>
        <v>170.8</v>
      </c>
      <c r="S488" s="142"/>
      <c r="T488" s="64">
        <v>27</v>
      </c>
      <c r="U488" s="273" t="s">
        <v>2263</v>
      </c>
      <c r="V488" s="38">
        <v>136</v>
      </c>
      <c r="W488" s="38">
        <f t="shared" si="72"/>
        <v>29.92</v>
      </c>
      <c r="X488" s="38">
        <f t="shared" si="73"/>
        <v>165.92</v>
      </c>
    </row>
    <row r="489" spans="1:24" ht="15" customHeight="1" x14ac:dyDescent="0.35">
      <c r="A489" s="56"/>
      <c r="B489" s="15"/>
      <c r="C489" s="77"/>
      <c r="D489" s="74"/>
      <c r="E489" s="74"/>
      <c r="F489" s="75"/>
      <c r="G489" s="64"/>
      <c r="H489" s="78"/>
      <c r="I489" s="4"/>
      <c r="J489" s="63"/>
      <c r="K489" s="63"/>
      <c r="L489" s="69"/>
      <c r="M489" s="70"/>
      <c r="N489" s="70"/>
      <c r="O489" s="71">
        <f>O488</f>
        <v>74</v>
      </c>
      <c r="P489" s="71">
        <f t="shared" ref="P489:R489" si="81">P488</f>
        <v>140</v>
      </c>
      <c r="Q489" s="71">
        <f t="shared" si="81"/>
        <v>30.8</v>
      </c>
      <c r="R489" s="71">
        <f t="shared" si="81"/>
        <v>170.8</v>
      </c>
      <c r="S489" s="72">
        <f>R489/100*10</f>
        <v>17.079999999999998</v>
      </c>
      <c r="T489" s="73">
        <v>27</v>
      </c>
      <c r="U489" s="275"/>
      <c r="V489" s="38"/>
      <c r="W489" s="38"/>
      <c r="X489" s="38"/>
    </row>
    <row r="490" spans="1:24" ht="37.5" customHeight="1" x14ac:dyDescent="0.35">
      <c r="A490" s="56" t="s">
        <v>2709</v>
      </c>
      <c r="B490" s="2">
        <v>459</v>
      </c>
      <c r="C490" s="77">
        <v>10093246</v>
      </c>
      <c r="D490" s="74" t="s">
        <v>1466</v>
      </c>
      <c r="E490" s="59" t="s">
        <v>2167</v>
      </c>
      <c r="F490" s="75">
        <v>24</v>
      </c>
      <c r="G490" s="64" t="s">
        <v>0</v>
      </c>
      <c r="H490" s="78">
        <v>41214</v>
      </c>
      <c r="I490" s="4" t="s">
        <v>957</v>
      </c>
      <c r="J490" s="63" t="s">
        <v>1917</v>
      </c>
      <c r="K490" s="63" t="s">
        <v>961</v>
      </c>
      <c r="L490" s="69" t="s">
        <v>950</v>
      </c>
      <c r="M490" s="70">
        <f t="shared" si="77"/>
        <v>925456.96</v>
      </c>
      <c r="N490" s="70">
        <f>O490/F490</f>
        <v>38560.71</v>
      </c>
      <c r="O490" s="70">
        <v>925456.96</v>
      </c>
      <c r="P490" s="65">
        <v>2057060</v>
      </c>
      <c r="Q490" s="65">
        <f t="shared" si="70"/>
        <v>452553.2</v>
      </c>
      <c r="R490" s="65">
        <f t="shared" si="71"/>
        <v>2509613.2000000002</v>
      </c>
      <c r="S490" s="267"/>
      <c r="T490" s="64">
        <v>28</v>
      </c>
      <c r="U490" s="273" t="s">
        <v>2264</v>
      </c>
      <c r="V490" s="38">
        <v>2211897</v>
      </c>
      <c r="W490" s="38">
        <f t="shared" si="72"/>
        <v>486617.34</v>
      </c>
      <c r="X490" s="38">
        <f t="shared" si="73"/>
        <v>2698514.34</v>
      </c>
    </row>
    <row r="491" spans="1:24" ht="31.5" customHeight="1" x14ac:dyDescent="0.35">
      <c r="A491" s="56" t="s">
        <v>2710</v>
      </c>
      <c r="B491" s="2">
        <v>460</v>
      </c>
      <c r="C491" s="77">
        <v>102004254</v>
      </c>
      <c r="D491" s="74" t="s">
        <v>1470</v>
      </c>
      <c r="E491" s="59" t="s">
        <v>2167</v>
      </c>
      <c r="F491" s="75">
        <v>1</v>
      </c>
      <c r="G491" s="64" t="s">
        <v>0</v>
      </c>
      <c r="H491" s="78">
        <v>40837</v>
      </c>
      <c r="I491" s="4" t="s">
        <v>957</v>
      </c>
      <c r="J491" s="63" t="s">
        <v>2223</v>
      </c>
      <c r="K491" s="63" t="s">
        <v>961</v>
      </c>
      <c r="L491" s="69" t="s">
        <v>950</v>
      </c>
      <c r="M491" s="70">
        <f t="shared" si="77"/>
        <v>3182.02</v>
      </c>
      <c r="N491" s="70">
        <f>O491/F491</f>
        <v>3182.02</v>
      </c>
      <c r="O491" s="70">
        <v>3182.02</v>
      </c>
      <c r="P491" s="65">
        <v>5360</v>
      </c>
      <c r="Q491" s="65">
        <f t="shared" si="70"/>
        <v>1179.2</v>
      </c>
      <c r="R491" s="65">
        <f t="shared" si="71"/>
        <v>6539.2</v>
      </c>
      <c r="S491" s="272"/>
      <c r="T491" s="64">
        <v>28</v>
      </c>
      <c r="U491" s="274"/>
      <c r="V491" s="38">
        <v>5766</v>
      </c>
      <c r="W491" s="38">
        <f t="shared" si="72"/>
        <v>1268.52</v>
      </c>
      <c r="X491" s="38">
        <f t="shared" si="73"/>
        <v>7034.52</v>
      </c>
    </row>
    <row r="492" spans="1:24" ht="27.75" customHeight="1" x14ac:dyDescent="0.35">
      <c r="A492" s="56" t="s">
        <v>2711</v>
      </c>
      <c r="B492" s="2">
        <v>461</v>
      </c>
      <c r="C492" s="77">
        <v>102001480</v>
      </c>
      <c r="D492" s="74" t="s">
        <v>1814</v>
      </c>
      <c r="E492" s="74" t="s">
        <v>1978</v>
      </c>
      <c r="F492" s="75">
        <v>1</v>
      </c>
      <c r="G492" s="64" t="s">
        <v>0</v>
      </c>
      <c r="H492" s="78">
        <v>42004</v>
      </c>
      <c r="I492" s="4" t="s">
        <v>957</v>
      </c>
      <c r="J492" s="63" t="s">
        <v>1917</v>
      </c>
      <c r="K492" s="63" t="s">
        <v>961</v>
      </c>
      <c r="L492" s="69" t="s">
        <v>950</v>
      </c>
      <c r="M492" s="70">
        <f t="shared" si="77"/>
        <v>67623.05</v>
      </c>
      <c r="N492" s="70">
        <f>O492/F492</f>
        <v>67623.05</v>
      </c>
      <c r="O492" s="70">
        <v>67623.05</v>
      </c>
      <c r="P492" s="65">
        <v>119490</v>
      </c>
      <c r="Q492" s="65">
        <f t="shared" si="70"/>
        <v>26287.8</v>
      </c>
      <c r="R492" s="65">
        <f t="shared" si="71"/>
        <v>145777.79999999999</v>
      </c>
      <c r="S492" s="276"/>
      <c r="T492" s="64">
        <v>28</v>
      </c>
      <c r="U492" s="274"/>
      <c r="V492" s="38">
        <v>128487</v>
      </c>
      <c r="W492" s="38">
        <f t="shared" si="72"/>
        <v>28267.14</v>
      </c>
      <c r="X492" s="38">
        <f t="shared" si="73"/>
        <v>156754.14000000001</v>
      </c>
    </row>
    <row r="493" spans="1:24" ht="15" customHeight="1" x14ac:dyDescent="0.35">
      <c r="A493" s="56"/>
      <c r="B493" s="15"/>
      <c r="C493" s="77"/>
      <c r="D493" s="74"/>
      <c r="E493" s="74"/>
      <c r="F493" s="75"/>
      <c r="G493" s="64"/>
      <c r="H493" s="78"/>
      <c r="I493" s="4"/>
      <c r="J493" s="63"/>
      <c r="K493" s="63"/>
      <c r="L493" s="69"/>
      <c r="M493" s="70"/>
      <c r="N493" s="70"/>
      <c r="O493" s="71">
        <f>SUM(O490:O492)</f>
        <v>996262.03</v>
      </c>
      <c r="P493" s="71">
        <f t="shared" ref="P493:R493" si="82">SUM(P490:P492)</f>
        <v>2181910</v>
      </c>
      <c r="Q493" s="71">
        <f t="shared" si="82"/>
        <v>480020.2</v>
      </c>
      <c r="R493" s="71">
        <f t="shared" si="82"/>
        <v>2661930.2000000002</v>
      </c>
      <c r="S493" s="72">
        <f>R493/100*10</f>
        <v>266193.02</v>
      </c>
      <c r="T493" s="73">
        <v>28</v>
      </c>
      <c r="U493" s="275"/>
      <c r="V493" s="38"/>
      <c r="W493" s="38"/>
      <c r="X493" s="38"/>
    </row>
    <row r="494" spans="1:24" ht="27.75" customHeight="1" x14ac:dyDescent="0.35">
      <c r="A494" s="56" t="s">
        <v>2712</v>
      </c>
      <c r="B494" s="2">
        <v>462</v>
      </c>
      <c r="C494" s="77">
        <v>102000844</v>
      </c>
      <c r="D494" s="74" t="s">
        <v>299</v>
      </c>
      <c r="E494" s="74" t="s">
        <v>2147</v>
      </c>
      <c r="F494" s="75">
        <v>1</v>
      </c>
      <c r="G494" s="64" t="s">
        <v>0</v>
      </c>
      <c r="H494" s="101">
        <v>2010</v>
      </c>
      <c r="I494" s="61" t="s">
        <v>972</v>
      </c>
      <c r="J494" s="61" t="s">
        <v>959</v>
      </c>
      <c r="K494" s="61" t="s">
        <v>961</v>
      </c>
      <c r="L494" s="61" t="s">
        <v>845</v>
      </c>
      <c r="M494" s="65">
        <f t="shared" si="77"/>
        <v>58600</v>
      </c>
      <c r="N494" s="65">
        <f t="shared" ref="N494:N518" si="83">O494/F494</f>
        <v>58600</v>
      </c>
      <c r="O494" s="65">
        <v>58600</v>
      </c>
      <c r="P494" s="65">
        <v>43080</v>
      </c>
      <c r="Q494" s="65">
        <f t="shared" si="70"/>
        <v>9477.6</v>
      </c>
      <c r="R494" s="65">
        <f t="shared" si="71"/>
        <v>52557.599999999999</v>
      </c>
      <c r="S494" s="267"/>
      <c r="T494" s="64">
        <v>29</v>
      </c>
      <c r="U494" s="273" t="s">
        <v>2264</v>
      </c>
      <c r="V494" s="38">
        <v>48139</v>
      </c>
      <c r="W494" s="38">
        <f t="shared" si="72"/>
        <v>10590.58</v>
      </c>
      <c r="X494" s="38">
        <f t="shared" si="73"/>
        <v>58729.58</v>
      </c>
    </row>
    <row r="495" spans="1:24" ht="30" customHeight="1" x14ac:dyDescent="0.35">
      <c r="A495" s="56" t="s">
        <v>2713</v>
      </c>
      <c r="B495" s="2">
        <v>463</v>
      </c>
      <c r="C495" s="77">
        <v>102000893</v>
      </c>
      <c r="D495" s="74" t="s">
        <v>302</v>
      </c>
      <c r="E495" s="74" t="s">
        <v>2147</v>
      </c>
      <c r="F495" s="75">
        <v>1</v>
      </c>
      <c r="G495" s="64" t="s">
        <v>0</v>
      </c>
      <c r="H495" s="101" t="s">
        <v>2145</v>
      </c>
      <c r="I495" s="61" t="s">
        <v>972</v>
      </c>
      <c r="J495" s="61" t="s">
        <v>959</v>
      </c>
      <c r="K495" s="61" t="s">
        <v>961</v>
      </c>
      <c r="L495" s="61" t="s">
        <v>845</v>
      </c>
      <c r="M495" s="65">
        <f t="shared" si="77"/>
        <v>58600</v>
      </c>
      <c r="N495" s="65">
        <f t="shared" si="83"/>
        <v>58600</v>
      </c>
      <c r="O495" s="65">
        <v>58600</v>
      </c>
      <c r="P495" s="65">
        <v>24090</v>
      </c>
      <c r="Q495" s="65">
        <f t="shared" si="70"/>
        <v>5299.8</v>
      </c>
      <c r="R495" s="65">
        <f t="shared" si="71"/>
        <v>29389.8</v>
      </c>
      <c r="S495" s="272"/>
      <c r="T495" s="64">
        <v>29</v>
      </c>
      <c r="U495" s="274"/>
      <c r="V495" s="38">
        <v>26914</v>
      </c>
      <c r="W495" s="38">
        <f t="shared" si="72"/>
        <v>5921.08</v>
      </c>
      <c r="X495" s="38">
        <f t="shared" si="73"/>
        <v>32835.08</v>
      </c>
    </row>
    <row r="496" spans="1:24" ht="28.5" customHeight="1" x14ac:dyDescent="0.35">
      <c r="A496" s="56" t="s">
        <v>2714</v>
      </c>
      <c r="B496" s="2">
        <v>464</v>
      </c>
      <c r="C496" s="89">
        <v>102000203</v>
      </c>
      <c r="D496" s="106" t="s">
        <v>528</v>
      </c>
      <c r="E496" s="74" t="s">
        <v>2184</v>
      </c>
      <c r="F496" s="75">
        <v>1</v>
      </c>
      <c r="G496" s="64" t="s">
        <v>0</v>
      </c>
      <c r="H496" s="61">
        <v>42004</v>
      </c>
      <c r="I496" s="107" t="s">
        <v>976</v>
      </c>
      <c r="J496" s="63" t="s">
        <v>1917</v>
      </c>
      <c r="K496" s="108" t="s">
        <v>699</v>
      </c>
      <c r="L496" s="64" t="s">
        <v>845</v>
      </c>
      <c r="M496" s="65">
        <f t="shared" si="77"/>
        <v>1185254</v>
      </c>
      <c r="N496" s="65">
        <f t="shared" si="83"/>
        <v>1185254</v>
      </c>
      <c r="O496" s="65">
        <v>1185254</v>
      </c>
      <c r="P496" s="65">
        <v>1232190</v>
      </c>
      <c r="Q496" s="65">
        <f t="shared" si="70"/>
        <v>271081.8</v>
      </c>
      <c r="R496" s="65">
        <f t="shared" si="71"/>
        <v>1503271.8</v>
      </c>
      <c r="S496" s="272"/>
      <c r="T496" s="64">
        <v>29</v>
      </c>
      <c r="U496" s="274"/>
      <c r="V496" s="38">
        <v>1376753</v>
      </c>
      <c r="W496" s="38">
        <f t="shared" si="72"/>
        <v>302885.65999999997</v>
      </c>
      <c r="X496" s="38">
        <f t="shared" si="73"/>
        <v>1679638.66</v>
      </c>
    </row>
    <row r="497" spans="1:24" ht="26.25" customHeight="1" x14ac:dyDescent="0.35">
      <c r="A497" s="56" t="s">
        <v>2715</v>
      </c>
      <c r="B497" s="2">
        <v>465</v>
      </c>
      <c r="C497" s="89">
        <v>10120756</v>
      </c>
      <c r="D497" s="90" t="s">
        <v>22</v>
      </c>
      <c r="E497" s="74" t="s">
        <v>2184</v>
      </c>
      <c r="F497" s="75">
        <v>1</v>
      </c>
      <c r="G497" s="64" t="s">
        <v>0</v>
      </c>
      <c r="H497" s="61">
        <v>42004</v>
      </c>
      <c r="I497" s="107" t="s">
        <v>976</v>
      </c>
      <c r="J497" s="63" t="s">
        <v>1917</v>
      </c>
      <c r="K497" s="108" t="s">
        <v>751</v>
      </c>
      <c r="L497" s="64" t="s">
        <v>845</v>
      </c>
      <c r="M497" s="65">
        <f t="shared" si="77"/>
        <v>7979.69</v>
      </c>
      <c r="N497" s="65">
        <f t="shared" si="83"/>
        <v>7979.69</v>
      </c>
      <c r="O497" s="65">
        <v>7979.69</v>
      </c>
      <c r="P497" s="65">
        <v>7190</v>
      </c>
      <c r="Q497" s="65">
        <f t="shared" si="70"/>
        <v>1581.8</v>
      </c>
      <c r="R497" s="65">
        <f t="shared" si="71"/>
        <v>8771.7999999999993</v>
      </c>
      <c r="S497" s="272"/>
      <c r="T497" s="64">
        <v>29</v>
      </c>
      <c r="U497" s="274"/>
      <c r="V497" s="38">
        <v>8029</v>
      </c>
      <c r="W497" s="38">
        <f t="shared" si="72"/>
        <v>1766.38</v>
      </c>
      <c r="X497" s="38">
        <f t="shared" si="73"/>
        <v>9795.3799999999992</v>
      </c>
    </row>
    <row r="498" spans="1:24" ht="24.75" customHeight="1" x14ac:dyDescent="0.35">
      <c r="A498" s="56" t="s">
        <v>2716</v>
      </c>
      <c r="B498" s="2">
        <v>466</v>
      </c>
      <c r="C498" s="89">
        <v>10120757</v>
      </c>
      <c r="D498" s="90" t="s">
        <v>603</v>
      </c>
      <c r="E498" s="74" t="s">
        <v>2184</v>
      </c>
      <c r="F498" s="75">
        <v>1</v>
      </c>
      <c r="G498" s="64" t="s">
        <v>0</v>
      </c>
      <c r="H498" s="61">
        <v>42004</v>
      </c>
      <c r="I498" s="107" t="s">
        <v>976</v>
      </c>
      <c r="J498" s="63" t="s">
        <v>1917</v>
      </c>
      <c r="K498" s="108" t="s">
        <v>752</v>
      </c>
      <c r="L498" s="64" t="s">
        <v>845</v>
      </c>
      <c r="M498" s="65">
        <f t="shared" si="77"/>
        <v>8016.42</v>
      </c>
      <c r="N498" s="65">
        <f t="shared" si="83"/>
        <v>8016.42</v>
      </c>
      <c r="O498" s="65">
        <v>8016.42</v>
      </c>
      <c r="P498" s="65">
        <v>7220</v>
      </c>
      <c r="Q498" s="65">
        <f t="shared" si="70"/>
        <v>1588.4</v>
      </c>
      <c r="R498" s="65">
        <f t="shared" si="71"/>
        <v>8808.4</v>
      </c>
      <c r="S498" s="272"/>
      <c r="T498" s="64">
        <v>29</v>
      </c>
      <c r="U498" s="274"/>
      <c r="V498" s="38">
        <v>8066</v>
      </c>
      <c r="W498" s="38">
        <f t="shared" si="72"/>
        <v>1774.52</v>
      </c>
      <c r="X498" s="38">
        <f t="shared" si="73"/>
        <v>9840.52</v>
      </c>
    </row>
    <row r="499" spans="1:24" ht="27.75" customHeight="1" x14ac:dyDescent="0.35">
      <c r="A499" s="56" t="s">
        <v>2717</v>
      </c>
      <c r="B499" s="2">
        <v>467</v>
      </c>
      <c r="C499" s="89">
        <v>10120768</v>
      </c>
      <c r="D499" s="90" t="s">
        <v>23</v>
      </c>
      <c r="E499" s="74" t="s">
        <v>2184</v>
      </c>
      <c r="F499" s="75">
        <v>1</v>
      </c>
      <c r="G499" s="64" t="s">
        <v>0</v>
      </c>
      <c r="H499" s="61">
        <v>42004</v>
      </c>
      <c r="I499" s="107" t="s">
        <v>976</v>
      </c>
      <c r="J499" s="63" t="s">
        <v>1917</v>
      </c>
      <c r="K499" s="108" t="s">
        <v>753</v>
      </c>
      <c r="L499" s="64" t="s">
        <v>845</v>
      </c>
      <c r="M499" s="65">
        <f t="shared" si="77"/>
        <v>4945.18</v>
      </c>
      <c r="N499" s="65">
        <f t="shared" si="83"/>
        <v>4945.18</v>
      </c>
      <c r="O499" s="65">
        <v>4945.18</v>
      </c>
      <c r="P499" s="65">
        <v>4450</v>
      </c>
      <c r="Q499" s="65">
        <f t="shared" si="70"/>
        <v>979</v>
      </c>
      <c r="R499" s="65">
        <f t="shared" si="71"/>
        <v>5429</v>
      </c>
      <c r="S499" s="272"/>
      <c r="T499" s="64">
        <v>29</v>
      </c>
      <c r="U499" s="274"/>
      <c r="V499" s="38">
        <v>4976</v>
      </c>
      <c r="W499" s="38">
        <f t="shared" si="72"/>
        <v>1094.72</v>
      </c>
      <c r="X499" s="38">
        <f t="shared" si="73"/>
        <v>6070.72</v>
      </c>
    </row>
    <row r="500" spans="1:24" ht="24.75" customHeight="1" x14ac:dyDescent="0.35">
      <c r="A500" s="56" t="s">
        <v>2718</v>
      </c>
      <c r="B500" s="2">
        <v>468</v>
      </c>
      <c r="C500" s="89">
        <v>10120769</v>
      </c>
      <c r="D500" s="90" t="s">
        <v>24</v>
      </c>
      <c r="E500" s="74" t="s">
        <v>2184</v>
      </c>
      <c r="F500" s="75">
        <v>1</v>
      </c>
      <c r="G500" s="64" t="s">
        <v>0</v>
      </c>
      <c r="H500" s="61">
        <v>42004</v>
      </c>
      <c r="I500" s="107" t="s">
        <v>976</v>
      </c>
      <c r="J500" s="63" t="s">
        <v>1917</v>
      </c>
      <c r="K500" s="108" t="s">
        <v>257</v>
      </c>
      <c r="L500" s="64" t="s">
        <v>845</v>
      </c>
      <c r="M500" s="65">
        <f t="shared" si="77"/>
        <v>4912.3599999999997</v>
      </c>
      <c r="N500" s="65">
        <f t="shared" si="83"/>
        <v>4912.3599999999997</v>
      </c>
      <c r="O500" s="65">
        <v>4912.3599999999997</v>
      </c>
      <c r="P500" s="65">
        <v>4420</v>
      </c>
      <c r="Q500" s="65">
        <f t="shared" si="70"/>
        <v>972.4</v>
      </c>
      <c r="R500" s="65">
        <f t="shared" si="71"/>
        <v>5392.4</v>
      </c>
      <c r="S500" s="272"/>
      <c r="T500" s="64">
        <v>29</v>
      </c>
      <c r="U500" s="274"/>
      <c r="V500" s="38">
        <v>4942</v>
      </c>
      <c r="W500" s="38">
        <f t="shared" si="72"/>
        <v>1087.24</v>
      </c>
      <c r="X500" s="38">
        <f t="shared" si="73"/>
        <v>6029.24</v>
      </c>
    </row>
    <row r="501" spans="1:24" ht="22.5" customHeight="1" x14ac:dyDescent="0.35">
      <c r="A501" s="56" t="s">
        <v>2719</v>
      </c>
      <c r="B501" s="2">
        <v>469</v>
      </c>
      <c r="C501" s="89">
        <v>10042151</v>
      </c>
      <c r="D501" s="90" t="s">
        <v>641</v>
      </c>
      <c r="E501" s="74" t="s">
        <v>2184</v>
      </c>
      <c r="F501" s="75">
        <v>1</v>
      </c>
      <c r="G501" s="64" t="s">
        <v>0</v>
      </c>
      <c r="H501" s="61">
        <v>42004</v>
      </c>
      <c r="I501" s="107" t="s">
        <v>976</v>
      </c>
      <c r="J501" s="63" t="s">
        <v>1917</v>
      </c>
      <c r="K501" s="108" t="s">
        <v>772</v>
      </c>
      <c r="L501" s="64" t="s">
        <v>845</v>
      </c>
      <c r="M501" s="65">
        <f t="shared" si="77"/>
        <v>3230</v>
      </c>
      <c r="N501" s="65">
        <f t="shared" si="83"/>
        <v>3230</v>
      </c>
      <c r="O501" s="65">
        <v>3230</v>
      </c>
      <c r="P501" s="65">
        <v>2910</v>
      </c>
      <c r="Q501" s="65">
        <f t="shared" si="70"/>
        <v>640.20000000000005</v>
      </c>
      <c r="R501" s="65">
        <f t="shared" si="71"/>
        <v>3550.2</v>
      </c>
      <c r="S501" s="272"/>
      <c r="T501" s="64">
        <v>29</v>
      </c>
      <c r="U501" s="274"/>
      <c r="V501" s="38">
        <v>3250</v>
      </c>
      <c r="W501" s="38">
        <f t="shared" si="72"/>
        <v>715</v>
      </c>
      <c r="X501" s="38">
        <f t="shared" si="73"/>
        <v>3965</v>
      </c>
    </row>
    <row r="502" spans="1:24" ht="26.25" customHeight="1" x14ac:dyDescent="0.35">
      <c r="A502" s="56" t="s">
        <v>2720</v>
      </c>
      <c r="B502" s="2">
        <v>470</v>
      </c>
      <c r="C502" s="89">
        <v>10105556</v>
      </c>
      <c r="D502" s="90" t="s">
        <v>19</v>
      </c>
      <c r="E502" s="74" t="s">
        <v>2184</v>
      </c>
      <c r="F502" s="75">
        <v>1</v>
      </c>
      <c r="G502" s="64" t="s">
        <v>0</v>
      </c>
      <c r="H502" s="61">
        <v>42004</v>
      </c>
      <c r="I502" s="107" t="s">
        <v>976</v>
      </c>
      <c r="J502" s="63" t="s">
        <v>1917</v>
      </c>
      <c r="K502" s="108" t="s">
        <v>778</v>
      </c>
      <c r="L502" s="64" t="s">
        <v>845</v>
      </c>
      <c r="M502" s="65">
        <f t="shared" si="77"/>
        <v>37057</v>
      </c>
      <c r="N502" s="65">
        <f t="shared" si="83"/>
        <v>37057</v>
      </c>
      <c r="O502" s="65">
        <v>37057</v>
      </c>
      <c r="P502" s="65">
        <v>37070</v>
      </c>
      <c r="Q502" s="65">
        <f t="shared" si="70"/>
        <v>8155.4</v>
      </c>
      <c r="R502" s="65">
        <f t="shared" si="71"/>
        <v>45225.4</v>
      </c>
      <c r="S502" s="272"/>
      <c r="T502" s="64">
        <v>29</v>
      </c>
      <c r="U502" s="274"/>
      <c r="V502" s="38">
        <v>41418</v>
      </c>
      <c r="W502" s="38">
        <f t="shared" si="72"/>
        <v>9111.9599999999991</v>
      </c>
      <c r="X502" s="38">
        <f t="shared" si="73"/>
        <v>50529.96</v>
      </c>
    </row>
    <row r="503" spans="1:24" ht="32.25" customHeight="1" x14ac:dyDescent="0.35">
      <c r="A503" s="56" t="s">
        <v>2721</v>
      </c>
      <c r="B503" s="2">
        <v>471</v>
      </c>
      <c r="C503" s="89">
        <v>10057332</v>
      </c>
      <c r="D503" s="90" t="s">
        <v>656</v>
      </c>
      <c r="E503" s="74" t="s">
        <v>2184</v>
      </c>
      <c r="F503" s="75">
        <v>1</v>
      </c>
      <c r="G503" s="64" t="s">
        <v>0</v>
      </c>
      <c r="H503" s="61">
        <v>42004</v>
      </c>
      <c r="I503" s="107" t="s">
        <v>976</v>
      </c>
      <c r="J503" s="63" t="s">
        <v>1917</v>
      </c>
      <c r="K503" s="108" t="s">
        <v>779</v>
      </c>
      <c r="L503" s="64" t="s">
        <v>845</v>
      </c>
      <c r="M503" s="65">
        <f t="shared" si="77"/>
        <v>11244</v>
      </c>
      <c r="N503" s="65">
        <f t="shared" si="83"/>
        <v>11244</v>
      </c>
      <c r="O503" s="65">
        <v>11244</v>
      </c>
      <c r="P503" s="65">
        <v>11250</v>
      </c>
      <c r="Q503" s="65">
        <f t="shared" si="70"/>
        <v>2475</v>
      </c>
      <c r="R503" s="65">
        <f t="shared" si="71"/>
        <v>13725</v>
      </c>
      <c r="S503" s="272"/>
      <c r="T503" s="64">
        <v>29</v>
      </c>
      <c r="U503" s="274"/>
      <c r="V503" s="38">
        <v>12567</v>
      </c>
      <c r="W503" s="38">
        <f t="shared" si="72"/>
        <v>2764.74</v>
      </c>
      <c r="X503" s="38">
        <f t="shared" si="73"/>
        <v>15331.74</v>
      </c>
    </row>
    <row r="504" spans="1:24" ht="24.75" customHeight="1" x14ac:dyDescent="0.35">
      <c r="A504" s="56" t="s">
        <v>2722</v>
      </c>
      <c r="B504" s="2">
        <v>472</v>
      </c>
      <c r="C504" s="89">
        <v>102002110</v>
      </c>
      <c r="D504" s="106" t="s">
        <v>677</v>
      </c>
      <c r="E504" s="74" t="s">
        <v>2184</v>
      </c>
      <c r="F504" s="75">
        <v>1</v>
      </c>
      <c r="G504" s="64" t="s">
        <v>0</v>
      </c>
      <c r="H504" s="61">
        <v>42004</v>
      </c>
      <c r="I504" s="107" t="s">
        <v>976</v>
      </c>
      <c r="J504" s="63" t="s">
        <v>1917</v>
      </c>
      <c r="K504" s="108" t="s">
        <v>789</v>
      </c>
      <c r="L504" s="64" t="s">
        <v>845</v>
      </c>
      <c r="M504" s="65">
        <f t="shared" si="77"/>
        <v>167208</v>
      </c>
      <c r="N504" s="65">
        <f t="shared" si="83"/>
        <v>167208</v>
      </c>
      <c r="O504" s="65">
        <v>167208</v>
      </c>
      <c r="P504" s="65">
        <v>150570</v>
      </c>
      <c r="Q504" s="65">
        <f t="shared" si="70"/>
        <v>33125.4</v>
      </c>
      <c r="R504" s="65">
        <f t="shared" si="71"/>
        <v>183695.4</v>
      </c>
      <c r="S504" s="272"/>
      <c r="T504" s="64">
        <v>29</v>
      </c>
      <c r="U504" s="274"/>
      <c r="V504" s="38">
        <v>168233</v>
      </c>
      <c r="W504" s="38">
        <f t="shared" si="72"/>
        <v>37011.26</v>
      </c>
      <c r="X504" s="38">
        <f t="shared" si="73"/>
        <v>205244.26</v>
      </c>
    </row>
    <row r="505" spans="1:24" ht="24" customHeight="1" x14ac:dyDescent="0.35">
      <c r="A505" s="56" t="s">
        <v>2723</v>
      </c>
      <c r="B505" s="2">
        <v>473</v>
      </c>
      <c r="C505" s="109">
        <v>102000721</v>
      </c>
      <c r="D505" s="110" t="s">
        <v>868</v>
      </c>
      <c r="E505" s="74" t="s">
        <v>2147</v>
      </c>
      <c r="F505" s="91">
        <v>1</v>
      </c>
      <c r="G505" s="64" t="s">
        <v>0</v>
      </c>
      <c r="H505" s="111" t="s">
        <v>2145</v>
      </c>
      <c r="I505" s="63" t="s">
        <v>972</v>
      </c>
      <c r="J505" s="112" t="s">
        <v>959</v>
      </c>
      <c r="K505" s="63" t="s">
        <v>961</v>
      </c>
      <c r="L505" s="61" t="s">
        <v>845</v>
      </c>
      <c r="M505" s="65">
        <f t="shared" si="77"/>
        <v>61800</v>
      </c>
      <c r="N505" s="65">
        <f t="shared" si="83"/>
        <v>61800</v>
      </c>
      <c r="O505" s="65">
        <v>61800</v>
      </c>
      <c r="P505" s="65">
        <v>45440</v>
      </c>
      <c r="Q505" s="65">
        <f t="shared" si="70"/>
        <v>9996.7999999999993</v>
      </c>
      <c r="R505" s="65">
        <f t="shared" si="71"/>
        <v>55436.800000000003</v>
      </c>
      <c r="S505" s="272"/>
      <c r="T505" s="64">
        <v>29</v>
      </c>
      <c r="U505" s="274"/>
      <c r="V505" s="38">
        <v>50767</v>
      </c>
      <c r="W505" s="38">
        <f t="shared" si="72"/>
        <v>11168.74</v>
      </c>
      <c r="X505" s="38">
        <f t="shared" si="73"/>
        <v>61935.74</v>
      </c>
    </row>
    <row r="506" spans="1:24" ht="26.25" customHeight="1" x14ac:dyDescent="0.35">
      <c r="A506" s="56" t="s">
        <v>2724</v>
      </c>
      <c r="B506" s="2">
        <v>474</v>
      </c>
      <c r="C506" s="109">
        <v>102001431</v>
      </c>
      <c r="D506" s="110" t="s">
        <v>869</v>
      </c>
      <c r="E506" s="74" t="s">
        <v>2147</v>
      </c>
      <c r="F506" s="114">
        <v>2</v>
      </c>
      <c r="G506" s="64" t="s">
        <v>0</v>
      </c>
      <c r="H506" s="111" t="s">
        <v>2145</v>
      </c>
      <c r="I506" s="63" t="s">
        <v>972</v>
      </c>
      <c r="J506" s="112" t="s">
        <v>959</v>
      </c>
      <c r="K506" s="63" t="s">
        <v>961</v>
      </c>
      <c r="L506" s="61" t="s">
        <v>845</v>
      </c>
      <c r="M506" s="65">
        <f t="shared" si="77"/>
        <v>340020</v>
      </c>
      <c r="N506" s="65">
        <f t="shared" si="83"/>
        <v>170010</v>
      </c>
      <c r="O506" s="65">
        <v>340020</v>
      </c>
      <c r="P506" s="65">
        <v>249990</v>
      </c>
      <c r="Q506" s="65">
        <f t="shared" si="70"/>
        <v>54997.8</v>
      </c>
      <c r="R506" s="65">
        <f t="shared" si="71"/>
        <v>304987.8</v>
      </c>
      <c r="S506" s="272"/>
      <c r="T506" s="64">
        <v>29</v>
      </c>
      <c r="U506" s="274"/>
      <c r="V506" s="38">
        <v>279320</v>
      </c>
      <c r="W506" s="38">
        <f t="shared" si="72"/>
        <v>61450.400000000001</v>
      </c>
      <c r="X506" s="38">
        <f t="shared" si="73"/>
        <v>340770.4</v>
      </c>
    </row>
    <row r="507" spans="1:24" ht="35.25" customHeight="1" x14ac:dyDescent="0.35">
      <c r="A507" s="56" t="s">
        <v>2725</v>
      </c>
      <c r="B507" s="2">
        <v>475</v>
      </c>
      <c r="C507" s="109">
        <v>102001136</v>
      </c>
      <c r="D507" s="110" t="s">
        <v>870</v>
      </c>
      <c r="E507" s="74" t="s">
        <v>2147</v>
      </c>
      <c r="F507" s="91">
        <v>1</v>
      </c>
      <c r="G507" s="64" t="s">
        <v>0</v>
      </c>
      <c r="H507" s="111" t="s">
        <v>2145</v>
      </c>
      <c r="I507" s="63" t="s">
        <v>972</v>
      </c>
      <c r="J507" s="112" t="s">
        <v>959</v>
      </c>
      <c r="K507" s="63" t="s">
        <v>961</v>
      </c>
      <c r="L507" s="61" t="s">
        <v>845</v>
      </c>
      <c r="M507" s="65">
        <f t="shared" si="77"/>
        <v>54540</v>
      </c>
      <c r="N507" s="65">
        <f t="shared" si="83"/>
        <v>54540</v>
      </c>
      <c r="O507" s="65">
        <v>54540</v>
      </c>
      <c r="P507" s="65">
        <v>40100</v>
      </c>
      <c r="Q507" s="65">
        <f t="shared" si="70"/>
        <v>8822</v>
      </c>
      <c r="R507" s="65">
        <f t="shared" si="71"/>
        <v>48922</v>
      </c>
      <c r="S507" s="272"/>
      <c r="T507" s="64">
        <v>29</v>
      </c>
      <c r="U507" s="274"/>
      <c r="V507" s="38">
        <v>44804</v>
      </c>
      <c r="W507" s="38">
        <f t="shared" si="72"/>
        <v>9856.8799999999992</v>
      </c>
      <c r="X507" s="38">
        <f t="shared" si="73"/>
        <v>54660.88</v>
      </c>
    </row>
    <row r="508" spans="1:24" ht="36" customHeight="1" x14ac:dyDescent="0.35">
      <c r="A508" s="56" t="s">
        <v>2726</v>
      </c>
      <c r="B508" s="2">
        <v>476</v>
      </c>
      <c r="C508" s="109">
        <v>102000690</v>
      </c>
      <c r="D508" s="110" t="s">
        <v>871</v>
      </c>
      <c r="E508" s="74" t="s">
        <v>2147</v>
      </c>
      <c r="F508" s="91">
        <v>1</v>
      </c>
      <c r="G508" s="64" t="s">
        <v>0</v>
      </c>
      <c r="H508" s="111" t="s">
        <v>2145</v>
      </c>
      <c r="I508" s="63" t="s">
        <v>972</v>
      </c>
      <c r="J508" s="112" t="s">
        <v>959</v>
      </c>
      <c r="K508" s="63" t="s">
        <v>961</v>
      </c>
      <c r="L508" s="61" t="s">
        <v>845</v>
      </c>
      <c r="M508" s="65">
        <f t="shared" si="77"/>
        <v>54540</v>
      </c>
      <c r="N508" s="65">
        <f t="shared" si="83"/>
        <v>54540</v>
      </c>
      <c r="O508" s="65">
        <v>54540</v>
      </c>
      <c r="P508" s="65">
        <v>40100</v>
      </c>
      <c r="Q508" s="65">
        <f t="shared" si="70"/>
        <v>8822</v>
      </c>
      <c r="R508" s="65">
        <f t="shared" si="71"/>
        <v>48922</v>
      </c>
      <c r="S508" s="272"/>
      <c r="T508" s="64">
        <v>29</v>
      </c>
      <c r="U508" s="274"/>
      <c r="V508" s="38">
        <v>44804</v>
      </c>
      <c r="W508" s="38">
        <f t="shared" si="72"/>
        <v>9856.8799999999992</v>
      </c>
      <c r="X508" s="38">
        <f t="shared" si="73"/>
        <v>54660.88</v>
      </c>
    </row>
    <row r="509" spans="1:24" ht="22.5" customHeight="1" x14ac:dyDescent="0.35">
      <c r="A509" s="56" t="s">
        <v>2727</v>
      </c>
      <c r="B509" s="2">
        <v>477</v>
      </c>
      <c r="C509" s="109">
        <v>102000768</v>
      </c>
      <c r="D509" s="110" t="s">
        <v>872</v>
      </c>
      <c r="E509" s="74" t="s">
        <v>2147</v>
      </c>
      <c r="F509" s="91">
        <v>1</v>
      </c>
      <c r="G509" s="64" t="s">
        <v>0</v>
      </c>
      <c r="H509" s="111" t="s">
        <v>2145</v>
      </c>
      <c r="I509" s="63" t="s">
        <v>972</v>
      </c>
      <c r="J509" s="63" t="s">
        <v>1917</v>
      </c>
      <c r="K509" s="63" t="s">
        <v>961</v>
      </c>
      <c r="L509" s="61" t="s">
        <v>845</v>
      </c>
      <c r="M509" s="65">
        <f t="shared" si="77"/>
        <v>58483.360000000001</v>
      </c>
      <c r="N509" s="65">
        <f t="shared" si="83"/>
        <v>58483.360000000001</v>
      </c>
      <c r="O509" s="65">
        <v>58483.360000000001</v>
      </c>
      <c r="P509" s="65">
        <v>43000</v>
      </c>
      <c r="Q509" s="65">
        <f t="shared" si="70"/>
        <v>9460</v>
      </c>
      <c r="R509" s="65">
        <f t="shared" si="71"/>
        <v>52460</v>
      </c>
      <c r="S509" s="272"/>
      <c r="T509" s="64">
        <v>29</v>
      </c>
      <c r="U509" s="274"/>
      <c r="V509" s="38">
        <v>48043</v>
      </c>
      <c r="W509" s="38">
        <f t="shared" si="72"/>
        <v>10569.46</v>
      </c>
      <c r="X509" s="38">
        <f t="shared" si="73"/>
        <v>58612.46</v>
      </c>
    </row>
    <row r="510" spans="1:24" ht="27.75" customHeight="1" x14ac:dyDescent="0.35">
      <c r="A510" s="56" t="s">
        <v>2728</v>
      </c>
      <c r="B510" s="2">
        <v>478</v>
      </c>
      <c r="C510" s="109">
        <v>102000957</v>
      </c>
      <c r="D510" s="110" t="s">
        <v>873</v>
      </c>
      <c r="E510" s="74" t="s">
        <v>2147</v>
      </c>
      <c r="F510" s="91">
        <v>1</v>
      </c>
      <c r="G510" s="64" t="s">
        <v>0</v>
      </c>
      <c r="H510" s="111" t="s">
        <v>2145</v>
      </c>
      <c r="I510" s="63" t="s">
        <v>972</v>
      </c>
      <c r="J510" s="63" t="s">
        <v>1917</v>
      </c>
      <c r="K510" s="63" t="s">
        <v>961</v>
      </c>
      <c r="L510" s="61" t="s">
        <v>845</v>
      </c>
      <c r="M510" s="65">
        <f t="shared" si="77"/>
        <v>55645.34</v>
      </c>
      <c r="N510" s="65">
        <f t="shared" si="83"/>
        <v>55645.34</v>
      </c>
      <c r="O510" s="65">
        <v>55645.34</v>
      </c>
      <c r="P510" s="65">
        <v>40910</v>
      </c>
      <c r="Q510" s="65">
        <f t="shared" si="70"/>
        <v>9000.2000000000007</v>
      </c>
      <c r="R510" s="65">
        <f t="shared" si="71"/>
        <v>49910.2</v>
      </c>
      <c r="S510" s="272"/>
      <c r="T510" s="64">
        <v>29</v>
      </c>
      <c r="U510" s="274"/>
      <c r="V510" s="38">
        <v>45712</v>
      </c>
      <c r="W510" s="38">
        <f t="shared" si="72"/>
        <v>10056.64</v>
      </c>
      <c r="X510" s="38">
        <f t="shared" si="73"/>
        <v>55768.639999999999</v>
      </c>
    </row>
    <row r="511" spans="1:24" ht="40.5" customHeight="1" x14ac:dyDescent="0.35">
      <c r="A511" s="56" t="s">
        <v>2729</v>
      </c>
      <c r="B511" s="2">
        <v>479</v>
      </c>
      <c r="C511" s="109">
        <v>102000902</v>
      </c>
      <c r="D511" s="110" t="s">
        <v>874</v>
      </c>
      <c r="E511" s="74" t="s">
        <v>2147</v>
      </c>
      <c r="F511" s="91">
        <v>1</v>
      </c>
      <c r="G511" s="64" t="s">
        <v>0</v>
      </c>
      <c r="H511" s="111" t="s">
        <v>2145</v>
      </c>
      <c r="I511" s="63" t="s">
        <v>972</v>
      </c>
      <c r="J511" s="63" t="s">
        <v>1917</v>
      </c>
      <c r="K511" s="63" t="s">
        <v>961</v>
      </c>
      <c r="L511" s="61" t="s">
        <v>845</v>
      </c>
      <c r="M511" s="65">
        <f t="shared" si="77"/>
        <v>57083.66</v>
      </c>
      <c r="N511" s="65">
        <f t="shared" si="83"/>
        <v>57083.66</v>
      </c>
      <c r="O511" s="65">
        <v>57083.66</v>
      </c>
      <c r="P511" s="65">
        <v>41970</v>
      </c>
      <c r="Q511" s="65">
        <f t="shared" si="70"/>
        <v>9233.4</v>
      </c>
      <c r="R511" s="65">
        <f t="shared" si="71"/>
        <v>51203.4</v>
      </c>
      <c r="S511" s="272"/>
      <c r="T511" s="64">
        <v>29</v>
      </c>
      <c r="U511" s="274"/>
      <c r="V511" s="38">
        <v>46893</v>
      </c>
      <c r="W511" s="38">
        <f t="shared" si="72"/>
        <v>10316.459999999999</v>
      </c>
      <c r="X511" s="38">
        <f t="shared" si="73"/>
        <v>57209.46</v>
      </c>
    </row>
    <row r="512" spans="1:24" ht="30" customHeight="1" x14ac:dyDescent="0.35">
      <c r="A512" s="56" t="s">
        <v>2730</v>
      </c>
      <c r="B512" s="2">
        <v>480</v>
      </c>
      <c r="C512" s="109">
        <v>102000725</v>
      </c>
      <c r="D512" s="110" t="s">
        <v>875</v>
      </c>
      <c r="E512" s="74" t="s">
        <v>2147</v>
      </c>
      <c r="F512" s="91">
        <v>1</v>
      </c>
      <c r="G512" s="64" t="s">
        <v>0</v>
      </c>
      <c r="H512" s="111" t="s">
        <v>2145</v>
      </c>
      <c r="I512" s="63" t="s">
        <v>972</v>
      </c>
      <c r="J512" s="63" t="s">
        <v>1917</v>
      </c>
      <c r="K512" s="63" t="s">
        <v>961</v>
      </c>
      <c r="L512" s="61" t="s">
        <v>845</v>
      </c>
      <c r="M512" s="65">
        <f t="shared" si="77"/>
        <v>57324.81</v>
      </c>
      <c r="N512" s="65">
        <f t="shared" si="83"/>
        <v>57324.81</v>
      </c>
      <c r="O512" s="65">
        <v>57324.81</v>
      </c>
      <c r="P512" s="65">
        <v>42150</v>
      </c>
      <c r="Q512" s="65">
        <f t="shared" ref="Q512:Q574" si="84">P512*0.22</f>
        <v>9273</v>
      </c>
      <c r="R512" s="65">
        <f t="shared" ref="R512:R574" si="85">P512+Q512</f>
        <v>51423</v>
      </c>
      <c r="S512" s="272"/>
      <c r="T512" s="64">
        <v>29</v>
      </c>
      <c r="U512" s="274"/>
      <c r="V512" s="38">
        <v>47091</v>
      </c>
      <c r="W512" s="38">
        <f t="shared" ref="W512:W574" si="86">V512*0.22</f>
        <v>10360.02</v>
      </c>
      <c r="X512" s="38">
        <f t="shared" si="73"/>
        <v>57451.02</v>
      </c>
    </row>
    <row r="513" spans="1:24" ht="16.5" customHeight="1" x14ac:dyDescent="0.35">
      <c r="A513" s="56" t="s">
        <v>2731</v>
      </c>
      <c r="B513" s="2">
        <v>481</v>
      </c>
      <c r="C513" s="109">
        <v>102000822</v>
      </c>
      <c r="D513" s="110" t="s">
        <v>876</v>
      </c>
      <c r="E513" s="74" t="s">
        <v>2147</v>
      </c>
      <c r="F513" s="91">
        <v>1</v>
      </c>
      <c r="G513" s="64" t="s">
        <v>0</v>
      </c>
      <c r="H513" s="111" t="s">
        <v>2145</v>
      </c>
      <c r="I513" s="63" t="s">
        <v>972</v>
      </c>
      <c r="J513" s="63" t="s">
        <v>1917</v>
      </c>
      <c r="K513" s="63" t="s">
        <v>961</v>
      </c>
      <c r="L513" s="61" t="s">
        <v>845</v>
      </c>
      <c r="M513" s="65">
        <f t="shared" si="77"/>
        <v>55484.49</v>
      </c>
      <c r="N513" s="65">
        <f t="shared" si="83"/>
        <v>55484.49</v>
      </c>
      <c r="O513" s="65">
        <v>55484.49</v>
      </c>
      <c r="P513" s="65">
        <v>40790</v>
      </c>
      <c r="Q513" s="65">
        <f t="shared" si="84"/>
        <v>8973.7999999999993</v>
      </c>
      <c r="R513" s="65">
        <f t="shared" si="85"/>
        <v>49763.8</v>
      </c>
      <c r="S513" s="272"/>
      <c r="T513" s="64">
        <v>29</v>
      </c>
      <c r="U513" s="274"/>
      <c r="V513" s="38">
        <v>45579</v>
      </c>
      <c r="W513" s="38">
        <f t="shared" si="86"/>
        <v>10027.379999999999</v>
      </c>
      <c r="X513" s="38">
        <f t="shared" si="73"/>
        <v>55606.38</v>
      </c>
    </row>
    <row r="514" spans="1:24" ht="35.25" customHeight="1" x14ac:dyDescent="0.35">
      <c r="A514" s="56" t="s">
        <v>2732</v>
      </c>
      <c r="B514" s="2">
        <v>482</v>
      </c>
      <c r="C514" s="109">
        <v>102001471</v>
      </c>
      <c r="D514" s="110" t="s">
        <v>877</v>
      </c>
      <c r="E514" s="74" t="s">
        <v>2147</v>
      </c>
      <c r="F514" s="91">
        <v>1</v>
      </c>
      <c r="G514" s="64" t="s">
        <v>0</v>
      </c>
      <c r="H514" s="111" t="s">
        <v>2145</v>
      </c>
      <c r="I514" s="63" t="s">
        <v>972</v>
      </c>
      <c r="J514" s="63" t="s">
        <v>1917</v>
      </c>
      <c r="K514" s="63" t="s">
        <v>961</v>
      </c>
      <c r="L514" s="61" t="s">
        <v>845</v>
      </c>
      <c r="M514" s="65">
        <f t="shared" si="77"/>
        <v>15552.98</v>
      </c>
      <c r="N514" s="65">
        <f t="shared" si="83"/>
        <v>15552.98</v>
      </c>
      <c r="O514" s="65">
        <v>15552.98</v>
      </c>
      <c r="P514" s="65">
        <v>11430</v>
      </c>
      <c r="Q514" s="65">
        <f t="shared" si="84"/>
        <v>2514.6</v>
      </c>
      <c r="R514" s="65">
        <f t="shared" si="85"/>
        <v>13944.6</v>
      </c>
      <c r="S514" s="272"/>
      <c r="T514" s="64">
        <v>29</v>
      </c>
      <c r="U514" s="274"/>
      <c r="V514" s="38">
        <v>12776</v>
      </c>
      <c r="W514" s="38">
        <f t="shared" si="86"/>
        <v>2810.72</v>
      </c>
      <c r="X514" s="38">
        <f t="shared" ref="X514:X576" si="87">V514+W514</f>
        <v>15586.72</v>
      </c>
    </row>
    <row r="515" spans="1:24" ht="30" customHeight="1" x14ac:dyDescent="0.35">
      <c r="A515" s="56" t="s">
        <v>2733</v>
      </c>
      <c r="B515" s="2">
        <v>483</v>
      </c>
      <c r="C515" s="77">
        <v>10105556</v>
      </c>
      <c r="D515" s="74" t="s">
        <v>19</v>
      </c>
      <c r="E515" s="59" t="s">
        <v>2167</v>
      </c>
      <c r="F515" s="75">
        <v>1</v>
      </c>
      <c r="G515" s="64" t="s">
        <v>0</v>
      </c>
      <c r="H515" s="61">
        <v>41431</v>
      </c>
      <c r="I515" s="4" t="s">
        <v>957</v>
      </c>
      <c r="J515" s="63" t="s">
        <v>1917</v>
      </c>
      <c r="K515" s="61" t="s">
        <v>821</v>
      </c>
      <c r="L515" s="61" t="s">
        <v>2097</v>
      </c>
      <c r="M515" s="65">
        <f t="shared" si="77"/>
        <v>14196.75</v>
      </c>
      <c r="N515" s="65">
        <f t="shared" si="83"/>
        <v>14196.75</v>
      </c>
      <c r="O515" s="65">
        <v>14196.75</v>
      </c>
      <c r="P515" s="65">
        <v>20590</v>
      </c>
      <c r="Q515" s="65">
        <f t="shared" si="84"/>
        <v>4529.8</v>
      </c>
      <c r="R515" s="65">
        <f t="shared" si="85"/>
        <v>25119.8</v>
      </c>
      <c r="S515" s="272"/>
      <c r="T515" s="64">
        <v>29</v>
      </c>
      <c r="U515" s="274"/>
      <c r="V515" s="38">
        <v>23008</v>
      </c>
      <c r="W515" s="38">
        <f t="shared" si="86"/>
        <v>5061.76</v>
      </c>
      <c r="X515" s="38">
        <f t="shared" si="87"/>
        <v>28069.759999999998</v>
      </c>
    </row>
    <row r="516" spans="1:24" ht="30" customHeight="1" x14ac:dyDescent="0.35">
      <c r="A516" s="56" t="s">
        <v>2734</v>
      </c>
      <c r="B516" s="2">
        <v>484</v>
      </c>
      <c r="C516" s="77">
        <v>10120756</v>
      </c>
      <c r="D516" s="74" t="s">
        <v>22</v>
      </c>
      <c r="E516" s="59" t="s">
        <v>2167</v>
      </c>
      <c r="F516" s="75">
        <v>1</v>
      </c>
      <c r="G516" s="64" t="s">
        <v>0</v>
      </c>
      <c r="H516" s="61">
        <v>42004</v>
      </c>
      <c r="I516" s="4" t="s">
        <v>957</v>
      </c>
      <c r="J516" s="63" t="s">
        <v>1917</v>
      </c>
      <c r="K516" s="61" t="s">
        <v>765</v>
      </c>
      <c r="L516" s="61" t="s">
        <v>2097</v>
      </c>
      <c r="M516" s="65">
        <f t="shared" si="77"/>
        <v>8035.57</v>
      </c>
      <c r="N516" s="65">
        <f t="shared" si="83"/>
        <v>8035.57</v>
      </c>
      <c r="O516" s="65">
        <v>8035.57</v>
      </c>
      <c r="P516" s="65">
        <v>10490</v>
      </c>
      <c r="Q516" s="65">
        <f t="shared" si="84"/>
        <v>2307.8000000000002</v>
      </c>
      <c r="R516" s="65">
        <f t="shared" si="85"/>
        <v>12797.8</v>
      </c>
      <c r="S516" s="272"/>
      <c r="T516" s="64">
        <v>29</v>
      </c>
      <c r="U516" s="274"/>
      <c r="V516" s="38">
        <v>11723</v>
      </c>
      <c r="W516" s="38">
        <f t="shared" si="86"/>
        <v>2579.06</v>
      </c>
      <c r="X516" s="38">
        <f t="shared" si="87"/>
        <v>14302.06</v>
      </c>
    </row>
    <row r="517" spans="1:24" ht="30" customHeight="1" x14ac:dyDescent="0.35">
      <c r="A517" s="56" t="s">
        <v>2735</v>
      </c>
      <c r="B517" s="2">
        <v>485</v>
      </c>
      <c r="C517" s="77">
        <v>10120768</v>
      </c>
      <c r="D517" s="74" t="s">
        <v>23</v>
      </c>
      <c r="E517" s="59" t="s">
        <v>2167</v>
      </c>
      <c r="F517" s="75">
        <v>1</v>
      </c>
      <c r="G517" s="64" t="s">
        <v>0</v>
      </c>
      <c r="H517" s="61">
        <v>42004</v>
      </c>
      <c r="I517" s="4" t="s">
        <v>957</v>
      </c>
      <c r="J517" s="63" t="s">
        <v>1917</v>
      </c>
      <c r="K517" s="61" t="s">
        <v>767</v>
      </c>
      <c r="L517" s="61" t="s">
        <v>2097</v>
      </c>
      <c r="M517" s="65">
        <f t="shared" si="77"/>
        <v>4945.18</v>
      </c>
      <c r="N517" s="65">
        <f t="shared" si="83"/>
        <v>4945.18</v>
      </c>
      <c r="O517" s="65">
        <v>4945.18</v>
      </c>
      <c r="P517" s="65">
        <v>6460</v>
      </c>
      <c r="Q517" s="65">
        <f t="shared" si="84"/>
        <v>1421.2</v>
      </c>
      <c r="R517" s="65">
        <f t="shared" si="85"/>
        <v>7881.2</v>
      </c>
      <c r="S517" s="272"/>
      <c r="T517" s="64">
        <v>29</v>
      </c>
      <c r="U517" s="274"/>
      <c r="V517" s="38">
        <v>7214</v>
      </c>
      <c r="W517" s="38">
        <f t="shared" si="86"/>
        <v>1587.08</v>
      </c>
      <c r="X517" s="38">
        <f t="shared" si="87"/>
        <v>8801.08</v>
      </c>
    </row>
    <row r="518" spans="1:24" ht="34.5" customHeight="1" x14ac:dyDescent="0.35">
      <c r="A518" s="56" t="s">
        <v>2736</v>
      </c>
      <c r="B518" s="2">
        <v>486</v>
      </c>
      <c r="C518" s="77">
        <v>10120769</v>
      </c>
      <c r="D518" s="74" t="s">
        <v>24</v>
      </c>
      <c r="E518" s="74" t="s">
        <v>2167</v>
      </c>
      <c r="F518" s="75">
        <v>1</v>
      </c>
      <c r="G518" s="64" t="s">
        <v>0</v>
      </c>
      <c r="H518" s="61">
        <v>41577</v>
      </c>
      <c r="I518" s="4" t="s">
        <v>957</v>
      </c>
      <c r="J518" s="63" t="s">
        <v>1917</v>
      </c>
      <c r="K518" s="61" t="s">
        <v>768</v>
      </c>
      <c r="L518" s="61" t="s">
        <v>2097</v>
      </c>
      <c r="M518" s="65">
        <f t="shared" si="77"/>
        <v>4912.3599999999997</v>
      </c>
      <c r="N518" s="65">
        <f t="shared" si="83"/>
        <v>4912.3599999999997</v>
      </c>
      <c r="O518" s="65">
        <v>4912.3599999999997</v>
      </c>
      <c r="P518" s="65">
        <v>6410</v>
      </c>
      <c r="Q518" s="65">
        <f t="shared" si="84"/>
        <v>1410.2</v>
      </c>
      <c r="R518" s="65">
        <f t="shared" si="85"/>
        <v>7820.2</v>
      </c>
      <c r="S518" s="276"/>
      <c r="T518" s="64">
        <v>29</v>
      </c>
      <c r="U518" s="274"/>
      <c r="V518" s="38">
        <v>7167</v>
      </c>
      <c r="W518" s="38">
        <f t="shared" si="86"/>
        <v>1576.74</v>
      </c>
      <c r="X518" s="38">
        <f t="shared" si="87"/>
        <v>8743.74</v>
      </c>
    </row>
    <row r="519" spans="1:24" ht="14.25" customHeight="1" x14ac:dyDescent="0.35">
      <c r="A519" s="56"/>
      <c r="B519" s="15"/>
      <c r="C519" s="77"/>
      <c r="D519" s="74"/>
      <c r="E519" s="74"/>
      <c r="F519" s="75"/>
      <c r="G519" s="64"/>
      <c r="H519" s="61"/>
      <c r="I519" s="4"/>
      <c r="J519" s="63"/>
      <c r="K519" s="61"/>
      <c r="L519" s="61"/>
      <c r="M519" s="65"/>
      <c r="N519" s="65"/>
      <c r="O519" s="126">
        <f>SUM(O494:O518)</f>
        <v>2389611.15</v>
      </c>
      <c r="P519" s="126">
        <f t="shared" ref="P519:R519" si="88">SUM(P494:P518)</f>
        <v>2164270</v>
      </c>
      <c r="Q519" s="126">
        <f t="shared" si="88"/>
        <v>476139.4</v>
      </c>
      <c r="R519" s="126">
        <f t="shared" si="88"/>
        <v>2640409.4</v>
      </c>
      <c r="S519" s="72">
        <f>R519/100*10</f>
        <v>264040.94</v>
      </c>
      <c r="T519" s="73">
        <v>29</v>
      </c>
      <c r="U519" s="275"/>
      <c r="V519" s="38"/>
      <c r="W519" s="38"/>
      <c r="X519" s="38"/>
    </row>
    <row r="520" spans="1:24" ht="30" customHeight="1" x14ac:dyDescent="0.35">
      <c r="A520" s="56" t="s">
        <v>2737</v>
      </c>
      <c r="B520" s="2">
        <v>487</v>
      </c>
      <c r="C520" s="77">
        <v>10121147</v>
      </c>
      <c r="D520" s="74" t="s">
        <v>1824</v>
      </c>
      <c r="E520" s="59" t="s">
        <v>2168</v>
      </c>
      <c r="F520" s="75">
        <v>1</v>
      </c>
      <c r="G520" s="64" t="s">
        <v>0</v>
      </c>
      <c r="H520" s="78">
        <v>42361</v>
      </c>
      <c r="I520" s="4" t="s">
        <v>957</v>
      </c>
      <c r="J520" s="63" t="s">
        <v>1917</v>
      </c>
      <c r="K520" s="63" t="s">
        <v>961</v>
      </c>
      <c r="L520" s="69" t="s">
        <v>950</v>
      </c>
      <c r="M520" s="70">
        <f t="shared" si="77"/>
        <v>571.67999999999995</v>
      </c>
      <c r="N520" s="70">
        <f t="shared" ref="N520:N525" si="89">O520/F520</f>
        <v>571.67999999999995</v>
      </c>
      <c r="O520" s="70">
        <v>571.67999999999995</v>
      </c>
      <c r="P520" s="65">
        <v>820</v>
      </c>
      <c r="Q520" s="65">
        <f t="shared" si="84"/>
        <v>180.4</v>
      </c>
      <c r="R520" s="65">
        <f t="shared" si="85"/>
        <v>1000.4</v>
      </c>
      <c r="S520" s="267"/>
      <c r="T520" s="64">
        <v>30</v>
      </c>
      <c r="U520" s="273" t="s">
        <v>2265</v>
      </c>
      <c r="V520" s="38">
        <v>895</v>
      </c>
      <c r="W520" s="38">
        <f t="shared" si="86"/>
        <v>196.9</v>
      </c>
      <c r="X520" s="38">
        <f t="shared" si="87"/>
        <v>1091.9000000000001</v>
      </c>
    </row>
    <row r="521" spans="1:24" ht="30" customHeight="1" x14ac:dyDescent="0.35">
      <c r="A521" s="56" t="s">
        <v>2738</v>
      </c>
      <c r="B521" s="2">
        <v>488</v>
      </c>
      <c r="C521" s="77">
        <v>10109520</v>
      </c>
      <c r="D521" s="74" t="s">
        <v>1603</v>
      </c>
      <c r="E521" s="59" t="s">
        <v>2167</v>
      </c>
      <c r="F521" s="75">
        <v>1</v>
      </c>
      <c r="G521" s="64" t="s">
        <v>0</v>
      </c>
      <c r="H521" s="78">
        <v>40179</v>
      </c>
      <c r="I521" s="4" t="s">
        <v>957</v>
      </c>
      <c r="J521" s="63" t="s">
        <v>1952</v>
      </c>
      <c r="K521" s="63" t="s">
        <v>961</v>
      </c>
      <c r="L521" s="69" t="s">
        <v>950</v>
      </c>
      <c r="M521" s="70">
        <f t="shared" si="77"/>
        <v>1498.31</v>
      </c>
      <c r="N521" s="70">
        <f t="shared" si="89"/>
        <v>1498.31</v>
      </c>
      <c r="O521" s="70">
        <v>1498.31</v>
      </c>
      <c r="P521" s="65">
        <v>3020</v>
      </c>
      <c r="Q521" s="65">
        <f t="shared" si="84"/>
        <v>664.4</v>
      </c>
      <c r="R521" s="65">
        <f t="shared" si="85"/>
        <v>3684.4</v>
      </c>
      <c r="S521" s="272"/>
      <c r="T521" s="64">
        <v>30</v>
      </c>
      <c r="U521" s="274"/>
      <c r="V521" s="38">
        <v>3295</v>
      </c>
      <c r="W521" s="38">
        <f t="shared" si="86"/>
        <v>724.9</v>
      </c>
      <c r="X521" s="38">
        <f t="shared" si="87"/>
        <v>4019.9</v>
      </c>
    </row>
    <row r="522" spans="1:24" ht="30" customHeight="1" x14ac:dyDescent="0.35">
      <c r="A522" s="56" t="s">
        <v>2739</v>
      </c>
      <c r="B522" s="2">
        <v>489</v>
      </c>
      <c r="C522" s="77">
        <v>10036486</v>
      </c>
      <c r="D522" s="74" t="s">
        <v>1653</v>
      </c>
      <c r="E522" s="59" t="s">
        <v>2167</v>
      </c>
      <c r="F522" s="75">
        <v>5</v>
      </c>
      <c r="G522" s="64" t="s">
        <v>0</v>
      </c>
      <c r="H522" s="78">
        <v>41516</v>
      </c>
      <c r="I522" s="4" t="s">
        <v>957</v>
      </c>
      <c r="J522" s="63" t="s">
        <v>1917</v>
      </c>
      <c r="K522" s="63" t="s">
        <v>961</v>
      </c>
      <c r="L522" s="69" t="s">
        <v>950</v>
      </c>
      <c r="M522" s="70">
        <f t="shared" si="77"/>
        <v>6170.79</v>
      </c>
      <c r="N522" s="70">
        <f t="shared" si="89"/>
        <v>1234.1600000000001</v>
      </c>
      <c r="O522" s="70">
        <v>6170.79</v>
      </c>
      <c r="P522" s="65">
        <v>10530</v>
      </c>
      <c r="Q522" s="65">
        <f t="shared" si="84"/>
        <v>2316.6</v>
      </c>
      <c r="R522" s="65">
        <f t="shared" si="85"/>
        <v>12846.6</v>
      </c>
      <c r="S522" s="272"/>
      <c r="T522" s="64">
        <v>30</v>
      </c>
      <c r="U522" s="274"/>
      <c r="V522" s="38">
        <v>11487</v>
      </c>
      <c r="W522" s="38">
        <f t="shared" si="86"/>
        <v>2527.14</v>
      </c>
      <c r="X522" s="38">
        <f t="shared" si="87"/>
        <v>14014.14</v>
      </c>
    </row>
    <row r="523" spans="1:24" ht="30" customHeight="1" x14ac:dyDescent="0.35">
      <c r="A523" s="56" t="s">
        <v>2740</v>
      </c>
      <c r="B523" s="2">
        <v>490</v>
      </c>
      <c r="C523" s="77">
        <v>10121818</v>
      </c>
      <c r="D523" s="74" t="s">
        <v>1825</v>
      </c>
      <c r="E523" s="59" t="s">
        <v>2167</v>
      </c>
      <c r="F523" s="75">
        <v>28</v>
      </c>
      <c r="G523" s="64" t="s">
        <v>52</v>
      </c>
      <c r="H523" s="78">
        <v>41431</v>
      </c>
      <c r="I523" s="4" t="s">
        <v>957</v>
      </c>
      <c r="J523" s="63" t="s">
        <v>1917</v>
      </c>
      <c r="K523" s="63" t="s">
        <v>961</v>
      </c>
      <c r="L523" s="69" t="s">
        <v>950</v>
      </c>
      <c r="M523" s="70">
        <f t="shared" si="77"/>
        <v>4573.08</v>
      </c>
      <c r="N523" s="70">
        <f t="shared" si="89"/>
        <v>163.32</v>
      </c>
      <c r="O523" s="70">
        <v>4573.08</v>
      </c>
      <c r="P523" s="65">
        <v>7860</v>
      </c>
      <c r="Q523" s="65">
        <f t="shared" si="84"/>
        <v>1729.2</v>
      </c>
      <c r="R523" s="65">
        <f t="shared" si="85"/>
        <v>9589.2000000000007</v>
      </c>
      <c r="S523" s="272"/>
      <c r="T523" s="64">
        <v>30</v>
      </c>
      <c r="U523" s="274"/>
      <c r="V523" s="38">
        <v>8573</v>
      </c>
      <c r="W523" s="38">
        <f t="shared" si="86"/>
        <v>1886.06</v>
      </c>
      <c r="X523" s="38">
        <f t="shared" si="87"/>
        <v>10459.06</v>
      </c>
    </row>
    <row r="524" spans="1:24" ht="30" customHeight="1" x14ac:dyDescent="0.35">
      <c r="A524" s="56" t="s">
        <v>2741</v>
      </c>
      <c r="B524" s="2">
        <v>491</v>
      </c>
      <c r="C524" s="11">
        <v>10140198</v>
      </c>
      <c r="D524" s="3" t="s">
        <v>1343</v>
      </c>
      <c r="E524" s="59" t="s">
        <v>2167</v>
      </c>
      <c r="F524" s="14">
        <v>49</v>
      </c>
      <c r="G524" s="64" t="s">
        <v>0</v>
      </c>
      <c r="H524" s="5">
        <v>41244</v>
      </c>
      <c r="I524" s="4" t="s">
        <v>957</v>
      </c>
      <c r="J524" s="6" t="s">
        <v>1368</v>
      </c>
      <c r="K524" s="63" t="s">
        <v>961</v>
      </c>
      <c r="L524" s="69" t="s">
        <v>950</v>
      </c>
      <c r="M524" s="70">
        <f t="shared" si="77"/>
        <v>1127</v>
      </c>
      <c r="N524" s="70">
        <f t="shared" si="89"/>
        <v>23</v>
      </c>
      <c r="O524" s="70">
        <v>1127</v>
      </c>
      <c r="P524" s="65">
        <v>1990</v>
      </c>
      <c r="Q524" s="65">
        <f t="shared" si="84"/>
        <v>437.8</v>
      </c>
      <c r="R524" s="65">
        <f t="shared" si="85"/>
        <v>2427.8000000000002</v>
      </c>
      <c r="S524" s="272"/>
      <c r="T524" s="64">
        <v>30</v>
      </c>
      <c r="U524" s="274"/>
      <c r="V524" s="38">
        <v>2172</v>
      </c>
      <c r="W524" s="38">
        <f t="shared" si="86"/>
        <v>477.84</v>
      </c>
      <c r="X524" s="38">
        <f t="shared" si="87"/>
        <v>2649.84</v>
      </c>
    </row>
    <row r="525" spans="1:24" ht="30" customHeight="1" x14ac:dyDescent="0.35">
      <c r="A525" s="56" t="s">
        <v>2742</v>
      </c>
      <c r="B525" s="2">
        <v>492</v>
      </c>
      <c r="C525" s="11">
        <v>10140959</v>
      </c>
      <c r="D525" s="3" t="s">
        <v>1344</v>
      </c>
      <c r="E525" s="59" t="s">
        <v>2167</v>
      </c>
      <c r="F525" s="14">
        <v>45</v>
      </c>
      <c r="G525" s="64" t="s">
        <v>0</v>
      </c>
      <c r="H525" s="5">
        <v>41091</v>
      </c>
      <c r="I525" s="4" t="s">
        <v>957</v>
      </c>
      <c r="J525" s="63" t="s">
        <v>1917</v>
      </c>
      <c r="K525" s="63" t="s">
        <v>961</v>
      </c>
      <c r="L525" s="69" t="s">
        <v>950</v>
      </c>
      <c r="M525" s="70">
        <f t="shared" si="77"/>
        <v>151.19999999999999</v>
      </c>
      <c r="N525" s="70">
        <f t="shared" si="89"/>
        <v>3.36</v>
      </c>
      <c r="O525" s="70">
        <v>151.19999999999999</v>
      </c>
      <c r="P525" s="65">
        <v>270</v>
      </c>
      <c r="Q525" s="65">
        <f t="shared" si="84"/>
        <v>59.4</v>
      </c>
      <c r="R525" s="65">
        <f t="shared" si="85"/>
        <v>329.4</v>
      </c>
      <c r="S525" s="276"/>
      <c r="T525" s="64">
        <v>30</v>
      </c>
      <c r="U525" s="274"/>
      <c r="V525" s="38">
        <v>295</v>
      </c>
      <c r="W525" s="38">
        <f t="shared" si="86"/>
        <v>64.900000000000006</v>
      </c>
      <c r="X525" s="38">
        <f t="shared" si="87"/>
        <v>359.9</v>
      </c>
    </row>
    <row r="526" spans="1:24" ht="15" customHeight="1" x14ac:dyDescent="0.35">
      <c r="A526" s="56"/>
      <c r="B526" s="15"/>
      <c r="C526" s="11"/>
      <c r="D526" s="3"/>
      <c r="E526" s="59"/>
      <c r="F526" s="14"/>
      <c r="G526" s="64"/>
      <c r="H526" s="5"/>
      <c r="I526" s="4"/>
      <c r="J526" s="63"/>
      <c r="K526" s="63"/>
      <c r="L526" s="69"/>
      <c r="M526" s="70"/>
      <c r="N526" s="70"/>
      <c r="O526" s="71">
        <f>SUM(O520:O525)</f>
        <v>14092.06</v>
      </c>
      <c r="P526" s="71">
        <f t="shared" ref="P526:R526" si="90">SUM(P520:P525)</f>
        <v>24490</v>
      </c>
      <c r="Q526" s="71">
        <f t="shared" si="90"/>
        <v>5387.8</v>
      </c>
      <c r="R526" s="71">
        <f t="shared" si="90"/>
        <v>29877.8</v>
      </c>
      <c r="S526" s="72">
        <f>R526/100*10</f>
        <v>2987.78</v>
      </c>
      <c r="T526" s="73">
        <v>30</v>
      </c>
      <c r="U526" s="275"/>
      <c r="V526" s="38"/>
      <c r="W526" s="38"/>
      <c r="X526" s="38"/>
    </row>
    <row r="527" spans="1:24" ht="30" customHeight="1" x14ac:dyDescent="0.35">
      <c r="A527" s="56" t="s">
        <v>2743</v>
      </c>
      <c r="B527" s="2">
        <v>493</v>
      </c>
      <c r="C527" s="77">
        <v>10029474</v>
      </c>
      <c r="D527" s="74" t="s">
        <v>123</v>
      </c>
      <c r="E527" s="74" t="s">
        <v>2167</v>
      </c>
      <c r="F527" s="75">
        <v>174</v>
      </c>
      <c r="G527" s="64" t="s">
        <v>0</v>
      </c>
      <c r="H527" s="101">
        <v>2014</v>
      </c>
      <c r="I527" s="4" t="s">
        <v>957</v>
      </c>
      <c r="J527" s="61" t="s">
        <v>1917</v>
      </c>
      <c r="K527" s="101" t="s">
        <v>2081</v>
      </c>
      <c r="L527" s="61" t="s">
        <v>2097</v>
      </c>
      <c r="M527" s="65">
        <f t="shared" si="77"/>
        <v>2390.9699999999998</v>
      </c>
      <c r="N527" s="65">
        <f>O527/F527</f>
        <v>13.74</v>
      </c>
      <c r="O527" s="65">
        <v>2390.9699999999998</v>
      </c>
      <c r="P527" s="65">
        <v>3680</v>
      </c>
      <c r="Q527" s="65">
        <f t="shared" si="84"/>
        <v>809.6</v>
      </c>
      <c r="R527" s="65">
        <f t="shared" si="85"/>
        <v>4489.6000000000004</v>
      </c>
      <c r="S527" s="258"/>
      <c r="T527" s="64">
        <v>31</v>
      </c>
      <c r="U527" s="270" t="s">
        <v>2265</v>
      </c>
      <c r="V527" s="38">
        <v>3685</v>
      </c>
      <c r="W527" s="38">
        <f t="shared" si="86"/>
        <v>810.7</v>
      </c>
      <c r="X527" s="38">
        <f t="shared" si="87"/>
        <v>4495.7</v>
      </c>
    </row>
    <row r="528" spans="1:24" ht="15" customHeight="1" x14ac:dyDescent="0.35">
      <c r="A528" s="56"/>
      <c r="B528" s="15"/>
      <c r="C528" s="77"/>
      <c r="D528" s="74"/>
      <c r="E528" s="74"/>
      <c r="F528" s="75"/>
      <c r="G528" s="64"/>
      <c r="H528" s="101"/>
      <c r="I528" s="4"/>
      <c r="J528" s="61"/>
      <c r="K528" s="101"/>
      <c r="L528" s="61"/>
      <c r="M528" s="65"/>
      <c r="N528" s="65"/>
      <c r="O528" s="126">
        <f>SUM(O527:O527)</f>
        <v>2390.9699999999998</v>
      </c>
      <c r="P528" s="126">
        <f>SUM(P527:P527)</f>
        <v>3680</v>
      </c>
      <c r="Q528" s="126">
        <f>SUM(Q527:Q527)</f>
        <v>809.6</v>
      </c>
      <c r="R528" s="126">
        <f>SUM(R527:R527)</f>
        <v>4489.6000000000004</v>
      </c>
      <c r="S528" s="72">
        <f>R528/100*10</f>
        <v>448.96</v>
      </c>
      <c r="T528" s="73">
        <v>31</v>
      </c>
      <c r="U528" s="271"/>
      <c r="V528" s="38"/>
      <c r="W528" s="38"/>
      <c r="X528" s="38"/>
    </row>
    <row r="529" spans="1:24" ht="30" customHeight="1" x14ac:dyDescent="0.35">
      <c r="A529" s="56" t="s">
        <v>2744</v>
      </c>
      <c r="B529" s="2">
        <v>494</v>
      </c>
      <c r="C529" s="77">
        <v>10023094</v>
      </c>
      <c r="D529" s="74" t="s">
        <v>1423</v>
      </c>
      <c r="E529" s="59" t="s">
        <v>2167</v>
      </c>
      <c r="F529" s="75">
        <v>60</v>
      </c>
      <c r="G529" s="64" t="s">
        <v>17</v>
      </c>
      <c r="H529" s="78">
        <v>40287</v>
      </c>
      <c r="I529" s="4" t="s">
        <v>957</v>
      </c>
      <c r="J529" s="63" t="s">
        <v>1917</v>
      </c>
      <c r="K529" s="63" t="s">
        <v>961</v>
      </c>
      <c r="L529" s="69" t="s">
        <v>950</v>
      </c>
      <c r="M529" s="70">
        <f t="shared" si="77"/>
        <v>812.4</v>
      </c>
      <c r="N529" s="70">
        <f>O529/F529</f>
        <v>13.54</v>
      </c>
      <c r="O529" s="70">
        <v>812.4</v>
      </c>
      <c r="P529" s="65">
        <v>1650</v>
      </c>
      <c r="Q529" s="65">
        <f t="shared" si="84"/>
        <v>363</v>
      </c>
      <c r="R529" s="65">
        <f t="shared" si="85"/>
        <v>2013</v>
      </c>
      <c r="S529" s="267"/>
      <c r="T529" s="64">
        <v>32</v>
      </c>
      <c r="U529" s="273" t="s">
        <v>2266</v>
      </c>
      <c r="V529" s="38">
        <v>1801</v>
      </c>
      <c r="W529" s="38">
        <f t="shared" si="86"/>
        <v>396.22</v>
      </c>
      <c r="X529" s="38">
        <f t="shared" si="87"/>
        <v>2197.2199999999998</v>
      </c>
    </row>
    <row r="530" spans="1:24" ht="30" customHeight="1" x14ac:dyDescent="0.35">
      <c r="A530" s="56" t="s">
        <v>2745</v>
      </c>
      <c r="B530" s="2">
        <v>495</v>
      </c>
      <c r="C530" s="77">
        <v>10031420</v>
      </c>
      <c r="D530" s="74" t="s">
        <v>372</v>
      </c>
      <c r="E530" s="74" t="s">
        <v>2151</v>
      </c>
      <c r="F530" s="75">
        <f>7-6</f>
        <v>1</v>
      </c>
      <c r="G530" s="64" t="s">
        <v>0</v>
      </c>
      <c r="H530" s="61">
        <v>42824</v>
      </c>
      <c r="I530" s="61" t="s">
        <v>972</v>
      </c>
      <c r="J530" s="63" t="s">
        <v>1917</v>
      </c>
      <c r="K530" s="61" t="s">
        <v>961</v>
      </c>
      <c r="L530" s="61" t="s">
        <v>845</v>
      </c>
      <c r="M530" s="70">
        <v>397.64</v>
      </c>
      <c r="N530" s="70">
        <v>397.64</v>
      </c>
      <c r="O530" s="70">
        <v>397.64</v>
      </c>
      <c r="P530" s="65">
        <v>300</v>
      </c>
      <c r="Q530" s="65">
        <f t="shared" si="84"/>
        <v>66</v>
      </c>
      <c r="R530" s="65">
        <f t="shared" si="85"/>
        <v>366</v>
      </c>
      <c r="S530" s="272"/>
      <c r="T530" s="64">
        <v>32</v>
      </c>
      <c r="U530" s="270"/>
      <c r="V530" s="38">
        <v>332</v>
      </c>
      <c r="W530" s="38">
        <f t="shared" si="86"/>
        <v>73.040000000000006</v>
      </c>
      <c r="X530" s="38">
        <f t="shared" si="87"/>
        <v>405.04</v>
      </c>
    </row>
    <row r="531" spans="1:24" ht="30" customHeight="1" x14ac:dyDescent="0.35">
      <c r="A531" s="56" t="s">
        <v>2746</v>
      </c>
      <c r="B531" s="2">
        <v>496</v>
      </c>
      <c r="C531" s="74">
        <v>102029196</v>
      </c>
      <c r="D531" s="74" t="s">
        <v>2108</v>
      </c>
      <c r="E531" s="74" t="s">
        <v>2147</v>
      </c>
      <c r="F531" s="75">
        <v>910</v>
      </c>
      <c r="G531" s="64" t="s">
        <v>17</v>
      </c>
      <c r="H531" s="64">
        <v>2008</v>
      </c>
      <c r="I531" s="105" t="s">
        <v>972</v>
      </c>
      <c r="J531" s="63" t="s">
        <v>1917</v>
      </c>
      <c r="K531" s="63" t="s">
        <v>961</v>
      </c>
      <c r="L531" s="61" t="s">
        <v>845</v>
      </c>
      <c r="M531" s="70">
        <v>48621.3</v>
      </c>
      <c r="N531" s="70">
        <v>53.43</v>
      </c>
      <c r="O531" s="70">
        <v>48621.3</v>
      </c>
      <c r="P531" s="65">
        <v>64520</v>
      </c>
      <c r="Q531" s="65">
        <f t="shared" si="84"/>
        <v>14194.4</v>
      </c>
      <c r="R531" s="65">
        <f t="shared" si="85"/>
        <v>78714.399999999994</v>
      </c>
      <c r="S531" s="272"/>
      <c r="T531" s="64">
        <v>32</v>
      </c>
      <c r="U531" s="270"/>
      <c r="V531" s="38">
        <v>70360</v>
      </c>
      <c r="W531" s="38">
        <f t="shared" si="86"/>
        <v>15479.2</v>
      </c>
      <c r="X531" s="38">
        <f t="shared" si="87"/>
        <v>85839.2</v>
      </c>
    </row>
    <row r="532" spans="1:24" ht="30" customHeight="1" x14ac:dyDescent="0.35">
      <c r="A532" s="56" t="s">
        <v>2747</v>
      </c>
      <c r="B532" s="2">
        <v>497</v>
      </c>
      <c r="C532" s="74">
        <v>102029159</v>
      </c>
      <c r="D532" s="74" t="s">
        <v>2109</v>
      </c>
      <c r="E532" s="74" t="s">
        <v>2147</v>
      </c>
      <c r="F532" s="75">
        <v>2</v>
      </c>
      <c r="G532" s="64" t="s">
        <v>17</v>
      </c>
      <c r="H532" s="64">
        <v>2007</v>
      </c>
      <c r="I532" s="105" t="s">
        <v>972</v>
      </c>
      <c r="J532" s="63" t="s">
        <v>1917</v>
      </c>
      <c r="K532" s="63" t="s">
        <v>961</v>
      </c>
      <c r="L532" s="61" t="s">
        <v>845</v>
      </c>
      <c r="M532" s="70">
        <v>603.20000000000005</v>
      </c>
      <c r="N532" s="70">
        <v>301.60000000000002</v>
      </c>
      <c r="O532" s="70">
        <v>603.20000000000005</v>
      </c>
      <c r="P532" s="65">
        <v>880</v>
      </c>
      <c r="Q532" s="65">
        <f t="shared" si="84"/>
        <v>193.6</v>
      </c>
      <c r="R532" s="65">
        <f t="shared" si="85"/>
        <v>1073.5999999999999</v>
      </c>
      <c r="S532" s="272"/>
      <c r="T532" s="64">
        <v>32</v>
      </c>
      <c r="U532" s="270"/>
      <c r="V532" s="38">
        <v>956</v>
      </c>
      <c r="W532" s="38">
        <f t="shared" si="86"/>
        <v>210.32</v>
      </c>
      <c r="X532" s="38">
        <f t="shared" si="87"/>
        <v>1166.32</v>
      </c>
    </row>
    <row r="533" spans="1:24" ht="30" customHeight="1" x14ac:dyDescent="0.35">
      <c r="A533" s="56" t="s">
        <v>2748</v>
      </c>
      <c r="B533" s="2">
        <v>498</v>
      </c>
      <c r="C533" s="74">
        <v>102029219</v>
      </c>
      <c r="D533" s="74" t="s">
        <v>2110</v>
      </c>
      <c r="E533" s="74" t="s">
        <v>2147</v>
      </c>
      <c r="F533" s="75">
        <v>200</v>
      </c>
      <c r="G533" s="64" t="s">
        <v>17</v>
      </c>
      <c r="H533" s="64">
        <v>2007</v>
      </c>
      <c r="I533" s="105" t="s">
        <v>972</v>
      </c>
      <c r="J533" s="63" t="s">
        <v>1917</v>
      </c>
      <c r="K533" s="63" t="s">
        <v>961</v>
      </c>
      <c r="L533" s="61" t="s">
        <v>845</v>
      </c>
      <c r="M533" s="70">
        <v>3014</v>
      </c>
      <c r="N533" s="70">
        <v>15.07</v>
      </c>
      <c r="O533" s="70">
        <v>3014</v>
      </c>
      <c r="P533" s="65">
        <v>4380</v>
      </c>
      <c r="Q533" s="65">
        <f t="shared" si="84"/>
        <v>963.6</v>
      </c>
      <c r="R533" s="65">
        <f t="shared" si="85"/>
        <v>5343.6</v>
      </c>
      <c r="S533" s="272"/>
      <c r="T533" s="64">
        <v>32</v>
      </c>
      <c r="U533" s="270"/>
      <c r="V533" s="38">
        <v>4775</v>
      </c>
      <c r="W533" s="38">
        <f t="shared" si="86"/>
        <v>1050.5</v>
      </c>
      <c r="X533" s="38">
        <f t="shared" si="87"/>
        <v>5825.5</v>
      </c>
    </row>
    <row r="534" spans="1:24" ht="30" customHeight="1" x14ac:dyDescent="0.35">
      <c r="A534" s="56" t="s">
        <v>2749</v>
      </c>
      <c r="B534" s="2">
        <v>499</v>
      </c>
      <c r="C534" s="74">
        <v>102029218</v>
      </c>
      <c r="D534" s="74" t="s">
        <v>2111</v>
      </c>
      <c r="E534" s="74" t="s">
        <v>2147</v>
      </c>
      <c r="F534" s="75">
        <f>600-350</f>
        <v>250</v>
      </c>
      <c r="G534" s="64" t="s">
        <v>17</v>
      </c>
      <c r="H534" s="64">
        <v>2007</v>
      </c>
      <c r="I534" s="105" t="s">
        <v>972</v>
      </c>
      <c r="J534" s="63" t="s">
        <v>1917</v>
      </c>
      <c r="K534" s="63" t="s">
        <v>961</v>
      </c>
      <c r="L534" s="61" t="s">
        <v>845</v>
      </c>
      <c r="M534" s="70">
        <v>62255</v>
      </c>
      <c r="N534" s="70">
        <v>249.02</v>
      </c>
      <c r="O534" s="70">
        <v>62255</v>
      </c>
      <c r="P534" s="65">
        <v>90440</v>
      </c>
      <c r="Q534" s="65">
        <f t="shared" si="84"/>
        <v>19896.8</v>
      </c>
      <c r="R534" s="65">
        <f t="shared" si="85"/>
        <v>110336.8</v>
      </c>
      <c r="S534" s="272"/>
      <c r="T534" s="64">
        <v>32</v>
      </c>
      <c r="U534" s="270"/>
      <c r="V534" s="38">
        <v>98625</v>
      </c>
      <c r="W534" s="38">
        <f t="shared" si="86"/>
        <v>21697.5</v>
      </c>
      <c r="X534" s="38">
        <f t="shared" si="87"/>
        <v>120322.5</v>
      </c>
    </row>
    <row r="535" spans="1:24" ht="30" customHeight="1" x14ac:dyDescent="0.35">
      <c r="A535" s="56" t="s">
        <v>2750</v>
      </c>
      <c r="B535" s="2">
        <v>500</v>
      </c>
      <c r="C535" s="74">
        <v>102004392</v>
      </c>
      <c r="D535" s="74" t="s">
        <v>2120</v>
      </c>
      <c r="E535" s="74" t="s">
        <v>2147</v>
      </c>
      <c r="F535" s="75">
        <v>40</v>
      </c>
      <c r="G535" s="64" t="s">
        <v>17</v>
      </c>
      <c r="H535" s="64">
        <v>2007</v>
      </c>
      <c r="I535" s="105" t="s">
        <v>972</v>
      </c>
      <c r="J535" s="63" t="s">
        <v>1917</v>
      </c>
      <c r="K535" s="63" t="s">
        <v>961</v>
      </c>
      <c r="L535" s="61" t="s">
        <v>845</v>
      </c>
      <c r="M535" s="70">
        <v>3212.4</v>
      </c>
      <c r="N535" s="70">
        <v>80.31</v>
      </c>
      <c r="O535" s="70">
        <v>3212.4</v>
      </c>
      <c r="P535" s="65">
        <v>4670</v>
      </c>
      <c r="Q535" s="65">
        <f t="shared" si="84"/>
        <v>1027.4000000000001</v>
      </c>
      <c r="R535" s="65">
        <f t="shared" si="85"/>
        <v>5697.4</v>
      </c>
      <c r="S535" s="272"/>
      <c r="T535" s="64">
        <v>32</v>
      </c>
      <c r="U535" s="270"/>
      <c r="V535" s="38">
        <v>5089</v>
      </c>
      <c r="W535" s="38">
        <f t="shared" si="86"/>
        <v>1119.58</v>
      </c>
      <c r="X535" s="38">
        <f t="shared" si="87"/>
        <v>6208.58</v>
      </c>
    </row>
    <row r="536" spans="1:24" ht="30" customHeight="1" x14ac:dyDescent="0.35">
      <c r="A536" s="56" t="s">
        <v>2751</v>
      </c>
      <c r="B536" s="2">
        <v>501</v>
      </c>
      <c r="C536" s="74">
        <v>102029168</v>
      </c>
      <c r="D536" s="74" t="s">
        <v>2121</v>
      </c>
      <c r="E536" s="74" t="s">
        <v>2147</v>
      </c>
      <c r="F536" s="75">
        <v>740</v>
      </c>
      <c r="G536" s="64" t="s">
        <v>17</v>
      </c>
      <c r="H536" s="64">
        <v>2006</v>
      </c>
      <c r="I536" s="105" t="s">
        <v>972</v>
      </c>
      <c r="J536" s="63" t="s">
        <v>1917</v>
      </c>
      <c r="K536" s="63" t="s">
        <v>961</v>
      </c>
      <c r="L536" s="61" t="s">
        <v>845</v>
      </c>
      <c r="M536" s="70">
        <v>34417.4</v>
      </c>
      <c r="N536" s="70">
        <v>46.51</v>
      </c>
      <c r="O536" s="70">
        <v>34417.4</v>
      </c>
      <c r="P536" s="65">
        <v>56200</v>
      </c>
      <c r="Q536" s="65">
        <f t="shared" si="84"/>
        <v>12364</v>
      </c>
      <c r="R536" s="65">
        <f t="shared" si="85"/>
        <v>68564</v>
      </c>
      <c r="S536" s="276"/>
      <c r="T536" s="64">
        <v>32</v>
      </c>
      <c r="U536" s="270"/>
      <c r="V536" s="38">
        <v>61283</v>
      </c>
      <c r="W536" s="38">
        <f t="shared" si="86"/>
        <v>13482.26</v>
      </c>
      <c r="X536" s="38">
        <f t="shared" si="87"/>
        <v>74765.259999999995</v>
      </c>
    </row>
    <row r="537" spans="1:24" ht="15" customHeight="1" x14ac:dyDescent="0.35">
      <c r="A537" s="56"/>
      <c r="B537" s="15"/>
      <c r="C537" s="77"/>
      <c r="D537" s="74"/>
      <c r="E537" s="74"/>
      <c r="F537" s="75"/>
      <c r="G537" s="64"/>
      <c r="H537" s="78"/>
      <c r="I537" s="4"/>
      <c r="J537" s="63"/>
      <c r="K537" s="63"/>
      <c r="L537" s="69"/>
      <c r="M537" s="99"/>
      <c r="N537" s="99"/>
      <c r="O537" s="100">
        <f>SUM(O529:O536)</f>
        <v>153333.34</v>
      </c>
      <c r="P537" s="100">
        <f t="shared" ref="P537:R537" si="91">SUM(P529:P536)</f>
        <v>223040</v>
      </c>
      <c r="Q537" s="100">
        <f t="shared" si="91"/>
        <v>49068.800000000003</v>
      </c>
      <c r="R537" s="100">
        <f t="shared" si="91"/>
        <v>272108.79999999999</v>
      </c>
      <c r="S537" s="72">
        <f>R537/100*10</f>
        <v>27210.880000000001</v>
      </c>
      <c r="T537" s="73">
        <v>32</v>
      </c>
      <c r="U537" s="275"/>
      <c r="V537" s="38"/>
      <c r="W537" s="38"/>
      <c r="X537" s="38"/>
    </row>
    <row r="538" spans="1:24" ht="34.5" customHeight="1" x14ac:dyDescent="0.35">
      <c r="A538" s="56" t="s">
        <v>2752</v>
      </c>
      <c r="B538" s="2">
        <v>502</v>
      </c>
      <c r="C538" s="84">
        <v>102001191</v>
      </c>
      <c r="D538" s="143" t="s">
        <v>687</v>
      </c>
      <c r="E538" s="59" t="s">
        <v>689</v>
      </c>
      <c r="F538" s="91">
        <v>1</v>
      </c>
      <c r="G538" s="64" t="s">
        <v>0</v>
      </c>
      <c r="H538" s="119">
        <v>41974</v>
      </c>
      <c r="I538" s="63" t="s">
        <v>975</v>
      </c>
      <c r="J538" s="63" t="s">
        <v>1917</v>
      </c>
      <c r="K538" s="121" t="s">
        <v>687</v>
      </c>
      <c r="L538" s="119" t="s">
        <v>950</v>
      </c>
      <c r="M538" s="123">
        <f t="shared" ref="M538:M557" si="92">O538</f>
        <v>107205</v>
      </c>
      <c r="N538" s="123">
        <f t="shared" ref="N538:N557" si="93">O538/F538</f>
        <v>107205</v>
      </c>
      <c r="O538" s="123">
        <v>107205</v>
      </c>
      <c r="P538" s="65">
        <v>106810</v>
      </c>
      <c r="Q538" s="65">
        <f t="shared" si="84"/>
        <v>23498.2</v>
      </c>
      <c r="R538" s="65">
        <f t="shared" si="85"/>
        <v>130308.2</v>
      </c>
      <c r="S538" s="267"/>
      <c r="T538" s="64">
        <v>33</v>
      </c>
      <c r="U538" s="273" t="s">
        <v>2267</v>
      </c>
      <c r="V538" s="38">
        <v>133515</v>
      </c>
      <c r="W538" s="38">
        <f t="shared" si="86"/>
        <v>29373.3</v>
      </c>
      <c r="X538" s="38">
        <f t="shared" si="87"/>
        <v>162888.29999999999</v>
      </c>
    </row>
    <row r="539" spans="1:24" ht="34.5" customHeight="1" x14ac:dyDescent="0.35">
      <c r="A539" s="56" t="s">
        <v>2753</v>
      </c>
      <c r="B539" s="2">
        <v>503</v>
      </c>
      <c r="C539" s="39">
        <v>10106834</v>
      </c>
      <c r="D539" s="40" t="s">
        <v>1291</v>
      </c>
      <c r="E539" s="40" t="s">
        <v>4178</v>
      </c>
      <c r="F539" s="43">
        <v>3</v>
      </c>
      <c r="G539" s="64" t="s">
        <v>0</v>
      </c>
      <c r="H539" s="42" t="s">
        <v>494</v>
      </c>
      <c r="I539" s="94" t="s">
        <v>1316</v>
      </c>
      <c r="J539" s="63" t="s">
        <v>1917</v>
      </c>
      <c r="K539" s="63" t="s">
        <v>961</v>
      </c>
      <c r="L539" s="69" t="s">
        <v>950</v>
      </c>
      <c r="M539" s="70">
        <f t="shared" si="92"/>
        <v>23850</v>
      </c>
      <c r="N539" s="70">
        <f t="shared" si="93"/>
        <v>7950</v>
      </c>
      <c r="O539" s="70">
        <v>23850</v>
      </c>
      <c r="P539" s="65">
        <v>23760</v>
      </c>
      <c r="Q539" s="65">
        <f t="shared" si="84"/>
        <v>5227.2</v>
      </c>
      <c r="R539" s="65">
        <f t="shared" si="85"/>
        <v>28987.200000000001</v>
      </c>
      <c r="S539" s="272"/>
      <c r="T539" s="64">
        <v>33</v>
      </c>
      <c r="U539" s="270"/>
      <c r="V539" s="38">
        <v>29703</v>
      </c>
      <c r="W539" s="38">
        <f t="shared" si="86"/>
        <v>6534.66</v>
      </c>
      <c r="X539" s="38">
        <f t="shared" si="87"/>
        <v>36237.660000000003</v>
      </c>
    </row>
    <row r="540" spans="1:24" ht="43" customHeight="1" x14ac:dyDescent="0.35">
      <c r="A540" s="56" t="s">
        <v>2756</v>
      </c>
      <c r="B540" s="2">
        <v>504</v>
      </c>
      <c r="C540" s="39">
        <v>10094645</v>
      </c>
      <c r="D540" s="40" t="s">
        <v>1304</v>
      </c>
      <c r="E540" s="40" t="s">
        <v>4178</v>
      </c>
      <c r="F540" s="43">
        <v>1</v>
      </c>
      <c r="G540" s="64" t="s">
        <v>0</v>
      </c>
      <c r="H540" s="42" t="s">
        <v>494</v>
      </c>
      <c r="I540" s="94" t="s">
        <v>1316</v>
      </c>
      <c r="J540" s="63" t="s">
        <v>1917</v>
      </c>
      <c r="K540" s="63" t="s">
        <v>961</v>
      </c>
      <c r="L540" s="69" t="s">
        <v>950</v>
      </c>
      <c r="M540" s="70">
        <f t="shared" si="92"/>
        <v>17388.47</v>
      </c>
      <c r="N540" s="70">
        <f t="shared" si="93"/>
        <v>17388.47</v>
      </c>
      <c r="O540" s="70">
        <v>17388.47</v>
      </c>
      <c r="P540" s="65">
        <v>17320</v>
      </c>
      <c r="Q540" s="65">
        <f t="shared" si="84"/>
        <v>3810.4</v>
      </c>
      <c r="R540" s="65">
        <f t="shared" si="85"/>
        <v>21130.400000000001</v>
      </c>
      <c r="S540" s="272"/>
      <c r="T540" s="64">
        <v>33</v>
      </c>
      <c r="U540" s="270"/>
      <c r="V540" s="38">
        <v>21656</v>
      </c>
      <c r="W540" s="38">
        <f t="shared" si="86"/>
        <v>4764.32</v>
      </c>
      <c r="X540" s="38">
        <f t="shared" si="87"/>
        <v>26420.32</v>
      </c>
    </row>
    <row r="541" spans="1:24" ht="21" customHeight="1" x14ac:dyDescent="0.35">
      <c r="A541" s="56" t="s">
        <v>2760</v>
      </c>
      <c r="B541" s="2">
        <v>505</v>
      </c>
      <c r="C541" s="77">
        <v>10097014</v>
      </c>
      <c r="D541" s="74" t="s">
        <v>657</v>
      </c>
      <c r="E541" s="59" t="s">
        <v>2167</v>
      </c>
      <c r="F541" s="75">
        <v>1</v>
      </c>
      <c r="G541" s="64" t="s">
        <v>0</v>
      </c>
      <c r="H541" s="78">
        <v>40179</v>
      </c>
      <c r="I541" s="4" t="s">
        <v>957</v>
      </c>
      <c r="J541" s="63" t="s">
        <v>2224</v>
      </c>
      <c r="K541" s="63" t="s">
        <v>961</v>
      </c>
      <c r="L541" s="69" t="s">
        <v>950</v>
      </c>
      <c r="M541" s="70">
        <f t="shared" si="92"/>
        <v>16862.47</v>
      </c>
      <c r="N541" s="70">
        <f t="shared" si="93"/>
        <v>16862.47</v>
      </c>
      <c r="O541" s="70">
        <v>16862.47</v>
      </c>
      <c r="P541" s="65">
        <v>20000</v>
      </c>
      <c r="Q541" s="65">
        <f t="shared" si="84"/>
        <v>4400</v>
      </c>
      <c r="R541" s="65">
        <f t="shared" si="85"/>
        <v>24400</v>
      </c>
      <c r="S541" s="272"/>
      <c r="T541" s="64">
        <v>33</v>
      </c>
      <c r="U541" s="270"/>
      <c r="V541" s="38">
        <v>24999</v>
      </c>
      <c r="W541" s="38">
        <f t="shared" si="86"/>
        <v>5499.78</v>
      </c>
      <c r="X541" s="38">
        <f t="shared" si="87"/>
        <v>30498.78</v>
      </c>
    </row>
    <row r="542" spans="1:24" ht="15" customHeight="1" x14ac:dyDescent="0.35">
      <c r="A542" s="56" t="s">
        <v>2761</v>
      </c>
      <c r="B542" s="2">
        <v>506</v>
      </c>
      <c r="C542" s="77">
        <v>10021524</v>
      </c>
      <c r="D542" s="74" t="s">
        <v>511</v>
      </c>
      <c r="E542" s="59" t="s">
        <v>2167</v>
      </c>
      <c r="F542" s="75">
        <v>5</v>
      </c>
      <c r="G542" s="75" t="s">
        <v>0</v>
      </c>
      <c r="H542" s="61">
        <v>41431</v>
      </c>
      <c r="I542" s="4" t="s">
        <v>957</v>
      </c>
      <c r="J542" s="63" t="s">
        <v>1917</v>
      </c>
      <c r="K542" s="63" t="s">
        <v>961</v>
      </c>
      <c r="L542" s="63" t="s">
        <v>950</v>
      </c>
      <c r="M542" s="76">
        <f t="shared" si="92"/>
        <v>1570.3</v>
      </c>
      <c r="N542" s="76">
        <f t="shared" si="93"/>
        <v>314.06</v>
      </c>
      <c r="O542" s="76">
        <v>1570.3</v>
      </c>
      <c r="P542" s="65">
        <v>1610</v>
      </c>
      <c r="Q542" s="65">
        <f t="shared" si="84"/>
        <v>354.2</v>
      </c>
      <c r="R542" s="65">
        <f t="shared" si="85"/>
        <v>1964.2</v>
      </c>
      <c r="S542" s="272"/>
      <c r="T542" s="64">
        <v>33</v>
      </c>
      <c r="U542" s="270"/>
      <c r="V542" s="38">
        <v>2011</v>
      </c>
      <c r="W542" s="38">
        <f t="shared" si="86"/>
        <v>442.42</v>
      </c>
      <c r="X542" s="38">
        <f t="shared" si="87"/>
        <v>2453.42</v>
      </c>
    </row>
    <row r="543" spans="1:24" ht="15" customHeight="1" x14ac:dyDescent="0.35">
      <c r="A543" s="56" t="s">
        <v>2762</v>
      </c>
      <c r="B543" s="2">
        <v>507</v>
      </c>
      <c r="C543" s="77">
        <v>10119453</v>
      </c>
      <c r="D543" s="74" t="s">
        <v>1490</v>
      </c>
      <c r="E543" s="59" t="s">
        <v>2167</v>
      </c>
      <c r="F543" s="75">
        <v>1</v>
      </c>
      <c r="G543" s="64" t="s">
        <v>0</v>
      </c>
      <c r="H543" s="78">
        <v>41320</v>
      </c>
      <c r="I543" s="4" t="s">
        <v>957</v>
      </c>
      <c r="J543" s="63" t="s">
        <v>1917</v>
      </c>
      <c r="K543" s="63" t="s">
        <v>961</v>
      </c>
      <c r="L543" s="69" t="s">
        <v>950</v>
      </c>
      <c r="M543" s="70">
        <f t="shared" si="92"/>
        <v>560</v>
      </c>
      <c r="N543" s="70">
        <f t="shared" si="93"/>
        <v>560</v>
      </c>
      <c r="O543" s="70">
        <v>560</v>
      </c>
      <c r="P543" s="65">
        <v>580</v>
      </c>
      <c r="Q543" s="65">
        <f t="shared" si="84"/>
        <v>127.6</v>
      </c>
      <c r="R543" s="65">
        <f t="shared" si="85"/>
        <v>707.6</v>
      </c>
      <c r="S543" s="272"/>
      <c r="T543" s="64">
        <v>33</v>
      </c>
      <c r="U543" s="270"/>
      <c r="V543" s="38">
        <v>720</v>
      </c>
      <c r="W543" s="38">
        <f t="shared" si="86"/>
        <v>158.4</v>
      </c>
      <c r="X543" s="38">
        <f t="shared" si="87"/>
        <v>878.4</v>
      </c>
    </row>
    <row r="544" spans="1:24" ht="15" customHeight="1" x14ac:dyDescent="0.35">
      <c r="A544" s="56" t="s">
        <v>2763</v>
      </c>
      <c r="B544" s="2">
        <v>508</v>
      </c>
      <c r="C544" s="77">
        <v>10119408</v>
      </c>
      <c r="D544" s="74" t="s">
        <v>1490</v>
      </c>
      <c r="E544" s="59" t="s">
        <v>2167</v>
      </c>
      <c r="F544" s="75">
        <v>2</v>
      </c>
      <c r="G544" s="64" t="s">
        <v>0</v>
      </c>
      <c r="H544" s="78">
        <v>41320</v>
      </c>
      <c r="I544" s="4" t="s">
        <v>957</v>
      </c>
      <c r="J544" s="63" t="s">
        <v>1917</v>
      </c>
      <c r="K544" s="63" t="s">
        <v>961</v>
      </c>
      <c r="L544" s="69" t="s">
        <v>950</v>
      </c>
      <c r="M544" s="70">
        <f t="shared" si="92"/>
        <v>1120</v>
      </c>
      <c r="N544" s="70">
        <f t="shared" si="93"/>
        <v>560</v>
      </c>
      <c r="O544" s="70">
        <v>1120</v>
      </c>
      <c r="P544" s="65">
        <v>1150</v>
      </c>
      <c r="Q544" s="65">
        <f t="shared" si="84"/>
        <v>253</v>
      </c>
      <c r="R544" s="65">
        <f t="shared" si="85"/>
        <v>1403</v>
      </c>
      <c r="S544" s="272"/>
      <c r="T544" s="64">
        <v>33</v>
      </c>
      <c r="U544" s="270"/>
      <c r="V544" s="38">
        <v>1440</v>
      </c>
      <c r="W544" s="38">
        <f t="shared" si="86"/>
        <v>316.8</v>
      </c>
      <c r="X544" s="38">
        <f t="shared" si="87"/>
        <v>1756.8</v>
      </c>
    </row>
    <row r="545" spans="1:24" ht="15" customHeight="1" x14ac:dyDescent="0.35">
      <c r="A545" s="56" t="s">
        <v>2764</v>
      </c>
      <c r="B545" s="2">
        <v>509</v>
      </c>
      <c r="C545" s="77">
        <v>102001148</v>
      </c>
      <c r="D545" s="74" t="s">
        <v>1491</v>
      </c>
      <c r="E545" s="59" t="s">
        <v>2167</v>
      </c>
      <c r="F545" s="75">
        <v>4</v>
      </c>
      <c r="G545" s="64" t="s">
        <v>0</v>
      </c>
      <c r="H545" s="64">
        <v>2015</v>
      </c>
      <c r="I545" s="4" t="s">
        <v>957</v>
      </c>
      <c r="J545" s="63" t="s">
        <v>1917</v>
      </c>
      <c r="K545" s="63" t="s">
        <v>961</v>
      </c>
      <c r="L545" s="69" t="s">
        <v>950</v>
      </c>
      <c r="M545" s="70">
        <f t="shared" si="92"/>
        <v>421590.4</v>
      </c>
      <c r="N545" s="70">
        <f t="shared" si="93"/>
        <v>105397.6</v>
      </c>
      <c r="O545" s="70">
        <v>421590.4</v>
      </c>
      <c r="P545" s="65">
        <v>394820</v>
      </c>
      <c r="Q545" s="65">
        <f t="shared" si="84"/>
        <v>86860.4</v>
      </c>
      <c r="R545" s="65">
        <f t="shared" si="85"/>
        <v>481680.4</v>
      </c>
      <c r="S545" s="272"/>
      <c r="T545" s="64">
        <v>33</v>
      </c>
      <c r="U545" s="270"/>
      <c r="V545" s="38">
        <v>493522</v>
      </c>
      <c r="W545" s="38">
        <f t="shared" si="86"/>
        <v>108574.84</v>
      </c>
      <c r="X545" s="38">
        <f t="shared" si="87"/>
        <v>602096.84</v>
      </c>
    </row>
    <row r="546" spans="1:24" ht="15" customHeight="1" x14ac:dyDescent="0.35">
      <c r="A546" s="56" t="s">
        <v>2765</v>
      </c>
      <c r="B546" s="2">
        <v>510</v>
      </c>
      <c r="C546" s="77">
        <v>102001231</v>
      </c>
      <c r="D546" s="74" t="s">
        <v>1492</v>
      </c>
      <c r="E546" s="59" t="s">
        <v>2167</v>
      </c>
      <c r="F546" s="75">
        <v>4</v>
      </c>
      <c r="G546" s="64" t="s">
        <v>0</v>
      </c>
      <c r="H546" s="64">
        <v>2015</v>
      </c>
      <c r="I546" s="4" t="s">
        <v>957</v>
      </c>
      <c r="J546" s="63" t="s">
        <v>1917</v>
      </c>
      <c r="K546" s="63" t="s">
        <v>961</v>
      </c>
      <c r="L546" s="69" t="s">
        <v>950</v>
      </c>
      <c r="M546" s="70">
        <f t="shared" si="92"/>
        <v>372267.2</v>
      </c>
      <c r="N546" s="70">
        <f t="shared" si="93"/>
        <v>93066.8</v>
      </c>
      <c r="O546" s="70">
        <v>372267.2</v>
      </c>
      <c r="P546" s="65">
        <v>348630</v>
      </c>
      <c r="Q546" s="65">
        <f t="shared" si="84"/>
        <v>76698.600000000006</v>
      </c>
      <c r="R546" s="65">
        <f t="shared" si="85"/>
        <v>425328.6</v>
      </c>
      <c r="S546" s="272"/>
      <c r="T546" s="64">
        <v>33</v>
      </c>
      <c r="U546" s="270"/>
      <c r="V546" s="38">
        <v>435783</v>
      </c>
      <c r="W546" s="38">
        <f t="shared" si="86"/>
        <v>95872.26</v>
      </c>
      <c r="X546" s="38">
        <f t="shared" si="87"/>
        <v>531655.26</v>
      </c>
    </row>
    <row r="547" spans="1:24" ht="15" customHeight="1" x14ac:dyDescent="0.35">
      <c r="A547" s="56" t="s">
        <v>2766</v>
      </c>
      <c r="B547" s="2">
        <v>511</v>
      </c>
      <c r="C547" s="77">
        <v>102000715</v>
      </c>
      <c r="D547" s="74" t="s">
        <v>1493</v>
      </c>
      <c r="E547" s="59" t="s">
        <v>2167</v>
      </c>
      <c r="F547" s="75">
        <v>4</v>
      </c>
      <c r="G547" s="64" t="s">
        <v>0</v>
      </c>
      <c r="H547" s="64">
        <v>2015</v>
      </c>
      <c r="I547" s="4" t="s">
        <v>957</v>
      </c>
      <c r="J547" s="63" t="s">
        <v>1917</v>
      </c>
      <c r="K547" s="63" t="s">
        <v>961</v>
      </c>
      <c r="L547" s="69" t="s">
        <v>950</v>
      </c>
      <c r="M547" s="70">
        <f t="shared" si="92"/>
        <v>364280</v>
      </c>
      <c r="N547" s="70">
        <f t="shared" si="93"/>
        <v>91070</v>
      </c>
      <c r="O547" s="70">
        <v>364280</v>
      </c>
      <c r="P547" s="65">
        <v>341150</v>
      </c>
      <c r="Q547" s="65">
        <f t="shared" si="84"/>
        <v>75053</v>
      </c>
      <c r="R547" s="65">
        <f t="shared" si="85"/>
        <v>416203</v>
      </c>
      <c r="S547" s="272"/>
      <c r="T547" s="64">
        <v>33</v>
      </c>
      <c r="U547" s="270"/>
      <c r="V547" s="38">
        <v>426433</v>
      </c>
      <c r="W547" s="38">
        <f t="shared" si="86"/>
        <v>93815.26</v>
      </c>
      <c r="X547" s="38">
        <f t="shared" si="87"/>
        <v>520248.26</v>
      </c>
    </row>
    <row r="548" spans="1:24" ht="15" customHeight="1" x14ac:dyDescent="0.35">
      <c r="A548" s="56" t="s">
        <v>2767</v>
      </c>
      <c r="B548" s="2">
        <v>512</v>
      </c>
      <c r="C548" s="77">
        <v>10107621</v>
      </c>
      <c r="D548" s="74" t="s">
        <v>1498</v>
      </c>
      <c r="E548" s="59" t="s">
        <v>2167</v>
      </c>
      <c r="F548" s="75">
        <v>6</v>
      </c>
      <c r="G548" s="64" t="s">
        <v>0</v>
      </c>
      <c r="H548" s="78">
        <v>40227</v>
      </c>
      <c r="I548" s="4" t="s">
        <v>957</v>
      </c>
      <c r="J548" s="63" t="s">
        <v>1917</v>
      </c>
      <c r="K548" s="63" t="s">
        <v>961</v>
      </c>
      <c r="L548" s="69" t="s">
        <v>950</v>
      </c>
      <c r="M548" s="70">
        <f t="shared" si="92"/>
        <v>14109.6</v>
      </c>
      <c r="N548" s="70">
        <f t="shared" si="93"/>
        <v>2351.6</v>
      </c>
      <c r="O548" s="70">
        <v>14109.6</v>
      </c>
      <c r="P548" s="65">
        <v>16620</v>
      </c>
      <c r="Q548" s="65">
        <f t="shared" si="84"/>
        <v>3656.4</v>
      </c>
      <c r="R548" s="65">
        <f t="shared" si="85"/>
        <v>20276.400000000001</v>
      </c>
      <c r="S548" s="272"/>
      <c r="T548" s="64">
        <v>33</v>
      </c>
      <c r="U548" s="270"/>
      <c r="V548" s="38">
        <v>20781</v>
      </c>
      <c r="W548" s="38">
        <f t="shared" si="86"/>
        <v>4571.82</v>
      </c>
      <c r="X548" s="38">
        <f t="shared" si="87"/>
        <v>25352.82</v>
      </c>
    </row>
    <row r="549" spans="1:24" ht="15" customHeight="1" x14ac:dyDescent="0.35">
      <c r="A549" s="56" t="s">
        <v>2768</v>
      </c>
      <c r="B549" s="2">
        <v>513</v>
      </c>
      <c r="C549" s="77">
        <v>10018357</v>
      </c>
      <c r="D549" s="74" t="s">
        <v>1499</v>
      </c>
      <c r="E549" s="59" t="s">
        <v>2167</v>
      </c>
      <c r="F549" s="75">
        <v>5</v>
      </c>
      <c r="G549" s="64" t="s">
        <v>0</v>
      </c>
      <c r="H549" s="78">
        <v>40016</v>
      </c>
      <c r="I549" s="4" t="s">
        <v>957</v>
      </c>
      <c r="J549" s="63" t="s">
        <v>1917</v>
      </c>
      <c r="K549" s="63" t="s">
        <v>961</v>
      </c>
      <c r="L549" s="69" t="s">
        <v>950</v>
      </c>
      <c r="M549" s="70">
        <f t="shared" si="92"/>
        <v>11758</v>
      </c>
      <c r="N549" s="70">
        <f t="shared" si="93"/>
        <v>2351.6</v>
      </c>
      <c r="O549" s="70">
        <v>11758</v>
      </c>
      <c r="P549" s="65">
        <v>13920</v>
      </c>
      <c r="Q549" s="65">
        <f t="shared" si="84"/>
        <v>3062.4</v>
      </c>
      <c r="R549" s="65">
        <f t="shared" si="85"/>
        <v>16982.400000000001</v>
      </c>
      <c r="S549" s="272"/>
      <c r="T549" s="64">
        <v>33</v>
      </c>
      <c r="U549" s="270"/>
      <c r="V549" s="38">
        <v>17405</v>
      </c>
      <c r="W549" s="38">
        <f t="shared" si="86"/>
        <v>3829.1</v>
      </c>
      <c r="X549" s="38">
        <f t="shared" si="87"/>
        <v>21234.1</v>
      </c>
    </row>
    <row r="550" spans="1:24" ht="15" customHeight="1" x14ac:dyDescent="0.35">
      <c r="A550" s="56" t="s">
        <v>2769</v>
      </c>
      <c r="B550" s="2">
        <v>514</v>
      </c>
      <c r="C550" s="77">
        <v>10054104</v>
      </c>
      <c r="D550" s="74" t="s">
        <v>1500</v>
      </c>
      <c r="E550" s="59" t="s">
        <v>2167</v>
      </c>
      <c r="F550" s="75">
        <v>2</v>
      </c>
      <c r="G550" s="64" t="s">
        <v>0</v>
      </c>
      <c r="H550" s="78">
        <v>39773</v>
      </c>
      <c r="I550" s="4" t="s">
        <v>957</v>
      </c>
      <c r="J550" s="63" t="s">
        <v>1917</v>
      </c>
      <c r="K550" s="63" t="s">
        <v>961</v>
      </c>
      <c r="L550" s="69" t="s">
        <v>950</v>
      </c>
      <c r="M550" s="70">
        <f t="shared" si="92"/>
        <v>1841.94</v>
      </c>
      <c r="N550" s="70">
        <f t="shared" si="93"/>
        <v>920.97</v>
      </c>
      <c r="O550" s="70">
        <v>1841.94</v>
      </c>
      <c r="P550" s="65">
        <v>2210</v>
      </c>
      <c r="Q550" s="65">
        <f t="shared" si="84"/>
        <v>486.2</v>
      </c>
      <c r="R550" s="65">
        <f t="shared" si="85"/>
        <v>2696.2</v>
      </c>
      <c r="S550" s="272"/>
      <c r="T550" s="64">
        <v>33</v>
      </c>
      <c r="U550" s="270"/>
      <c r="V550" s="38">
        <v>2768</v>
      </c>
      <c r="W550" s="38">
        <f t="shared" si="86"/>
        <v>608.96</v>
      </c>
      <c r="X550" s="38">
        <f t="shared" si="87"/>
        <v>3376.96</v>
      </c>
    </row>
    <row r="551" spans="1:24" ht="15" customHeight="1" x14ac:dyDescent="0.35">
      <c r="A551" s="56" t="s">
        <v>2770</v>
      </c>
      <c r="B551" s="2">
        <v>515</v>
      </c>
      <c r="C551" s="77">
        <v>10106011</v>
      </c>
      <c r="D551" s="74" t="s">
        <v>1501</v>
      </c>
      <c r="E551" s="59" t="s">
        <v>2167</v>
      </c>
      <c r="F551" s="75">
        <v>10</v>
      </c>
      <c r="G551" s="64" t="s">
        <v>0</v>
      </c>
      <c r="H551" s="78">
        <v>41431</v>
      </c>
      <c r="I551" s="4" t="s">
        <v>957</v>
      </c>
      <c r="J551" s="63" t="s">
        <v>1917</v>
      </c>
      <c r="K551" s="63" t="s">
        <v>961</v>
      </c>
      <c r="L551" s="69" t="s">
        <v>950</v>
      </c>
      <c r="M551" s="70">
        <f t="shared" si="92"/>
        <v>37754.230000000003</v>
      </c>
      <c r="N551" s="70">
        <f t="shared" si="93"/>
        <v>3775.42</v>
      </c>
      <c r="O551" s="70">
        <v>37754.230000000003</v>
      </c>
      <c r="P551" s="65">
        <v>38680</v>
      </c>
      <c r="Q551" s="65">
        <f t="shared" si="84"/>
        <v>8509.6</v>
      </c>
      <c r="R551" s="65">
        <f t="shared" si="85"/>
        <v>47189.599999999999</v>
      </c>
      <c r="S551" s="272"/>
      <c r="T551" s="64">
        <v>33</v>
      </c>
      <c r="U551" s="270"/>
      <c r="V551" s="38">
        <v>48347</v>
      </c>
      <c r="W551" s="38">
        <f t="shared" si="86"/>
        <v>10636.34</v>
      </c>
      <c r="X551" s="38">
        <f t="shared" si="87"/>
        <v>58983.34</v>
      </c>
    </row>
    <row r="552" spans="1:24" ht="15" customHeight="1" x14ac:dyDescent="0.35">
      <c r="A552" s="56" t="s">
        <v>2771</v>
      </c>
      <c r="B552" s="2">
        <v>516</v>
      </c>
      <c r="C552" s="77">
        <v>10151825</v>
      </c>
      <c r="D552" s="74" t="s">
        <v>1502</v>
      </c>
      <c r="E552" s="59" t="s">
        <v>2167</v>
      </c>
      <c r="F552" s="75">
        <v>4</v>
      </c>
      <c r="G552" s="64" t="s">
        <v>0</v>
      </c>
      <c r="H552" s="78">
        <v>41486</v>
      </c>
      <c r="I552" s="4" t="s">
        <v>957</v>
      </c>
      <c r="J552" s="63" t="s">
        <v>1917</v>
      </c>
      <c r="K552" s="63" t="s">
        <v>961</v>
      </c>
      <c r="L552" s="69" t="s">
        <v>950</v>
      </c>
      <c r="M552" s="70">
        <f t="shared" si="92"/>
        <v>88560</v>
      </c>
      <c r="N552" s="70">
        <f t="shared" si="93"/>
        <v>22140</v>
      </c>
      <c r="O552" s="70">
        <v>88560</v>
      </c>
      <c r="P552" s="65">
        <v>90780</v>
      </c>
      <c r="Q552" s="65">
        <f t="shared" si="84"/>
        <v>19971.599999999999</v>
      </c>
      <c r="R552" s="65">
        <f t="shared" si="85"/>
        <v>110751.6</v>
      </c>
      <c r="S552" s="272"/>
      <c r="T552" s="64">
        <v>33</v>
      </c>
      <c r="U552" s="270"/>
      <c r="V552" s="38">
        <v>113474</v>
      </c>
      <c r="W552" s="38">
        <f t="shared" si="86"/>
        <v>24964.28</v>
      </c>
      <c r="X552" s="38">
        <f t="shared" si="87"/>
        <v>138438.28</v>
      </c>
    </row>
    <row r="553" spans="1:24" ht="15" customHeight="1" x14ac:dyDescent="0.35">
      <c r="A553" s="56" t="s">
        <v>2772</v>
      </c>
      <c r="B553" s="2">
        <v>517</v>
      </c>
      <c r="C553" s="77">
        <v>10017806</v>
      </c>
      <c r="D553" s="74" t="s">
        <v>1503</v>
      </c>
      <c r="E553" s="74" t="s">
        <v>1978</v>
      </c>
      <c r="F553" s="75">
        <v>42</v>
      </c>
      <c r="G553" s="64" t="s">
        <v>0</v>
      </c>
      <c r="H553" s="78">
        <v>39521</v>
      </c>
      <c r="I553" s="4" t="s">
        <v>957</v>
      </c>
      <c r="J553" s="63" t="s">
        <v>1917</v>
      </c>
      <c r="K553" s="63" t="s">
        <v>961</v>
      </c>
      <c r="L553" s="69" t="s">
        <v>950</v>
      </c>
      <c r="M553" s="70">
        <f t="shared" si="92"/>
        <v>25623.46</v>
      </c>
      <c r="N553" s="70">
        <f t="shared" si="93"/>
        <v>610.08000000000004</v>
      </c>
      <c r="O553" s="70">
        <v>25623.46</v>
      </c>
      <c r="P553" s="65">
        <v>32720</v>
      </c>
      <c r="Q553" s="65">
        <f t="shared" si="84"/>
        <v>7198.4</v>
      </c>
      <c r="R553" s="65">
        <f t="shared" si="85"/>
        <v>39918.400000000001</v>
      </c>
      <c r="S553" s="272"/>
      <c r="T553" s="64">
        <v>33</v>
      </c>
      <c r="U553" s="270"/>
      <c r="V553" s="38">
        <v>40901</v>
      </c>
      <c r="W553" s="38">
        <f t="shared" si="86"/>
        <v>8998.2199999999993</v>
      </c>
      <c r="X553" s="38">
        <f t="shared" si="87"/>
        <v>49899.22</v>
      </c>
    </row>
    <row r="554" spans="1:24" ht="15" customHeight="1" x14ac:dyDescent="0.35">
      <c r="A554" s="56" t="s">
        <v>2773</v>
      </c>
      <c r="B554" s="2">
        <v>518</v>
      </c>
      <c r="C554" s="77">
        <v>10029956</v>
      </c>
      <c r="D554" s="74" t="s">
        <v>1504</v>
      </c>
      <c r="E554" s="74" t="s">
        <v>2167</v>
      </c>
      <c r="F554" s="75">
        <f>4-1</f>
        <v>3</v>
      </c>
      <c r="G554" s="64" t="s">
        <v>0</v>
      </c>
      <c r="H554" s="78">
        <v>41431</v>
      </c>
      <c r="I554" s="4" t="s">
        <v>957</v>
      </c>
      <c r="J554" s="63" t="s">
        <v>1917</v>
      </c>
      <c r="K554" s="63" t="s">
        <v>961</v>
      </c>
      <c r="L554" s="69" t="s">
        <v>950</v>
      </c>
      <c r="M554" s="70">
        <f t="shared" si="92"/>
        <v>7029.66</v>
      </c>
      <c r="N554" s="70">
        <f t="shared" si="93"/>
        <v>2343.2199999999998</v>
      </c>
      <c r="O554" s="70">
        <f>9372.88/4*3</f>
        <v>7029.66</v>
      </c>
      <c r="P554" s="65">
        <v>7200</v>
      </c>
      <c r="Q554" s="65">
        <f t="shared" si="84"/>
        <v>1584</v>
      </c>
      <c r="R554" s="65">
        <f t="shared" si="85"/>
        <v>8784</v>
      </c>
      <c r="S554" s="272"/>
      <c r="T554" s="64">
        <v>33</v>
      </c>
      <c r="U554" s="270"/>
      <c r="V554" s="38">
        <v>9002</v>
      </c>
      <c r="W554" s="38">
        <f t="shared" si="86"/>
        <v>1980.44</v>
      </c>
      <c r="X554" s="38">
        <f t="shared" si="87"/>
        <v>10982.44</v>
      </c>
    </row>
    <row r="555" spans="1:24" ht="15" customHeight="1" x14ac:dyDescent="0.35">
      <c r="A555" s="56" t="s">
        <v>2774</v>
      </c>
      <c r="B555" s="2">
        <v>519</v>
      </c>
      <c r="C555" s="77">
        <v>10018618</v>
      </c>
      <c r="D555" s="74" t="s">
        <v>1505</v>
      </c>
      <c r="E555" s="74" t="s">
        <v>2167</v>
      </c>
      <c r="F555" s="75">
        <v>2</v>
      </c>
      <c r="G555" s="64" t="s">
        <v>0</v>
      </c>
      <c r="H555" s="78">
        <v>39626</v>
      </c>
      <c r="I555" s="4" t="s">
        <v>957</v>
      </c>
      <c r="J555" s="63" t="s">
        <v>1917</v>
      </c>
      <c r="K555" s="63" t="s">
        <v>961</v>
      </c>
      <c r="L555" s="69" t="s">
        <v>950</v>
      </c>
      <c r="M555" s="70">
        <f t="shared" si="92"/>
        <v>10172.049999999999</v>
      </c>
      <c r="N555" s="70">
        <f t="shared" si="93"/>
        <v>5086.03</v>
      </c>
      <c r="O555" s="70">
        <v>10172.049999999999</v>
      </c>
      <c r="P555" s="65">
        <v>12750</v>
      </c>
      <c r="Q555" s="65">
        <f t="shared" si="84"/>
        <v>2805</v>
      </c>
      <c r="R555" s="65">
        <f t="shared" si="85"/>
        <v>15555</v>
      </c>
      <c r="S555" s="272"/>
      <c r="T555" s="64">
        <v>33</v>
      </c>
      <c r="U555" s="270"/>
      <c r="V555" s="38">
        <v>15940</v>
      </c>
      <c r="W555" s="38">
        <f t="shared" si="86"/>
        <v>3506.8</v>
      </c>
      <c r="X555" s="38">
        <f t="shared" si="87"/>
        <v>19446.8</v>
      </c>
    </row>
    <row r="556" spans="1:24" ht="15" customHeight="1" x14ac:dyDescent="0.35">
      <c r="A556" s="56" t="s">
        <v>2775</v>
      </c>
      <c r="B556" s="2">
        <v>520</v>
      </c>
      <c r="C556" s="77">
        <v>10138459</v>
      </c>
      <c r="D556" s="74" t="s">
        <v>1510</v>
      </c>
      <c r="E556" s="74" t="s">
        <v>2167</v>
      </c>
      <c r="F556" s="75">
        <v>3</v>
      </c>
      <c r="G556" s="64" t="s">
        <v>0</v>
      </c>
      <c r="H556" s="78">
        <v>41789</v>
      </c>
      <c r="I556" s="4" t="s">
        <v>957</v>
      </c>
      <c r="J556" s="63" t="s">
        <v>1917</v>
      </c>
      <c r="K556" s="63" t="s">
        <v>961</v>
      </c>
      <c r="L556" s="69" t="s">
        <v>950</v>
      </c>
      <c r="M556" s="70">
        <f t="shared" si="92"/>
        <v>108943.74</v>
      </c>
      <c r="N556" s="70">
        <f t="shared" si="93"/>
        <v>36314.58</v>
      </c>
      <c r="O556" s="70">
        <v>108943.74</v>
      </c>
      <c r="P556" s="65">
        <v>109260</v>
      </c>
      <c r="Q556" s="65">
        <f t="shared" si="84"/>
        <v>24037.200000000001</v>
      </c>
      <c r="R556" s="65">
        <f t="shared" si="85"/>
        <v>133297.20000000001</v>
      </c>
      <c r="S556" s="272"/>
      <c r="T556" s="64">
        <v>33</v>
      </c>
      <c r="U556" s="270"/>
      <c r="V556" s="38">
        <v>136577</v>
      </c>
      <c r="W556" s="38">
        <f t="shared" si="86"/>
        <v>30046.94</v>
      </c>
      <c r="X556" s="38">
        <f t="shared" si="87"/>
        <v>166623.94</v>
      </c>
    </row>
    <row r="557" spans="1:24" ht="15" customHeight="1" x14ac:dyDescent="0.35">
      <c r="A557" s="56" t="s">
        <v>2776</v>
      </c>
      <c r="B557" s="2">
        <v>521</v>
      </c>
      <c r="C557" s="77">
        <v>10110062</v>
      </c>
      <c r="D557" s="74" t="s">
        <v>1513</v>
      </c>
      <c r="E557" s="74" t="s">
        <v>2167</v>
      </c>
      <c r="F557" s="75">
        <v>8</v>
      </c>
      <c r="G557" s="64" t="s">
        <v>0</v>
      </c>
      <c r="H557" s="78">
        <v>41122</v>
      </c>
      <c r="I557" s="4" t="s">
        <v>957</v>
      </c>
      <c r="J557" s="63" t="s">
        <v>1917</v>
      </c>
      <c r="K557" s="63" t="s">
        <v>961</v>
      </c>
      <c r="L557" s="69" t="s">
        <v>950</v>
      </c>
      <c r="M557" s="70">
        <f t="shared" si="92"/>
        <v>84088</v>
      </c>
      <c r="N557" s="70">
        <f t="shared" si="93"/>
        <v>10511</v>
      </c>
      <c r="O557" s="70">
        <v>84088</v>
      </c>
      <c r="P557" s="65">
        <v>86090</v>
      </c>
      <c r="Q557" s="65">
        <f t="shared" si="84"/>
        <v>18939.8</v>
      </c>
      <c r="R557" s="65">
        <f t="shared" si="85"/>
        <v>105029.8</v>
      </c>
      <c r="S557" s="272"/>
      <c r="T557" s="64">
        <v>33</v>
      </c>
      <c r="U557" s="270"/>
      <c r="V557" s="38">
        <v>107618</v>
      </c>
      <c r="W557" s="38">
        <f t="shared" si="86"/>
        <v>23675.96</v>
      </c>
      <c r="X557" s="38">
        <f t="shared" si="87"/>
        <v>131293.96</v>
      </c>
    </row>
    <row r="558" spans="1:24" ht="15" customHeight="1" x14ac:dyDescent="0.35">
      <c r="A558" s="56" t="s">
        <v>2777</v>
      </c>
      <c r="B558" s="2">
        <v>522</v>
      </c>
      <c r="C558" s="77">
        <v>10017808</v>
      </c>
      <c r="D558" s="74" t="s">
        <v>1516</v>
      </c>
      <c r="E558" s="74" t="s">
        <v>2167</v>
      </c>
      <c r="F558" s="75">
        <v>3</v>
      </c>
      <c r="G558" s="64" t="s">
        <v>0</v>
      </c>
      <c r="H558" s="78">
        <v>39521</v>
      </c>
      <c r="I558" s="4" t="s">
        <v>957</v>
      </c>
      <c r="J558" s="63" t="s">
        <v>1917</v>
      </c>
      <c r="K558" s="63" t="s">
        <v>961</v>
      </c>
      <c r="L558" s="69" t="s">
        <v>950</v>
      </c>
      <c r="M558" s="70">
        <v>5882.4</v>
      </c>
      <c r="N558" s="70">
        <v>1960.8</v>
      </c>
      <c r="O558" s="70">
        <v>5882.4</v>
      </c>
      <c r="P558" s="65">
        <v>7510</v>
      </c>
      <c r="Q558" s="65">
        <f t="shared" si="84"/>
        <v>1652.2</v>
      </c>
      <c r="R558" s="65">
        <f t="shared" si="85"/>
        <v>9162.2000000000007</v>
      </c>
      <c r="S558" s="272"/>
      <c r="T558" s="64">
        <v>33</v>
      </c>
      <c r="U558" s="270"/>
      <c r="V558" s="38">
        <v>9390</v>
      </c>
      <c r="W558" s="38">
        <f t="shared" si="86"/>
        <v>2065.8000000000002</v>
      </c>
      <c r="X558" s="38">
        <f t="shared" si="87"/>
        <v>11455.8</v>
      </c>
    </row>
    <row r="559" spans="1:24" ht="15" customHeight="1" x14ac:dyDescent="0.35">
      <c r="A559" s="56" t="s">
        <v>2778</v>
      </c>
      <c r="B559" s="2">
        <v>523</v>
      </c>
      <c r="C559" s="77">
        <v>10122909</v>
      </c>
      <c r="D559" s="74" t="s">
        <v>1516</v>
      </c>
      <c r="E559" s="74" t="s">
        <v>2167</v>
      </c>
      <c r="F559" s="75">
        <v>5</v>
      </c>
      <c r="G559" s="64" t="s">
        <v>0</v>
      </c>
      <c r="H559" s="78">
        <v>39521</v>
      </c>
      <c r="I559" s="4" t="s">
        <v>957</v>
      </c>
      <c r="J559" s="63" t="s">
        <v>1917</v>
      </c>
      <c r="K559" s="63" t="s">
        <v>961</v>
      </c>
      <c r="L559" s="69" t="s">
        <v>950</v>
      </c>
      <c r="M559" s="70">
        <v>3550</v>
      </c>
      <c r="N559" s="70">
        <v>710</v>
      </c>
      <c r="O559" s="70">
        <v>3550</v>
      </c>
      <c r="P559" s="65">
        <v>4530</v>
      </c>
      <c r="Q559" s="65">
        <f t="shared" si="84"/>
        <v>996.6</v>
      </c>
      <c r="R559" s="65">
        <f t="shared" si="85"/>
        <v>5526.6</v>
      </c>
      <c r="S559" s="272"/>
      <c r="T559" s="64">
        <v>33</v>
      </c>
      <c r="U559" s="270"/>
      <c r="V559" s="38">
        <v>5667</v>
      </c>
      <c r="W559" s="38">
        <f t="shared" si="86"/>
        <v>1246.74</v>
      </c>
      <c r="X559" s="38">
        <f t="shared" si="87"/>
        <v>6913.74</v>
      </c>
    </row>
    <row r="560" spans="1:24" ht="15" customHeight="1" x14ac:dyDescent="0.35">
      <c r="A560" s="56" t="s">
        <v>2779</v>
      </c>
      <c r="B560" s="2">
        <v>524</v>
      </c>
      <c r="C560" s="77">
        <v>10117267</v>
      </c>
      <c r="D560" s="74" t="s">
        <v>1517</v>
      </c>
      <c r="E560" s="74" t="s">
        <v>2167</v>
      </c>
      <c r="F560" s="75">
        <v>1</v>
      </c>
      <c r="G560" s="64" t="s">
        <v>0</v>
      </c>
      <c r="H560" s="78">
        <v>40470</v>
      </c>
      <c r="I560" s="4" t="s">
        <v>957</v>
      </c>
      <c r="J560" s="63" t="s">
        <v>1917</v>
      </c>
      <c r="K560" s="63" t="s">
        <v>961</v>
      </c>
      <c r="L560" s="69" t="s">
        <v>950</v>
      </c>
      <c r="M560" s="70">
        <v>18191.13</v>
      </c>
      <c r="N560" s="70">
        <v>18191.13</v>
      </c>
      <c r="O560" s="70">
        <v>18191.13</v>
      </c>
      <c r="P560" s="65">
        <v>20350</v>
      </c>
      <c r="Q560" s="65">
        <f t="shared" si="84"/>
        <v>4477</v>
      </c>
      <c r="R560" s="65">
        <f t="shared" si="85"/>
        <v>24827</v>
      </c>
      <c r="S560" s="272"/>
      <c r="T560" s="64">
        <v>33</v>
      </c>
      <c r="U560" s="270"/>
      <c r="V560" s="38">
        <v>25431</v>
      </c>
      <c r="W560" s="38">
        <f t="shared" si="86"/>
        <v>5594.82</v>
      </c>
      <c r="X560" s="38">
        <f t="shared" si="87"/>
        <v>31025.82</v>
      </c>
    </row>
    <row r="561" spans="1:24" ht="15" customHeight="1" x14ac:dyDescent="0.35">
      <c r="A561" s="56" t="s">
        <v>2780</v>
      </c>
      <c r="B561" s="2">
        <v>525</v>
      </c>
      <c r="C561" s="77">
        <v>10127576</v>
      </c>
      <c r="D561" s="74" t="s">
        <v>1519</v>
      </c>
      <c r="E561" s="74" t="s">
        <v>2167</v>
      </c>
      <c r="F561" s="75">
        <v>10</v>
      </c>
      <c r="G561" s="64" t="s">
        <v>0</v>
      </c>
      <c r="H561" s="78">
        <v>40179</v>
      </c>
      <c r="I561" s="4" t="s">
        <v>957</v>
      </c>
      <c r="J561" s="63" t="s">
        <v>1917</v>
      </c>
      <c r="K561" s="63" t="s">
        <v>961</v>
      </c>
      <c r="L561" s="69" t="s">
        <v>950</v>
      </c>
      <c r="M561" s="70">
        <v>359280.11</v>
      </c>
      <c r="N561" s="70">
        <v>35928.01</v>
      </c>
      <c r="O561" s="70">
        <v>359280.11</v>
      </c>
      <c r="P561" s="65">
        <v>426120</v>
      </c>
      <c r="Q561" s="65">
        <f t="shared" si="84"/>
        <v>93746.4</v>
      </c>
      <c r="R561" s="65">
        <f t="shared" si="85"/>
        <v>519866.4</v>
      </c>
      <c r="S561" s="272"/>
      <c r="T561" s="64">
        <v>33</v>
      </c>
      <c r="U561" s="270"/>
      <c r="V561" s="38">
        <v>532646</v>
      </c>
      <c r="W561" s="38">
        <f t="shared" si="86"/>
        <v>117182.12</v>
      </c>
      <c r="X561" s="38">
        <f t="shared" si="87"/>
        <v>649828.12</v>
      </c>
    </row>
    <row r="562" spans="1:24" ht="15" customHeight="1" x14ac:dyDescent="0.35">
      <c r="A562" s="56" t="s">
        <v>2781</v>
      </c>
      <c r="B562" s="2">
        <v>526</v>
      </c>
      <c r="C562" s="77">
        <v>10127582</v>
      </c>
      <c r="D562" s="74" t="s">
        <v>1520</v>
      </c>
      <c r="E562" s="74" t="s">
        <v>2167</v>
      </c>
      <c r="F562" s="75">
        <v>20</v>
      </c>
      <c r="G562" s="64" t="s">
        <v>0</v>
      </c>
      <c r="H562" s="78">
        <v>40179</v>
      </c>
      <c r="I562" s="4" t="s">
        <v>957</v>
      </c>
      <c r="J562" s="63" t="s">
        <v>1917</v>
      </c>
      <c r="K562" s="63" t="s">
        <v>961</v>
      </c>
      <c r="L562" s="69" t="s">
        <v>950</v>
      </c>
      <c r="M562" s="70">
        <v>438809.4</v>
      </c>
      <c r="N562" s="70">
        <v>21940.47</v>
      </c>
      <c r="O562" s="70">
        <v>438809.4</v>
      </c>
      <c r="P562" s="65">
        <v>520440</v>
      </c>
      <c r="Q562" s="65">
        <f t="shared" si="84"/>
        <v>114496.8</v>
      </c>
      <c r="R562" s="65">
        <f t="shared" si="85"/>
        <v>634936.80000000005</v>
      </c>
      <c r="S562" s="272"/>
      <c r="T562" s="64">
        <v>33</v>
      </c>
      <c r="U562" s="270"/>
      <c r="V562" s="38">
        <v>650551</v>
      </c>
      <c r="W562" s="38">
        <f t="shared" si="86"/>
        <v>143121.22</v>
      </c>
      <c r="X562" s="38">
        <f t="shared" si="87"/>
        <v>793672.22</v>
      </c>
    </row>
    <row r="563" spans="1:24" ht="15" customHeight="1" x14ac:dyDescent="0.35">
      <c r="A563" s="56" t="s">
        <v>2782</v>
      </c>
      <c r="B563" s="2">
        <v>527</v>
      </c>
      <c r="C563" s="77">
        <v>10148669</v>
      </c>
      <c r="D563" s="74" t="s">
        <v>1527</v>
      </c>
      <c r="E563" s="74" t="s">
        <v>2167</v>
      </c>
      <c r="F563" s="75">
        <v>13</v>
      </c>
      <c r="G563" s="64" t="s">
        <v>0</v>
      </c>
      <c r="H563" s="78">
        <v>41640</v>
      </c>
      <c r="I563" s="4" t="s">
        <v>957</v>
      </c>
      <c r="J563" s="63" t="s">
        <v>2204</v>
      </c>
      <c r="K563" s="63" t="s">
        <v>961</v>
      </c>
      <c r="L563" s="69" t="s">
        <v>950</v>
      </c>
      <c r="M563" s="70">
        <v>7770.23</v>
      </c>
      <c r="N563" s="70">
        <v>597.71</v>
      </c>
      <c r="O563" s="70">
        <v>7770.23</v>
      </c>
      <c r="P563" s="65">
        <v>7860</v>
      </c>
      <c r="Q563" s="65">
        <f t="shared" si="84"/>
        <v>1729.2</v>
      </c>
      <c r="R563" s="65">
        <f t="shared" si="85"/>
        <v>9589.2000000000007</v>
      </c>
      <c r="S563" s="272"/>
      <c r="T563" s="64">
        <v>33</v>
      </c>
      <c r="U563" s="270"/>
      <c r="V563" s="38">
        <v>9828</v>
      </c>
      <c r="W563" s="38">
        <f t="shared" si="86"/>
        <v>2162.16</v>
      </c>
      <c r="X563" s="38">
        <f t="shared" si="87"/>
        <v>11990.16</v>
      </c>
    </row>
    <row r="564" spans="1:24" ht="15" customHeight="1" x14ac:dyDescent="0.35">
      <c r="A564" s="56" t="s">
        <v>2783</v>
      </c>
      <c r="B564" s="2">
        <v>528</v>
      </c>
      <c r="C564" s="77">
        <v>10127824</v>
      </c>
      <c r="D564" s="74" t="s">
        <v>1532</v>
      </c>
      <c r="E564" s="74" t="s">
        <v>2167</v>
      </c>
      <c r="F564" s="75">
        <f>3-1</f>
        <v>2</v>
      </c>
      <c r="G564" s="64" t="s">
        <v>0</v>
      </c>
      <c r="H564" s="78">
        <v>40909</v>
      </c>
      <c r="I564" s="4" t="s">
        <v>957</v>
      </c>
      <c r="J564" s="63" t="s">
        <v>1927</v>
      </c>
      <c r="K564" s="63" t="s">
        <v>961</v>
      </c>
      <c r="L564" s="69" t="s">
        <v>950</v>
      </c>
      <c r="M564" s="70">
        <f t="shared" ref="M564:M627" si="94">O564</f>
        <v>73080</v>
      </c>
      <c r="N564" s="70">
        <f t="shared" ref="N564:N627" si="95">O564/F564</f>
        <v>36540</v>
      </c>
      <c r="O564" s="70">
        <f>109620/3*2</f>
        <v>73080</v>
      </c>
      <c r="P564" s="65">
        <v>75090</v>
      </c>
      <c r="Q564" s="65">
        <f t="shared" si="84"/>
        <v>16519.8</v>
      </c>
      <c r="R564" s="65">
        <f t="shared" si="85"/>
        <v>91609.8</v>
      </c>
      <c r="S564" s="272"/>
      <c r="T564" s="64">
        <v>33</v>
      </c>
      <c r="U564" s="270"/>
      <c r="V564" s="38">
        <v>93858</v>
      </c>
      <c r="W564" s="38">
        <f t="shared" si="86"/>
        <v>20648.759999999998</v>
      </c>
      <c r="X564" s="38">
        <f t="shared" si="87"/>
        <v>114506.76</v>
      </c>
    </row>
    <row r="565" spans="1:24" ht="15" customHeight="1" x14ac:dyDescent="0.35">
      <c r="A565" s="56" t="s">
        <v>2784</v>
      </c>
      <c r="B565" s="2">
        <v>529</v>
      </c>
      <c r="C565" s="77">
        <v>10098015</v>
      </c>
      <c r="D565" s="74" t="s">
        <v>1539</v>
      </c>
      <c r="E565" s="74" t="s">
        <v>2167</v>
      </c>
      <c r="F565" s="75">
        <v>5</v>
      </c>
      <c r="G565" s="64" t="s">
        <v>0</v>
      </c>
      <c r="H565" s="78">
        <v>42360</v>
      </c>
      <c r="I565" s="4" t="s">
        <v>957</v>
      </c>
      <c r="J565" s="63" t="s">
        <v>1917</v>
      </c>
      <c r="K565" s="63" t="s">
        <v>961</v>
      </c>
      <c r="L565" s="69" t="s">
        <v>950</v>
      </c>
      <c r="M565" s="70">
        <f t="shared" si="94"/>
        <v>9903.2099999999991</v>
      </c>
      <c r="N565" s="70">
        <f t="shared" si="95"/>
        <v>1980.64</v>
      </c>
      <c r="O565" s="70">
        <v>9903.2099999999991</v>
      </c>
      <c r="P565" s="65">
        <v>9220</v>
      </c>
      <c r="Q565" s="65">
        <f t="shared" si="84"/>
        <v>2028.4</v>
      </c>
      <c r="R565" s="65">
        <f t="shared" si="85"/>
        <v>11248.4</v>
      </c>
      <c r="S565" s="272"/>
      <c r="T565" s="64">
        <v>33</v>
      </c>
      <c r="U565" s="270"/>
      <c r="V565" s="38">
        <v>11519</v>
      </c>
      <c r="W565" s="38">
        <f t="shared" si="86"/>
        <v>2534.1799999999998</v>
      </c>
      <c r="X565" s="38">
        <f t="shared" si="87"/>
        <v>14053.18</v>
      </c>
    </row>
    <row r="566" spans="1:24" ht="15" customHeight="1" x14ac:dyDescent="0.35">
      <c r="A566" s="56" t="s">
        <v>2785</v>
      </c>
      <c r="B566" s="2">
        <v>530</v>
      </c>
      <c r="C566" s="77">
        <v>102001434</v>
      </c>
      <c r="D566" s="74" t="s">
        <v>1543</v>
      </c>
      <c r="E566" s="74" t="s">
        <v>2167</v>
      </c>
      <c r="F566" s="75">
        <v>2</v>
      </c>
      <c r="G566" s="64" t="s">
        <v>0</v>
      </c>
      <c r="H566" s="120">
        <v>2015</v>
      </c>
      <c r="I566" s="4" t="s">
        <v>957</v>
      </c>
      <c r="J566" s="63" t="s">
        <v>1917</v>
      </c>
      <c r="K566" s="63" t="s">
        <v>961</v>
      </c>
      <c r="L566" s="69" t="s">
        <v>950</v>
      </c>
      <c r="M566" s="70">
        <f t="shared" si="94"/>
        <v>955563.76</v>
      </c>
      <c r="N566" s="70">
        <f t="shared" si="95"/>
        <v>477781.88</v>
      </c>
      <c r="O566" s="70">
        <v>955563.76</v>
      </c>
      <c r="P566" s="65">
        <v>894880</v>
      </c>
      <c r="Q566" s="65">
        <f t="shared" si="84"/>
        <v>196873.60000000001</v>
      </c>
      <c r="R566" s="65">
        <f t="shared" si="85"/>
        <v>1091753.6000000001</v>
      </c>
      <c r="S566" s="272"/>
      <c r="T566" s="64">
        <v>33</v>
      </c>
      <c r="U566" s="270"/>
      <c r="V566" s="38">
        <v>1118602</v>
      </c>
      <c r="W566" s="38">
        <f t="shared" si="86"/>
        <v>246092.44</v>
      </c>
      <c r="X566" s="38">
        <f t="shared" si="87"/>
        <v>1364694.44</v>
      </c>
    </row>
    <row r="567" spans="1:24" ht="15" customHeight="1" x14ac:dyDescent="0.35">
      <c r="A567" s="56" t="s">
        <v>2786</v>
      </c>
      <c r="B567" s="2">
        <v>531</v>
      </c>
      <c r="C567" s="77">
        <v>10103021</v>
      </c>
      <c r="D567" s="74" t="s">
        <v>1544</v>
      </c>
      <c r="E567" s="74" t="s">
        <v>2167</v>
      </c>
      <c r="F567" s="75">
        <v>2</v>
      </c>
      <c r="G567" s="64" t="s">
        <v>0</v>
      </c>
      <c r="H567" s="78">
        <v>39814</v>
      </c>
      <c r="I567" s="4" t="s">
        <v>957</v>
      </c>
      <c r="J567" s="63" t="s">
        <v>1953</v>
      </c>
      <c r="K567" s="63" t="s">
        <v>961</v>
      </c>
      <c r="L567" s="69" t="s">
        <v>950</v>
      </c>
      <c r="M567" s="70">
        <f t="shared" si="94"/>
        <v>2490</v>
      </c>
      <c r="N567" s="70">
        <f t="shared" si="95"/>
        <v>1245</v>
      </c>
      <c r="O567" s="70">
        <v>2490</v>
      </c>
      <c r="P567" s="65">
        <v>2950</v>
      </c>
      <c r="Q567" s="65">
        <f t="shared" si="84"/>
        <v>649</v>
      </c>
      <c r="R567" s="65">
        <f t="shared" si="85"/>
        <v>3599</v>
      </c>
      <c r="S567" s="272"/>
      <c r="T567" s="64">
        <v>33</v>
      </c>
      <c r="U567" s="270"/>
      <c r="V567" s="38">
        <v>3693</v>
      </c>
      <c r="W567" s="38">
        <f t="shared" si="86"/>
        <v>812.46</v>
      </c>
      <c r="X567" s="38">
        <f t="shared" si="87"/>
        <v>4505.46</v>
      </c>
    </row>
    <row r="568" spans="1:24" ht="15" customHeight="1" x14ac:dyDescent="0.35">
      <c r="A568" s="56" t="s">
        <v>2787</v>
      </c>
      <c r="B568" s="2">
        <v>532</v>
      </c>
      <c r="C568" s="77">
        <v>10102939</v>
      </c>
      <c r="D568" s="74" t="s">
        <v>1545</v>
      </c>
      <c r="E568" s="74" t="s">
        <v>2167</v>
      </c>
      <c r="F568" s="75">
        <v>9</v>
      </c>
      <c r="G568" s="64" t="s">
        <v>0</v>
      </c>
      <c r="H568" s="78">
        <v>39814</v>
      </c>
      <c r="I568" s="4" t="s">
        <v>957</v>
      </c>
      <c r="J568" s="63" t="s">
        <v>1953</v>
      </c>
      <c r="K568" s="63" t="s">
        <v>961</v>
      </c>
      <c r="L568" s="69" t="s">
        <v>950</v>
      </c>
      <c r="M568" s="70">
        <f t="shared" si="94"/>
        <v>10532.29</v>
      </c>
      <c r="N568" s="70">
        <f t="shared" si="95"/>
        <v>1170.25</v>
      </c>
      <c r="O568" s="70">
        <v>10532.29</v>
      </c>
      <c r="P568" s="65">
        <v>12500</v>
      </c>
      <c r="Q568" s="65">
        <f t="shared" si="84"/>
        <v>2750</v>
      </c>
      <c r="R568" s="65">
        <f t="shared" si="85"/>
        <v>15250</v>
      </c>
      <c r="S568" s="272"/>
      <c r="T568" s="64">
        <v>33</v>
      </c>
      <c r="U568" s="270"/>
      <c r="V568" s="38">
        <v>15622</v>
      </c>
      <c r="W568" s="38">
        <f t="shared" si="86"/>
        <v>3436.84</v>
      </c>
      <c r="X568" s="38">
        <f t="shared" si="87"/>
        <v>19058.84</v>
      </c>
    </row>
    <row r="569" spans="1:24" ht="15" customHeight="1" x14ac:dyDescent="0.35">
      <c r="A569" s="56" t="s">
        <v>2788</v>
      </c>
      <c r="B569" s="2">
        <v>533</v>
      </c>
      <c r="C569" s="77">
        <v>10132199</v>
      </c>
      <c r="D569" s="74" t="s">
        <v>1547</v>
      </c>
      <c r="E569" s="74" t="s">
        <v>2167</v>
      </c>
      <c r="F569" s="75">
        <v>1</v>
      </c>
      <c r="G569" s="64" t="s">
        <v>0</v>
      </c>
      <c r="H569" s="78">
        <v>40998</v>
      </c>
      <c r="I569" s="4" t="s">
        <v>957</v>
      </c>
      <c r="J569" s="63" t="s">
        <v>1917</v>
      </c>
      <c r="K569" s="63" t="s">
        <v>961</v>
      </c>
      <c r="L569" s="69" t="s">
        <v>950</v>
      </c>
      <c r="M569" s="70">
        <f t="shared" si="94"/>
        <v>662.74</v>
      </c>
      <c r="N569" s="70">
        <f t="shared" si="95"/>
        <v>662.74</v>
      </c>
      <c r="O569" s="70">
        <v>662.74</v>
      </c>
      <c r="P569" s="65">
        <v>680</v>
      </c>
      <c r="Q569" s="65">
        <f t="shared" si="84"/>
        <v>149.6</v>
      </c>
      <c r="R569" s="65">
        <f t="shared" si="85"/>
        <v>829.6</v>
      </c>
      <c r="S569" s="272"/>
      <c r="T569" s="64">
        <v>33</v>
      </c>
      <c r="U569" s="270"/>
      <c r="V569" s="38">
        <v>849</v>
      </c>
      <c r="W569" s="38">
        <f t="shared" si="86"/>
        <v>186.78</v>
      </c>
      <c r="X569" s="38">
        <f t="shared" si="87"/>
        <v>1035.78</v>
      </c>
    </row>
    <row r="570" spans="1:24" ht="15" customHeight="1" x14ac:dyDescent="0.35">
      <c r="A570" s="56" t="s">
        <v>2789</v>
      </c>
      <c r="B570" s="2">
        <v>534</v>
      </c>
      <c r="C570" s="77">
        <v>10105332</v>
      </c>
      <c r="D570" s="74" t="s">
        <v>1548</v>
      </c>
      <c r="E570" s="74" t="s">
        <v>2167</v>
      </c>
      <c r="F570" s="75">
        <v>1</v>
      </c>
      <c r="G570" s="64" t="s">
        <v>0</v>
      </c>
      <c r="H570" s="78">
        <v>40380</v>
      </c>
      <c r="I570" s="4" t="s">
        <v>957</v>
      </c>
      <c r="J570" s="63" t="s">
        <v>1917</v>
      </c>
      <c r="K570" s="63" t="s">
        <v>961</v>
      </c>
      <c r="L570" s="69" t="s">
        <v>950</v>
      </c>
      <c r="M570" s="70">
        <f t="shared" si="94"/>
        <v>3290.97</v>
      </c>
      <c r="N570" s="70">
        <f t="shared" si="95"/>
        <v>3290.97</v>
      </c>
      <c r="O570" s="70">
        <v>3290.97</v>
      </c>
      <c r="P570" s="65">
        <v>3680</v>
      </c>
      <c r="Q570" s="65">
        <f t="shared" si="84"/>
        <v>809.6</v>
      </c>
      <c r="R570" s="65">
        <f t="shared" si="85"/>
        <v>4489.6000000000004</v>
      </c>
      <c r="S570" s="272"/>
      <c r="T570" s="64">
        <v>33</v>
      </c>
      <c r="U570" s="270"/>
      <c r="V570" s="38">
        <v>4596</v>
      </c>
      <c r="W570" s="38">
        <f t="shared" si="86"/>
        <v>1011.12</v>
      </c>
      <c r="X570" s="38">
        <f t="shared" si="87"/>
        <v>5607.12</v>
      </c>
    </row>
    <row r="571" spans="1:24" ht="15" customHeight="1" x14ac:dyDescent="0.35">
      <c r="A571" s="56" t="s">
        <v>2790</v>
      </c>
      <c r="B571" s="2">
        <v>535</v>
      </c>
      <c r="C571" s="77">
        <v>10151814</v>
      </c>
      <c r="D571" s="74" t="s">
        <v>1549</v>
      </c>
      <c r="E571" s="74" t="s">
        <v>2167</v>
      </c>
      <c r="F571" s="75">
        <v>1</v>
      </c>
      <c r="G571" s="64" t="s">
        <v>0</v>
      </c>
      <c r="H571" s="78">
        <v>39083</v>
      </c>
      <c r="I571" s="4" t="s">
        <v>957</v>
      </c>
      <c r="J571" s="63" t="s">
        <v>1927</v>
      </c>
      <c r="K571" s="63" t="s">
        <v>961</v>
      </c>
      <c r="L571" s="69" t="s">
        <v>950</v>
      </c>
      <c r="M571" s="70">
        <f t="shared" si="94"/>
        <v>35410.93</v>
      </c>
      <c r="N571" s="70">
        <f t="shared" si="95"/>
        <v>35410.93</v>
      </c>
      <c r="O571" s="70">
        <v>35410.93</v>
      </c>
      <c r="P571" s="65">
        <v>52400</v>
      </c>
      <c r="Q571" s="65">
        <f t="shared" si="84"/>
        <v>11528</v>
      </c>
      <c r="R571" s="65">
        <f t="shared" si="85"/>
        <v>63928</v>
      </c>
      <c r="S571" s="272"/>
      <c r="T571" s="64">
        <v>33</v>
      </c>
      <c r="U571" s="270"/>
      <c r="V571" s="38">
        <v>65503</v>
      </c>
      <c r="W571" s="38">
        <f t="shared" si="86"/>
        <v>14410.66</v>
      </c>
      <c r="X571" s="38">
        <f t="shared" si="87"/>
        <v>79913.66</v>
      </c>
    </row>
    <row r="572" spans="1:24" ht="15" customHeight="1" x14ac:dyDescent="0.35">
      <c r="A572" s="56" t="s">
        <v>2791</v>
      </c>
      <c r="B572" s="2">
        <v>536</v>
      </c>
      <c r="C572" s="77">
        <v>102001109</v>
      </c>
      <c r="D572" s="74" t="s">
        <v>1558</v>
      </c>
      <c r="E572" s="74" t="s">
        <v>2167</v>
      </c>
      <c r="F572" s="75">
        <v>1</v>
      </c>
      <c r="G572" s="64" t="s">
        <v>0</v>
      </c>
      <c r="H572" s="64">
        <v>2015</v>
      </c>
      <c r="I572" s="4" t="s">
        <v>957</v>
      </c>
      <c r="J572" s="63" t="s">
        <v>1917</v>
      </c>
      <c r="K572" s="63" t="s">
        <v>961</v>
      </c>
      <c r="L572" s="69" t="s">
        <v>950</v>
      </c>
      <c r="M572" s="70">
        <f t="shared" si="94"/>
        <v>76658.399999999994</v>
      </c>
      <c r="N572" s="70">
        <f t="shared" si="95"/>
        <v>76658.399999999994</v>
      </c>
      <c r="O572" s="70">
        <v>76658.399999999994</v>
      </c>
      <c r="P572" s="65">
        <v>71790</v>
      </c>
      <c r="Q572" s="65">
        <f t="shared" si="84"/>
        <v>15793.8</v>
      </c>
      <c r="R572" s="65">
        <f t="shared" si="85"/>
        <v>87583.8</v>
      </c>
      <c r="S572" s="272"/>
      <c r="T572" s="64">
        <v>33</v>
      </c>
      <c r="U572" s="270"/>
      <c r="V572" s="38">
        <v>89738</v>
      </c>
      <c r="W572" s="38">
        <f t="shared" si="86"/>
        <v>19742.36</v>
      </c>
      <c r="X572" s="38">
        <f t="shared" si="87"/>
        <v>109480.36</v>
      </c>
    </row>
    <row r="573" spans="1:24" ht="15" customHeight="1" x14ac:dyDescent="0.35">
      <c r="A573" s="56" t="s">
        <v>2792</v>
      </c>
      <c r="B573" s="2">
        <v>537</v>
      </c>
      <c r="C573" s="77">
        <v>102000806</v>
      </c>
      <c r="D573" s="74" t="s">
        <v>1559</v>
      </c>
      <c r="E573" s="74" t="s">
        <v>2167</v>
      </c>
      <c r="F573" s="75">
        <v>1</v>
      </c>
      <c r="G573" s="64" t="s">
        <v>0</v>
      </c>
      <c r="H573" s="64">
        <v>2015</v>
      </c>
      <c r="I573" s="4" t="s">
        <v>957</v>
      </c>
      <c r="J573" s="63" t="s">
        <v>1917</v>
      </c>
      <c r="K573" s="63" t="s">
        <v>961</v>
      </c>
      <c r="L573" s="69" t="s">
        <v>950</v>
      </c>
      <c r="M573" s="70">
        <f t="shared" si="94"/>
        <v>60113.56</v>
      </c>
      <c r="N573" s="70">
        <f t="shared" si="95"/>
        <v>60113.56</v>
      </c>
      <c r="O573" s="70">
        <v>60113.56</v>
      </c>
      <c r="P573" s="65">
        <v>56300</v>
      </c>
      <c r="Q573" s="65">
        <f t="shared" si="84"/>
        <v>12386</v>
      </c>
      <c r="R573" s="65">
        <f t="shared" si="85"/>
        <v>68686</v>
      </c>
      <c r="S573" s="272"/>
      <c r="T573" s="64">
        <v>33</v>
      </c>
      <c r="U573" s="270"/>
      <c r="V573" s="38">
        <v>70370</v>
      </c>
      <c r="W573" s="38">
        <f t="shared" si="86"/>
        <v>15481.4</v>
      </c>
      <c r="X573" s="38">
        <f t="shared" si="87"/>
        <v>85851.4</v>
      </c>
    </row>
    <row r="574" spans="1:24" ht="15" customHeight="1" x14ac:dyDescent="0.35">
      <c r="A574" s="56" t="s">
        <v>2793</v>
      </c>
      <c r="B574" s="2">
        <v>538</v>
      </c>
      <c r="C574" s="77">
        <v>10132240</v>
      </c>
      <c r="D574" s="74" t="s">
        <v>1581</v>
      </c>
      <c r="E574" s="74" t="s">
        <v>2167</v>
      </c>
      <c r="F574" s="75">
        <v>1</v>
      </c>
      <c r="G574" s="64" t="s">
        <v>0</v>
      </c>
      <c r="H574" s="78">
        <v>40999</v>
      </c>
      <c r="I574" s="4" t="s">
        <v>957</v>
      </c>
      <c r="J574" s="63" t="s">
        <v>1917</v>
      </c>
      <c r="K574" s="63" t="s">
        <v>961</v>
      </c>
      <c r="L574" s="69" t="s">
        <v>950</v>
      </c>
      <c r="M574" s="70">
        <f t="shared" si="94"/>
        <v>590.88</v>
      </c>
      <c r="N574" s="70">
        <f t="shared" si="95"/>
        <v>590.88</v>
      </c>
      <c r="O574" s="70">
        <v>590.88</v>
      </c>
      <c r="P574" s="65">
        <v>610</v>
      </c>
      <c r="Q574" s="65">
        <f t="shared" si="84"/>
        <v>134.19999999999999</v>
      </c>
      <c r="R574" s="65">
        <f t="shared" si="85"/>
        <v>744.2</v>
      </c>
      <c r="S574" s="272"/>
      <c r="T574" s="64">
        <v>33</v>
      </c>
      <c r="U574" s="270"/>
      <c r="V574" s="38">
        <v>757</v>
      </c>
      <c r="W574" s="38">
        <f t="shared" si="86"/>
        <v>166.54</v>
      </c>
      <c r="X574" s="38">
        <f t="shared" si="87"/>
        <v>923.54</v>
      </c>
    </row>
    <row r="575" spans="1:24" ht="15" customHeight="1" x14ac:dyDescent="0.35">
      <c r="A575" s="56" t="s">
        <v>2794</v>
      </c>
      <c r="B575" s="2">
        <v>539</v>
      </c>
      <c r="C575" s="77">
        <v>10138655</v>
      </c>
      <c r="D575" s="74" t="s">
        <v>1593</v>
      </c>
      <c r="E575" s="74" t="s">
        <v>2167</v>
      </c>
      <c r="F575" s="75">
        <v>1</v>
      </c>
      <c r="G575" s="64" t="s">
        <v>0</v>
      </c>
      <c r="H575" s="78">
        <v>41431</v>
      </c>
      <c r="I575" s="4" t="s">
        <v>957</v>
      </c>
      <c r="J575" s="63" t="s">
        <v>1917</v>
      </c>
      <c r="K575" s="63" t="s">
        <v>961</v>
      </c>
      <c r="L575" s="69" t="s">
        <v>950</v>
      </c>
      <c r="M575" s="70">
        <f t="shared" si="94"/>
        <v>27240</v>
      </c>
      <c r="N575" s="70">
        <f t="shared" si="95"/>
        <v>27240</v>
      </c>
      <c r="O575" s="70">
        <v>27240</v>
      </c>
      <c r="P575" s="65">
        <v>27910</v>
      </c>
      <c r="Q575" s="65">
        <f t="shared" ref="Q575:Q638" si="96">P575*0.22</f>
        <v>6140.2</v>
      </c>
      <c r="R575" s="65">
        <f t="shared" ref="R575:R638" si="97">P575+Q575</f>
        <v>34050.199999999997</v>
      </c>
      <c r="S575" s="272"/>
      <c r="T575" s="64">
        <v>33</v>
      </c>
      <c r="U575" s="270"/>
      <c r="V575" s="38">
        <v>34883</v>
      </c>
      <c r="W575" s="38">
        <f t="shared" ref="W575:W638" si="98">V575*0.22</f>
        <v>7674.26</v>
      </c>
      <c r="X575" s="38">
        <f t="shared" si="87"/>
        <v>42557.26</v>
      </c>
    </row>
    <row r="576" spans="1:24" ht="15" customHeight="1" x14ac:dyDescent="0.35">
      <c r="A576" s="56" t="s">
        <v>2795</v>
      </c>
      <c r="B576" s="2">
        <v>540</v>
      </c>
      <c r="C576" s="77">
        <v>10151838</v>
      </c>
      <c r="D576" s="74" t="s">
        <v>1594</v>
      </c>
      <c r="E576" s="74" t="s">
        <v>2167</v>
      </c>
      <c r="F576" s="75">
        <v>1</v>
      </c>
      <c r="G576" s="64" t="s">
        <v>0</v>
      </c>
      <c r="H576" s="78">
        <v>41789</v>
      </c>
      <c r="I576" s="4" t="s">
        <v>957</v>
      </c>
      <c r="J576" s="63" t="s">
        <v>1917</v>
      </c>
      <c r="K576" s="63" t="s">
        <v>961</v>
      </c>
      <c r="L576" s="69" t="s">
        <v>950</v>
      </c>
      <c r="M576" s="70">
        <f t="shared" si="94"/>
        <v>30760</v>
      </c>
      <c r="N576" s="70">
        <f t="shared" si="95"/>
        <v>30760</v>
      </c>
      <c r="O576" s="70">
        <v>30760</v>
      </c>
      <c r="P576" s="65">
        <v>30850</v>
      </c>
      <c r="Q576" s="65">
        <f t="shared" si="96"/>
        <v>6787</v>
      </c>
      <c r="R576" s="65">
        <f t="shared" si="97"/>
        <v>37637</v>
      </c>
      <c r="S576" s="272"/>
      <c r="T576" s="64">
        <v>33</v>
      </c>
      <c r="U576" s="270"/>
      <c r="V576" s="38">
        <v>38562</v>
      </c>
      <c r="W576" s="38">
        <f t="shared" si="98"/>
        <v>8483.64</v>
      </c>
      <c r="X576" s="38">
        <f t="shared" si="87"/>
        <v>47045.64</v>
      </c>
    </row>
    <row r="577" spans="1:24" ht="15" customHeight="1" x14ac:dyDescent="0.35">
      <c r="A577" s="56" t="s">
        <v>2796</v>
      </c>
      <c r="B577" s="2">
        <v>541</v>
      </c>
      <c r="C577" s="77">
        <v>10151789</v>
      </c>
      <c r="D577" s="74" t="s">
        <v>1595</v>
      </c>
      <c r="E577" s="74" t="s">
        <v>2167</v>
      </c>
      <c r="F577" s="75">
        <v>1</v>
      </c>
      <c r="G577" s="64" t="s">
        <v>0</v>
      </c>
      <c r="H577" s="78">
        <v>41789</v>
      </c>
      <c r="I577" s="4" t="s">
        <v>957</v>
      </c>
      <c r="J577" s="63" t="s">
        <v>1917</v>
      </c>
      <c r="K577" s="63" t="s">
        <v>961</v>
      </c>
      <c r="L577" s="69" t="s">
        <v>950</v>
      </c>
      <c r="M577" s="70">
        <f t="shared" si="94"/>
        <v>30760</v>
      </c>
      <c r="N577" s="70">
        <f t="shared" si="95"/>
        <v>30760</v>
      </c>
      <c r="O577" s="70">
        <v>30760</v>
      </c>
      <c r="P577" s="65">
        <v>30850</v>
      </c>
      <c r="Q577" s="65">
        <f t="shared" si="96"/>
        <v>6787</v>
      </c>
      <c r="R577" s="65">
        <f t="shared" si="97"/>
        <v>37637</v>
      </c>
      <c r="S577" s="272"/>
      <c r="T577" s="64">
        <v>33</v>
      </c>
      <c r="U577" s="270"/>
      <c r="V577" s="38">
        <v>38562</v>
      </c>
      <c r="W577" s="38">
        <f t="shared" si="98"/>
        <v>8483.64</v>
      </c>
      <c r="X577" s="38">
        <f t="shared" ref="X577:X640" si="99">V577+W577</f>
        <v>47045.64</v>
      </c>
    </row>
    <row r="578" spans="1:24" ht="15" customHeight="1" x14ac:dyDescent="0.35">
      <c r="A578" s="56" t="s">
        <v>2797</v>
      </c>
      <c r="B578" s="2">
        <v>542</v>
      </c>
      <c r="C578" s="77">
        <v>10151808</v>
      </c>
      <c r="D578" s="74" t="s">
        <v>1596</v>
      </c>
      <c r="E578" s="74" t="s">
        <v>2167</v>
      </c>
      <c r="F578" s="75">
        <v>1</v>
      </c>
      <c r="G578" s="64" t="s">
        <v>0</v>
      </c>
      <c r="H578" s="78">
        <v>41789</v>
      </c>
      <c r="I578" s="4" t="s">
        <v>957</v>
      </c>
      <c r="J578" s="63" t="s">
        <v>1917</v>
      </c>
      <c r="K578" s="63" t="s">
        <v>961</v>
      </c>
      <c r="L578" s="69" t="s">
        <v>950</v>
      </c>
      <c r="M578" s="70">
        <f t="shared" si="94"/>
        <v>7033</v>
      </c>
      <c r="N578" s="70">
        <f t="shared" si="95"/>
        <v>7033</v>
      </c>
      <c r="O578" s="70">
        <v>7033</v>
      </c>
      <c r="P578" s="65">
        <v>7050</v>
      </c>
      <c r="Q578" s="65">
        <f t="shared" si="96"/>
        <v>1551</v>
      </c>
      <c r="R578" s="65">
        <f t="shared" si="97"/>
        <v>8601</v>
      </c>
      <c r="S578" s="272"/>
      <c r="T578" s="64">
        <v>33</v>
      </c>
      <c r="U578" s="270"/>
      <c r="V578" s="38">
        <v>8817</v>
      </c>
      <c r="W578" s="38">
        <f t="shared" si="98"/>
        <v>1939.74</v>
      </c>
      <c r="X578" s="38">
        <f t="shared" si="99"/>
        <v>10756.74</v>
      </c>
    </row>
    <row r="579" spans="1:24" ht="15" customHeight="1" x14ac:dyDescent="0.35">
      <c r="A579" s="56" t="s">
        <v>2798</v>
      </c>
      <c r="B579" s="2">
        <v>543</v>
      </c>
      <c r="C579" s="77">
        <v>10151813</v>
      </c>
      <c r="D579" s="74" t="s">
        <v>1597</v>
      </c>
      <c r="E579" s="74" t="s">
        <v>2167</v>
      </c>
      <c r="F579" s="75">
        <v>1</v>
      </c>
      <c r="G579" s="64" t="s">
        <v>0</v>
      </c>
      <c r="H579" s="78">
        <v>41789</v>
      </c>
      <c r="I579" s="4" t="s">
        <v>957</v>
      </c>
      <c r="J579" s="63" t="s">
        <v>1917</v>
      </c>
      <c r="K579" s="63" t="s">
        <v>961</v>
      </c>
      <c r="L579" s="69" t="s">
        <v>950</v>
      </c>
      <c r="M579" s="70">
        <f t="shared" si="94"/>
        <v>7033</v>
      </c>
      <c r="N579" s="70">
        <f t="shared" si="95"/>
        <v>7033</v>
      </c>
      <c r="O579" s="70">
        <v>7033</v>
      </c>
      <c r="P579" s="65">
        <v>7050</v>
      </c>
      <c r="Q579" s="65">
        <f t="shared" si="96"/>
        <v>1551</v>
      </c>
      <c r="R579" s="65">
        <f t="shared" si="97"/>
        <v>8601</v>
      </c>
      <c r="S579" s="272"/>
      <c r="T579" s="64">
        <v>33</v>
      </c>
      <c r="U579" s="270"/>
      <c r="V579" s="38">
        <v>8817</v>
      </c>
      <c r="W579" s="38">
        <f t="shared" si="98"/>
        <v>1939.74</v>
      </c>
      <c r="X579" s="38">
        <f t="shared" si="99"/>
        <v>10756.74</v>
      </c>
    </row>
    <row r="580" spans="1:24" ht="15" customHeight="1" x14ac:dyDescent="0.35">
      <c r="A580" s="56" t="s">
        <v>2799</v>
      </c>
      <c r="B580" s="2">
        <v>544</v>
      </c>
      <c r="C580" s="77">
        <v>102001085</v>
      </c>
      <c r="D580" s="74" t="s">
        <v>1598</v>
      </c>
      <c r="E580" s="74" t="s">
        <v>2167</v>
      </c>
      <c r="F580" s="75">
        <v>2</v>
      </c>
      <c r="G580" s="64" t="s">
        <v>0</v>
      </c>
      <c r="H580" s="64">
        <v>2015</v>
      </c>
      <c r="I580" s="4" t="s">
        <v>957</v>
      </c>
      <c r="J580" s="63" t="s">
        <v>1917</v>
      </c>
      <c r="K580" s="63" t="s">
        <v>961</v>
      </c>
      <c r="L580" s="69" t="s">
        <v>950</v>
      </c>
      <c r="M580" s="70">
        <f t="shared" si="94"/>
        <v>9951.33</v>
      </c>
      <c r="N580" s="70">
        <f t="shared" si="95"/>
        <v>4975.67</v>
      </c>
      <c r="O580" s="70">
        <v>9951.33</v>
      </c>
      <c r="P580" s="65">
        <v>9320</v>
      </c>
      <c r="Q580" s="65">
        <f t="shared" si="96"/>
        <v>2050.4</v>
      </c>
      <c r="R580" s="65">
        <f t="shared" si="97"/>
        <v>11370.4</v>
      </c>
      <c r="S580" s="272"/>
      <c r="T580" s="64">
        <v>33</v>
      </c>
      <c r="U580" s="270"/>
      <c r="V580" s="38">
        <v>11649</v>
      </c>
      <c r="W580" s="38">
        <f t="shared" si="98"/>
        <v>2562.7800000000002</v>
      </c>
      <c r="X580" s="38">
        <f t="shared" si="99"/>
        <v>14211.78</v>
      </c>
    </row>
    <row r="581" spans="1:24" ht="15" customHeight="1" x14ac:dyDescent="0.35">
      <c r="A581" s="56" t="s">
        <v>2800</v>
      </c>
      <c r="B581" s="2">
        <v>545</v>
      </c>
      <c r="C581" s="77">
        <v>10042125</v>
      </c>
      <c r="D581" s="74" t="s">
        <v>1599</v>
      </c>
      <c r="E581" s="74" t="s">
        <v>2167</v>
      </c>
      <c r="F581" s="75">
        <v>1</v>
      </c>
      <c r="G581" s="64" t="s">
        <v>0</v>
      </c>
      <c r="H581" s="78">
        <v>41431</v>
      </c>
      <c r="I581" s="4" t="s">
        <v>957</v>
      </c>
      <c r="J581" s="63" t="s">
        <v>1917</v>
      </c>
      <c r="K581" s="63" t="s">
        <v>961</v>
      </c>
      <c r="L581" s="69" t="s">
        <v>950</v>
      </c>
      <c r="M581" s="70">
        <f t="shared" si="94"/>
        <v>6363</v>
      </c>
      <c r="N581" s="70">
        <f t="shared" si="95"/>
        <v>6363</v>
      </c>
      <c r="O581" s="70">
        <v>6363</v>
      </c>
      <c r="P581" s="65">
        <v>6520</v>
      </c>
      <c r="Q581" s="65">
        <f t="shared" si="96"/>
        <v>1434.4</v>
      </c>
      <c r="R581" s="65">
        <f t="shared" si="97"/>
        <v>7954.4</v>
      </c>
      <c r="S581" s="272"/>
      <c r="T581" s="64">
        <v>33</v>
      </c>
      <c r="U581" s="270"/>
      <c r="V581" s="38">
        <v>8148</v>
      </c>
      <c r="W581" s="38">
        <f t="shared" si="98"/>
        <v>1792.56</v>
      </c>
      <c r="X581" s="38">
        <f t="shared" si="99"/>
        <v>9940.56</v>
      </c>
    </row>
    <row r="582" spans="1:24" ht="15" customHeight="1" x14ac:dyDescent="0.35">
      <c r="A582" s="56" t="s">
        <v>2801</v>
      </c>
      <c r="B582" s="2">
        <v>546</v>
      </c>
      <c r="C582" s="77">
        <v>10119189</v>
      </c>
      <c r="D582" s="74" t="s">
        <v>1604</v>
      </c>
      <c r="E582" s="74" t="s">
        <v>2167</v>
      </c>
      <c r="F582" s="75">
        <v>59</v>
      </c>
      <c r="G582" s="64" t="s">
        <v>0</v>
      </c>
      <c r="H582" s="78">
        <v>41431</v>
      </c>
      <c r="I582" s="4" t="s">
        <v>957</v>
      </c>
      <c r="J582" s="63" t="s">
        <v>1917</v>
      </c>
      <c r="K582" s="63" t="s">
        <v>961</v>
      </c>
      <c r="L582" s="69" t="s">
        <v>950</v>
      </c>
      <c r="M582" s="70">
        <f t="shared" si="94"/>
        <v>3492.3</v>
      </c>
      <c r="N582" s="70">
        <f t="shared" si="95"/>
        <v>59.19</v>
      </c>
      <c r="O582" s="70">
        <v>3492.3</v>
      </c>
      <c r="P582" s="65">
        <v>3580</v>
      </c>
      <c r="Q582" s="65">
        <f t="shared" si="96"/>
        <v>787.6</v>
      </c>
      <c r="R582" s="65">
        <f t="shared" si="97"/>
        <v>4367.6000000000004</v>
      </c>
      <c r="S582" s="272"/>
      <c r="T582" s="64">
        <v>33</v>
      </c>
      <c r="U582" s="270"/>
      <c r="V582" s="38">
        <v>4472</v>
      </c>
      <c r="W582" s="38">
        <f t="shared" si="98"/>
        <v>983.84</v>
      </c>
      <c r="X582" s="38">
        <f t="shared" si="99"/>
        <v>5455.84</v>
      </c>
    </row>
    <row r="583" spans="1:24" ht="15" customHeight="1" x14ac:dyDescent="0.35">
      <c r="A583" s="56" t="s">
        <v>2802</v>
      </c>
      <c r="B583" s="2">
        <v>547</v>
      </c>
      <c r="C583" s="77">
        <v>10029363</v>
      </c>
      <c r="D583" s="74" t="s">
        <v>1605</v>
      </c>
      <c r="E583" s="74" t="s">
        <v>2167</v>
      </c>
      <c r="F583" s="75">
        <v>5</v>
      </c>
      <c r="G583" s="64" t="s">
        <v>0</v>
      </c>
      <c r="H583" s="78">
        <v>39356</v>
      </c>
      <c r="I583" s="4" t="s">
        <v>957</v>
      </c>
      <c r="J583" s="63" t="s">
        <v>1917</v>
      </c>
      <c r="K583" s="63" t="s">
        <v>961</v>
      </c>
      <c r="L583" s="69" t="s">
        <v>950</v>
      </c>
      <c r="M583" s="70">
        <f t="shared" si="94"/>
        <v>7270.47</v>
      </c>
      <c r="N583" s="70">
        <f t="shared" si="95"/>
        <v>1454.09</v>
      </c>
      <c r="O583" s="70">
        <v>7270.47</v>
      </c>
      <c r="P583" s="65">
        <v>10030</v>
      </c>
      <c r="Q583" s="65">
        <f t="shared" si="96"/>
        <v>2206.6</v>
      </c>
      <c r="R583" s="65">
        <f t="shared" si="97"/>
        <v>12236.6</v>
      </c>
      <c r="S583" s="272"/>
      <c r="T583" s="64">
        <v>33</v>
      </c>
      <c r="U583" s="270"/>
      <c r="V583" s="38">
        <v>12535</v>
      </c>
      <c r="W583" s="38">
        <f t="shared" si="98"/>
        <v>2757.7</v>
      </c>
      <c r="X583" s="38">
        <f t="shared" si="99"/>
        <v>15292.7</v>
      </c>
    </row>
    <row r="584" spans="1:24" ht="15" customHeight="1" x14ac:dyDescent="0.35">
      <c r="A584" s="56" t="s">
        <v>2803</v>
      </c>
      <c r="B584" s="2">
        <v>548</v>
      </c>
      <c r="C584" s="77">
        <v>10119191</v>
      </c>
      <c r="D584" s="74" t="s">
        <v>1606</v>
      </c>
      <c r="E584" s="74" t="s">
        <v>2167</v>
      </c>
      <c r="F584" s="75">
        <v>3</v>
      </c>
      <c r="G584" s="64" t="s">
        <v>0</v>
      </c>
      <c r="H584" s="78">
        <v>41431</v>
      </c>
      <c r="I584" s="4" t="s">
        <v>957</v>
      </c>
      <c r="J584" s="63" t="s">
        <v>1917</v>
      </c>
      <c r="K584" s="63" t="s">
        <v>961</v>
      </c>
      <c r="L584" s="69" t="s">
        <v>950</v>
      </c>
      <c r="M584" s="70">
        <f t="shared" si="94"/>
        <v>15060</v>
      </c>
      <c r="N584" s="70">
        <f t="shared" si="95"/>
        <v>5020</v>
      </c>
      <c r="O584" s="70">
        <v>15060</v>
      </c>
      <c r="P584" s="65">
        <v>15430</v>
      </c>
      <c r="Q584" s="65">
        <f t="shared" si="96"/>
        <v>3394.6</v>
      </c>
      <c r="R584" s="65">
        <f t="shared" si="97"/>
        <v>18824.599999999999</v>
      </c>
      <c r="S584" s="272"/>
      <c r="T584" s="64">
        <v>33</v>
      </c>
      <c r="U584" s="270"/>
      <c r="V584" s="38">
        <v>19285</v>
      </c>
      <c r="W584" s="38">
        <f t="shared" si="98"/>
        <v>4242.7</v>
      </c>
      <c r="X584" s="38">
        <f t="shared" si="99"/>
        <v>23527.7</v>
      </c>
    </row>
    <row r="585" spans="1:24" ht="28.5" customHeight="1" x14ac:dyDescent="0.35">
      <c r="A585" s="56" t="s">
        <v>2804</v>
      </c>
      <c r="B585" s="2">
        <v>549</v>
      </c>
      <c r="C585" s="77">
        <v>10098141</v>
      </c>
      <c r="D585" s="74" t="s">
        <v>1608</v>
      </c>
      <c r="E585" s="74" t="s">
        <v>2167</v>
      </c>
      <c r="F585" s="75">
        <v>1</v>
      </c>
      <c r="G585" s="64" t="s">
        <v>0</v>
      </c>
      <c r="H585" s="78">
        <v>40909</v>
      </c>
      <c r="I585" s="4" t="s">
        <v>957</v>
      </c>
      <c r="J585" s="63" t="s">
        <v>1951</v>
      </c>
      <c r="K585" s="63" t="s">
        <v>961</v>
      </c>
      <c r="L585" s="69" t="s">
        <v>950</v>
      </c>
      <c r="M585" s="70">
        <f t="shared" si="94"/>
        <v>6134.62</v>
      </c>
      <c r="N585" s="70">
        <f t="shared" si="95"/>
        <v>6134.62</v>
      </c>
      <c r="O585" s="70">
        <v>6134.62</v>
      </c>
      <c r="P585" s="65">
        <v>6300</v>
      </c>
      <c r="Q585" s="65">
        <f t="shared" si="96"/>
        <v>1386</v>
      </c>
      <c r="R585" s="65">
        <f t="shared" si="97"/>
        <v>7686</v>
      </c>
      <c r="S585" s="272"/>
      <c r="T585" s="64">
        <v>33</v>
      </c>
      <c r="U585" s="270"/>
      <c r="V585" s="38">
        <v>7879</v>
      </c>
      <c r="W585" s="38">
        <f t="shared" si="98"/>
        <v>1733.38</v>
      </c>
      <c r="X585" s="38">
        <f t="shared" si="99"/>
        <v>9612.3799999999992</v>
      </c>
    </row>
    <row r="586" spans="1:24" ht="15" customHeight="1" x14ac:dyDescent="0.35">
      <c r="A586" s="56" t="s">
        <v>2805</v>
      </c>
      <c r="B586" s="2">
        <v>550</v>
      </c>
      <c r="C586" s="77">
        <v>10119192</v>
      </c>
      <c r="D586" s="74" t="s">
        <v>1609</v>
      </c>
      <c r="E586" s="74" t="s">
        <v>2167</v>
      </c>
      <c r="F586" s="75">
        <v>2</v>
      </c>
      <c r="G586" s="64" t="s">
        <v>0</v>
      </c>
      <c r="H586" s="78">
        <v>41320</v>
      </c>
      <c r="I586" s="4" t="s">
        <v>957</v>
      </c>
      <c r="J586" s="63" t="s">
        <v>1917</v>
      </c>
      <c r="K586" s="63" t="s">
        <v>961</v>
      </c>
      <c r="L586" s="69" t="s">
        <v>950</v>
      </c>
      <c r="M586" s="70">
        <f t="shared" si="94"/>
        <v>774</v>
      </c>
      <c r="N586" s="70">
        <f t="shared" si="95"/>
        <v>387</v>
      </c>
      <c r="O586" s="70">
        <v>774</v>
      </c>
      <c r="P586" s="65">
        <v>800</v>
      </c>
      <c r="Q586" s="65">
        <f t="shared" si="96"/>
        <v>176</v>
      </c>
      <c r="R586" s="65">
        <f t="shared" si="97"/>
        <v>976</v>
      </c>
      <c r="S586" s="272"/>
      <c r="T586" s="64">
        <v>33</v>
      </c>
      <c r="U586" s="270"/>
      <c r="V586" s="38">
        <v>995</v>
      </c>
      <c r="W586" s="38">
        <f t="shared" si="98"/>
        <v>218.9</v>
      </c>
      <c r="X586" s="38">
        <f t="shared" si="99"/>
        <v>1213.9000000000001</v>
      </c>
    </row>
    <row r="587" spans="1:24" ht="15" customHeight="1" x14ac:dyDescent="0.35">
      <c r="A587" s="56" t="s">
        <v>2806</v>
      </c>
      <c r="B587" s="2">
        <v>551</v>
      </c>
      <c r="C587" s="77">
        <v>10119193</v>
      </c>
      <c r="D587" s="74" t="s">
        <v>1610</v>
      </c>
      <c r="E587" s="74" t="s">
        <v>2167</v>
      </c>
      <c r="F587" s="75">
        <v>4</v>
      </c>
      <c r="G587" s="64" t="s">
        <v>0</v>
      </c>
      <c r="H587" s="78">
        <v>41320</v>
      </c>
      <c r="I587" s="4" t="s">
        <v>957</v>
      </c>
      <c r="J587" s="63" t="s">
        <v>1917</v>
      </c>
      <c r="K587" s="63" t="s">
        <v>961</v>
      </c>
      <c r="L587" s="69" t="s">
        <v>950</v>
      </c>
      <c r="M587" s="70">
        <f t="shared" si="94"/>
        <v>2324</v>
      </c>
      <c r="N587" s="70">
        <f t="shared" si="95"/>
        <v>581</v>
      </c>
      <c r="O587" s="70">
        <v>2324</v>
      </c>
      <c r="P587" s="65">
        <v>2390</v>
      </c>
      <c r="Q587" s="65">
        <f t="shared" si="96"/>
        <v>525.79999999999995</v>
      </c>
      <c r="R587" s="65">
        <f t="shared" si="97"/>
        <v>2915.8</v>
      </c>
      <c r="S587" s="272"/>
      <c r="T587" s="64">
        <v>33</v>
      </c>
      <c r="U587" s="270"/>
      <c r="V587" s="38">
        <v>2988</v>
      </c>
      <c r="W587" s="38">
        <f t="shared" si="98"/>
        <v>657.36</v>
      </c>
      <c r="X587" s="38">
        <f t="shared" si="99"/>
        <v>3645.36</v>
      </c>
    </row>
    <row r="588" spans="1:24" ht="15" customHeight="1" x14ac:dyDescent="0.35">
      <c r="A588" s="56" t="s">
        <v>2807</v>
      </c>
      <c r="B588" s="2">
        <v>552</v>
      </c>
      <c r="C588" s="77">
        <v>10111136</v>
      </c>
      <c r="D588" s="74" t="s">
        <v>1613</v>
      </c>
      <c r="E588" s="74" t="s">
        <v>2167</v>
      </c>
      <c r="F588" s="75">
        <v>7</v>
      </c>
      <c r="G588" s="64" t="s">
        <v>0</v>
      </c>
      <c r="H588" s="78">
        <v>41141</v>
      </c>
      <c r="I588" s="4" t="s">
        <v>957</v>
      </c>
      <c r="J588" s="63" t="s">
        <v>1917</v>
      </c>
      <c r="K588" s="63" t="s">
        <v>961</v>
      </c>
      <c r="L588" s="69" t="s">
        <v>950</v>
      </c>
      <c r="M588" s="70">
        <f t="shared" si="94"/>
        <v>33852</v>
      </c>
      <c r="N588" s="70">
        <f t="shared" si="95"/>
        <v>4836</v>
      </c>
      <c r="O588" s="70">
        <v>33852</v>
      </c>
      <c r="P588" s="65">
        <v>34660</v>
      </c>
      <c r="Q588" s="65">
        <f t="shared" si="96"/>
        <v>7625.2</v>
      </c>
      <c r="R588" s="65">
        <f t="shared" si="97"/>
        <v>42285.2</v>
      </c>
      <c r="S588" s="272"/>
      <c r="T588" s="64">
        <v>33</v>
      </c>
      <c r="U588" s="270"/>
      <c r="V588" s="38">
        <v>43325</v>
      </c>
      <c r="W588" s="38">
        <f t="shared" si="98"/>
        <v>9531.5</v>
      </c>
      <c r="X588" s="38">
        <f t="shared" si="99"/>
        <v>52856.5</v>
      </c>
    </row>
    <row r="589" spans="1:24" ht="15" customHeight="1" x14ac:dyDescent="0.35">
      <c r="A589" s="56" t="s">
        <v>2808</v>
      </c>
      <c r="B589" s="2">
        <v>553</v>
      </c>
      <c r="C589" s="77">
        <v>10109889</v>
      </c>
      <c r="D589" s="74" t="s">
        <v>1614</v>
      </c>
      <c r="E589" s="74" t="s">
        <v>2167</v>
      </c>
      <c r="F589" s="75">
        <v>5</v>
      </c>
      <c r="G589" s="64" t="s">
        <v>0</v>
      </c>
      <c r="H589" s="78">
        <v>41141</v>
      </c>
      <c r="I589" s="4" t="s">
        <v>957</v>
      </c>
      <c r="J589" s="63" t="s">
        <v>1917</v>
      </c>
      <c r="K589" s="63" t="s">
        <v>961</v>
      </c>
      <c r="L589" s="69" t="s">
        <v>950</v>
      </c>
      <c r="M589" s="70">
        <f t="shared" si="94"/>
        <v>33668.97</v>
      </c>
      <c r="N589" s="70">
        <f t="shared" si="95"/>
        <v>6733.79</v>
      </c>
      <c r="O589" s="70">
        <v>33668.97</v>
      </c>
      <c r="P589" s="65">
        <v>34470</v>
      </c>
      <c r="Q589" s="65">
        <f t="shared" si="96"/>
        <v>7583.4</v>
      </c>
      <c r="R589" s="65">
        <f t="shared" si="97"/>
        <v>42053.4</v>
      </c>
      <c r="S589" s="272"/>
      <c r="T589" s="64">
        <v>33</v>
      </c>
      <c r="U589" s="270"/>
      <c r="V589" s="38">
        <v>43090</v>
      </c>
      <c r="W589" s="38">
        <f t="shared" si="98"/>
        <v>9479.7999999999993</v>
      </c>
      <c r="X589" s="38">
        <f t="shared" si="99"/>
        <v>52569.8</v>
      </c>
    </row>
    <row r="590" spans="1:24" ht="15" customHeight="1" x14ac:dyDescent="0.35">
      <c r="A590" s="56" t="s">
        <v>2809</v>
      </c>
      <c r="B590" s="2">
        <v>554</v>
      </c>
      <c r="C590" s="77">
        <v>10111135</v>
      </c>
      <c r="D590" s="74" t="s">
        <v>1615</v>
      </c>
      <c r="E590" s="74" t="s">
        <v>2167</v>
      </c>
      <c r="F590" s="75">
        <v>12</v>
      </c>
      <c r="G590" s="64" t="s">
        <v>0</v>
      </c>
      <c r="H590" s="78">
        <v>41141</v>
      </c>
      <c r="I590" s="4" t="s">
        <v>957</v>
      </c>
      <c r="J590" s="63" t="s">
        <v>1917</v>
      </c>
      <c r="K590" s="63" t="s">
        <v>961</v>
      </c>
      <c r="L590" s="69" t="s">
        <v>950</v>
      </c>
      <c r="M590" s="70">
        <f t="shared" si="94"/>
        <v>73632</v>
      </c>
      <c r="N590" s="70">
        <f t="shared" si="95"/>
        <v>6136</v>
      </c>
      <c r="O590" s="70">
        <v>73632</v>
      </c>
      <c r="P590" s="65">
        <v>75390</v>
      </c>
      <c r="Q590" s="65">
        <f t="shared" si="96"/>
        <v>16585.8</v>
      </c>
      <c r="R590" s="65">
        <f t="shared" si="97"/>
        <v>91975.8</v>
      </c>
      <c r="S590" s="272"/>
      <c r="T590" s="64">
        <v>33</v>
      </c>
      <c r="U590" s="270"/>
      <c r="V590" s="38">
        <v>94236</v>
      </c>
      <c r="W590" s="38">
        <f t="shared" si="98"/>
        <v>20731.919999999998</v>
      </c>
      <c r="X590" s="38">
        <f t="shared" si="99"/>
        <v>114967.92</v>
      </c>
    </row>
    <row r="591" spans="1:24" ht="15" customHeight="1" x14ac:dyDescent="0.35">
      <c r="A591" s="56" t="s">
        <v>2810</v>
      </c>
      <c r="B591" s="2">
        <v>555</v>
      </c>
      <c r="C591" s="77">
        <v>10110454</v>
      </c>
      <c r="D591" s="74" t="s">
        <v>1616</v>
      </c>
      <c r="E591" s="74" t="s">
        <v>2167</v>
      </c>
      <c r="F591" s="75">
        <v>3</v>
      </c>
      <c r="G591" s="64" t="s">
        <v>0</v>
      </c>
      <c r="H591" s="78">
        <v>41141</v>
      </c>
      <c r="I591" s="4" t="s">
        <v>957</v>
      </c>
      <c r="J591" s="63" t="s">
        <v>1917</v>
      </c>
      <c r="K591" s="63" t="s">
        <v>961</v>
      </c>
      <c r="L591" s="69" t="s">
        <v>950</v>
      </c>
      <c r="M591" s="70">
        <f t="shared" si="94"/>
        <v>21773.11</v>
      </c>
      <c r="N591" s="70">
        <f t="shared" si="95"/>
        <v>7257.7</v>
      </c>
      <c r="O591" s="70">
        <v>21773.11</v>
      </c>
      <c r="P591" s="65">
        <v>22290</v>
      </c>
      <c r="Q591" s="65">
        <f t="shared" si="96"/>
        <v>4903.8</v>
      </c>
      <c r="R591" s="65">
        <f t="shared" si="97"/>
        <v>27193.8</v>
      </c>
      <c r="S591" s="272"/>
      <c r="T591" s="64">
        <v>33</v>
      </c>
      <c r="U591" s="270"/>
      <c r="V591" s="38">
        <v>27866</v>
      </c>
      <c r="W591" s="38">
        <f t="shared" si="98"/>
        <v>6130.52</v>
      </c>
      <c r="X591" s="38">
        <f t="shared" si="99"/>
        <v>33996.519999999997</v>
      </c>
    </row>
    <row r="592" spans="1:24" ht="15" customHeight="1" x14ac:dyDescent="0.35">
      <c r="A592" s="56" t="s">
        <v>2811</v>
      </c>
      <c r="B592" s="2">
        <v>556</v>
      </c>
      <c r="C592" s="77">
        <v>10111137</v>
      </c>
      <c r="D592" s="74" t="s">
        <v>1617</v>
      </c>
      <c r="E592" s="74" t="s">
        <v>2167</v>
      </c>
      <c r="F592" s="75">
        <v>14</v>
      </c>
      <c r="G592" s="64" t="s">
        <v>0</v>
      </c>
      <c r="H592" s="78">
        <v>41141</v>
      </c>
      <c r="I592" s="4" t="s">
        <v>957</v>
      </c>
      <c r="J592" s="63" t="s">
        <v>1917</v>
      </c>
      <c r="K592" s="63" t="s">
        <v>961</v>
      </c>
      <c r="L592" s="69" t="s">
        <v>950</v>
      </c>
      <c r="M592" s="70">
        <f t="shared" si="94"/>
        <v>115600.91</v>
      </c>
      <c r="N592" s="70">
        <f t="shared" si="95"/>
        <v>8257.2099999999991</v>
      </c>
      <c r="O592" s="70">
        <v>115600.91</v>
      </c>
      <c r="P592" s="65">
        <v>118360</v>
      </c>
      <c r="Q592" s="65">
        <f t="shared" si="96"/>
        <v>26039.200000000001</v>
      </c>
      <c r="R592" s="65">
        <f t="shared" si="97"/>
        <v>144399.20000000001</v>
      </c>
      <c r="S592" s="272"/>
      <c r="T592" s="64">
        <v>33</v>
      </c>
      <c r="U592" s="270"/>
      <c r="V592" s="38">
        <v>147949</v>
      </c>
      <c r="W592" s="38">
        <f t="shared" si="98"/>
        <v>32548.78</v>
      </c>
      <c r="X592" s="38">
        <f t="shared" si="99"/>
        <v>180497.78</v>
      </c>
    </row>
    <row r="593" spans="1:24" ht="15" customHeight="1" x14ac:dyDescent="0.35">
      <c r="A593" s="56" t="s">
        <v>2812</v>
      </c>
      <c r="B593" s="2">
        <v>557</v>
      </c>
      <c r="C593" s="77">
        <v>10030170</v>
      </c>
      <c r="D593" s="74" t="s">
        <v>1618</v>
      </c>
      <c r="E593" s="74" t="s">
        <v>2167</v>
      </c>
      <c r="F593" s="75">
        <v>4</v>
      </c>
      <c r="G593" s="64" t="s">
        <v>0</v>
      </c>
      <c r="H593" s="78">
        <v>41141</v>
      </c>
      <c r="I593" s="4" t="s">
        <v>957</v>
      </c>
      <c r="J593" s="63" t="s">
        <v>1917</v>
      </c>
      <c r="K593" s="63" t="s">
        <v>961</v>
      </c>
      <c r="L593" s="69" t="s">
        <v>950</v>
      </c>
      <c r="M593" s="70">
        <f t="shared" si="94"/>
        <v>27726.9</v>
      </c>
      <c r="N593" s="70">
        <f t="shared" si="95"/>
        <v>6931.73</v>
      </c>
      <c r="O593" s="70">
        <v>27726.9</v>
      </c>
      <c r="P593" s="65">
        <v>28390</v>
      </c>
      <c r="Q593" s="65">
        <f t="shared" si="96"/>
        <v>6245.8</v>
      </c>
      <c r="R593" s="65">
        <f t="shared" si="97"/>
        <v>34635.800000000003</v>
      </c>
      <c r="S593" s="272"/>
      <c r="T593" s="64">
        <v>33</v>
      </c>
      <c r="U593" s="270"/>
      <c r="V593" s="38">
        <v>35486</v>
      </c>
      <c r="W593" s="38">
        <f t="shared" si="98"/>
        <v>7806.92</v>
      </c>
      <c r="X593" s="38">
        <f t="shared" si="99"/>
        <v>43292.92</v>
      </c>
    </row>
    <row r="594" spans="1:24" ht="15" customHeight="1" x14ac:dyDescent="0.35">
      <c r="A594" s="56" t="s">
        <v>2813</v>
      </c>
      <c r="B594" s="2">
        <v>558</v>
      </c>
      <c r="C594" s="77">
        <v>10119194</v>
      </c>
      <c r="D594" s="74" t="s">
        <v>1621</v>
      </c>
      <c r="E594" s="74" t="s">
        <v>2167</v>
      </c>
      <c r="F594" s="75">
        <v>2</v>
      </c>
      <c r="G594" s="64" t="s">
        <v>0</v>
      </c>
      <c r="H594" s="78">
        <v>41431</v>
      </c>
      <c r="I594" s="4" t="s">
        <v>957</v>
      </c>
      <c r="J594" s="63" t="s">
        <v>1917</v>
      </c>
      <c r="K594" s="63" t="s">
        <v>961</v>
      </c>
      <c r="L594" s="69" t="s">
        <v>950</v>
      </c>
      <c r="M594" s="70">
        <f t="shared" si="94"/>
        <v>8862</v>
      </c>
      <c r="N594" s="70">
        <f t="shared" si="95"/>
        <v>4431</v>
      </c>
      <c r="O594" s="70">
        <v>8862</v>
      </c>
      <c r="P594" s="65">
        <v>9080</v>
      </c>
      <c r="Q594" s="65">
        <f t="shared" si="96"/>
        <v>1997.6</v>
      </c>
      <c r="R594" s="65">
        <f t="shared" si="97"/>
        <v>11077.6</v>
      </c>
      <c r="S594" s="272"/>
      <c r="T594" s="64">
        <v>33</v>
      </c>
      <c r="U594" s="270"/>
      <c r="V594" s="38">
        <v>11348</v>
      </c>
      <c r="W594" s="38">
        <f t="shared" si="98"/>
        <v>2496.56</v>
      </c>
      <c r="X594" s="38">
        <f t="shared" si="99"/>
        <v>13844.56</v>
      </c>
    </row>
    <row r="595" spans="1:24" ht="15" customHeight="1" x14ac:dyDescent="0.35">
      <c r="A595" s="56" t="s">
        <v>2814</v>
      </c>
      <c r="B595" s="2">
        <v>559</v>
      </c>
      <c r="C595" s="77">
        <v>10093769</v>
      </c>
      <c r="D595" s="74" t="s">
        <v>1635</v>
      </c>
      <c r="E595" s="74" t="s">
        <v>2167</v>
      </c>
      <c r="F595" s="75">
        <v>70</v>
      </c>
      <c r="G595" s="64" t="s">
        <v>0</v>
      </c>
      <c r="H595" s="78">
        <v>41201</v>
      </c>
      <c r="I595" s="4" t="s">
        <v>957</v>
      </c>
      <c r="J595" s="63" t="s">
        <v>1917</v>
      </c>
      <c r="K595" s="63" t="s">
        <v>961</v>
      </c>
      <c r="L595" s="69" t="s">
        <v>950</v>
      </c>
      <c r="M595" s="70">
        <f t="shared" si="94"/>
        <v>404250</v>
      </c>
      <c r="N595" s="70">
        <f t="shared" si="95"/>
        <v>5775</v>
      </c>
      <c r="O595" s="70">
        <v>404250</v>
      </c>
      <c r="P595" s="65">
        <v>413650</v>
      </c>
      <c r="Q595" s="65">
        <f t="shared" si="96"/>
        <v>91003</v>
      </c>
      <c r="R595" s="65">
        <f t="shared" si="97"/>
        <v>504653</v>
      </c>
      <c r="S595" s="272"/>
      <c r="T595" s="64">
        <v>33</v>
      </c>
      <c r="U595" s="270"/>
      <c r="V595" s="38">
        <v>517068</v>
      </c>
      <c r="W595" s="38">
        <f t="shared" si="98"/>
        <v>113754.96</v>
      </c>
      <c r="X595" s="38">
        <f t="shared" si="99"/>
        <v>630822.96</v>
      </c>
    </row>
    <row r="596" spans="1:24" ht="15" customHeight="1" x14ac:dyDescent="0.35">
      <c r="A596" s="56" t="s">
        <v>2815</v>
      </c>
      <c r="B596" s="2">
        <v>560</v>
      </c>
      <c r="C596" s="77">
        <v>10102377</v>
      </c>
      <c r="D596" s="74" t="s">
        <v>1636</v>
      </c>
      <c r="E596" s="74" t="s">
        <v>2167</v>
      </c>
      <c r="F596" s="75">
        <v>13</v>
      </c>
      <c r="G596" s="64" t="s">
        <v>0</v>
      </c>
      <c r="H596" s="78">
        <v>41431</v>
      </c>
      <c r="I596" s="4" t="s">
        <v>957</v>
      </c>
      <c r="J596" s="63" t="s">
        <v>1917</v>
      </c>
      <c r="K596" s="63" t="s">
        <v>961</v>
      </c>
      <c r="L596" s="69" t="s">
        <v>950</v>
      </c>
      <c r="M596" s="70">
        <f t="shared" si="94"/>
        <v>137262.04</v>
      </c>
      <c r="N596" s="70">
        <f t="shared" si="95"/>
        <v>10558.62</v>
      </c>
      <c r="O596" s="70">
        <v>137262.04</v>
      </c>
      <c r="P596" s="65">
        <v>140620</v>
      </c>
      <c r="Q596" s="65">
        <f t="shared" si="96"/>
        <v>30936.400000000001</v>
      </c>
      <c r="R596" s="65">
        <f t="shared" si="97"/>
        <v>171556.4</v>
      </c>
      <c r="S596" s="272"/>
      <c r="T596" s="64">
        <v>33</v>
      </c>
      <c r="U596" s="270"/>
      <c r="V596" s="38">
        <v>175774</v>
      </c>
      <c r="W596" s="38">
        <f t="shared" si="98"/>
        <v>38670.28</v>
      </c>
      <c r="X596" s="38">
        <f t="shared" si="99"/>
        <v>214444.28</v>
      </c>
    </row>
    <row r="597" spans="1:24" ht="30" customHeight="1" x14ac:dyDescent="0.35">
      <c r="A597" s="56" t="s">
        <v>2816</v>
      </c>
      <c r="B597" s="2">
        <v>561</v>
      </c>
      <c r="C597" s="77">
        <v>10051198</v>
      </c>
      <c r="D597" s="74" t="s">
        <v>1637</v>
      </c>
      <c r="E597" s="74" t="s">
        <v>2167</v>
      </c>
      <c r="F597" s="75">
        <v>1</v>
      </c>
      <c r="G597" s="64" t="s">
        <v>0</v>
      </c>
      <c r="H597" s="78">
        <v>39448</v>
      </c>
      <c r="I597" s="4" t="s">
        <v>957</v>
      </c>
      <c r="J597" s="63" t="s">
        <v>1949</v>
      </c>
      <c r="K597" s="63" t="s">
        <v>961</v>
      </c>
      <c r="L597" s="69" t="s">
        <v>950</v>
      </c>
      <c r="M597" s="70">
        <f t="shared" si="94"/>
        <v>2290.2600000000002</v>
      </c>
      <c r="N597" s="70">
        <f t="shared" si="95"/>
        <v>2290.2600000000002</v>
      </c>
      <c r="O597" s="70">
        <v>2290.2600000000002</v>
      </c>
      <c r="P597" s="65">
        <v>2980</v>
      </c>
      <c r="Q597" s="65">
        <f t="shared" si="96"/>
        <v>655.6</v>
      </c>
      <c r="R597" s="65">
        <f t="shared" si="97"/>
        <v>3635.6</v>
      </c>
      <c r="S597" s="272"/>
      <c r="T597" s="64">
        <v>33</v>
      </c>
      <c r="U597" s="270"/>
      <c r="V597" s="38">
        <v>3729</v>
      </c>
      <c r="W597" s="38">
        <f t="shared" si="98"/>
        <v>820.38</v>
      </c>
      <c r="X597" s="38">
        <f t="shared" si="99"/>
        <v>4549.38</v>
      </c>
    </row>
    <row r="598" spans="1:24" ht="30" customHeight="1" x14ac:dyDescent="0.35">
      <c r="A598" s="56" t="s">
        <v>2817</v>
      </c>
      <c r="B598" s="2">
        <v>562</v>
      </c>
      <c r="C598" s="77">
        <v>10050939</v>
      </c>
      <c r="D598" s="74" t="s">
        <v>1639</v>
      </c>
      <c r="E598" s="74" t="s">
        <v>2167</v>
      </c>
      <c r="F598" s="75">
        <v>6</v>
      </c>
      <c r="G598" s="64" t="s">
        <v>0</v>
      </c>
      <c r="H598" s="78">
        <v>39758</v>
      </c>
      <c r="I598" s="4" t="s">
        <v>957</v>
      </c>
      <c r="J598" s="63" t="s">
        <v>1917</v>
      </c>
      <c r="K598" s="63" t="s">
        <v>961</v>
      </c>
      <c r="L598" s="69" t="s">
        <v>950</v>
      </c>
      <c r="M598" s="70">
        <f t="shared" si="94"/>
        <v>7534.24</v>
      </c>
      <c r="N598" s="70">
        <f t="shared" si="95"/>
        <v>1255.71</v>
      </c>
      <c r="O598" s="70">
        <v>7534.24</v>
      </c>
      <c r="P598" s="65">
        <v>9060</v>
      </c>
      <c r="Q598" s="65">
        <f t="shared" si="96"/>
        <v>1993.2</v>
      </c>
      <c r="R598" s="65">
        <f t="shared" si="97"/>
        <v>11053.2</v>
      </c>
      <c r="S598" s="272"/>
      <c r="T598" s="64">
        <v>33</v>
      </c>
      <c r="U598" s="270"/>
      <c r="V598" s="38">
        <v>11322</v>
      </c>
      <c r="W598" s="38">
        <f t="shared" si="98"/>
        <v>2490.84</v>
      </c>
      <c r="X598" s="38">
        <f t="shared" si="99"/>
        <v>13812.84</v>
      </c>
    </row>
    <row r="599" spans="1:24" ht="30" customHeight="1" x14ac:dyDescent="0.35">
      <c r="A599" s="56" t="s">
        <v>2818</v>
      </c>
      <c r="B599" s="2">
        <v>563</v>
      </c>
      <c r="C599" s="77">
        <v>10098369</v>
      </c>
      <c r="D599" s="74" t="s">
        <v>1640</v>
      </c>
      <c r="E599" s="74" t="s">
        <v>2167</v>
      </c>
      <c r="F599" s="75">
        <v>4</v>
      </c>
      <c r="G599" s="64" t="s">
        <v>0</v>
      </c>
      <c r="H599" s="78">
        <v>40909</v>
      </c>
      <c r="I599" s="4" t="s">
        <v>957</v>
      </c>
      <c r="J599" s="63" t="s">
        <v>1917</v>
      </c>
      <c r="K599" s="63" t="s">
        <v>961</v>
      </c>
      <c r="L599" s="69" t="s">
        <v>950</v>
      </c>
      <c r="M599" s="70">
        <f t="shared" si="94"/>
        <v>16080</v>
      </c>
      <c r="N599" s="70">
        <f t="shared" si="95"/>
        <v>4020</v>
      </c>
      <c r="O599" s="70">
        <v>16080</v>
      </c>
      <c r="P599" s="65">
        <v>16520</v>
      </c>
      <c r="Q599" s="65">
        <f t="shared" si="96"/>
        <v>3634.4</v>
      </c>
      <c r="R599" s="65">
        <f t="shared" si="97"/>
        <v>20154.400000000001</v>
      </c>
      <c r="S599" s="272"/>
      <c r="T599" s="64">
        <v>33</v>
      </c>
      <c r="U599" s="270"/>
      <c r="V599" s="38">
        <v>20652</v>
      </c>
      <c r="W599" s="38">
        <f t="shared" si="98"/>
        <v>4543.4399999999996</v>
      </c>
      <c r="X599" s="38">
        <f t="shared" si="99"/>
        <v>25195.439999999999</v>
      </c>
    </row>
    <row r="600" spans="1:24" ht="30" customHeight="1" x14ac:dyDescent="0.35">
      <c r="A600" s="56" t="s">
        <v>2819</v>
      </c>
      <c r="B600" s="2">
        <v>564</v>
      </c>
      <c r="C600" s="77">
        <v>10126616</v>
      </c>
      <c r="D600" s="74" t="s">
        <v>1641</v>
      </c>
      <c r="E600" s="74" t="s">
        <v>2167</v>
      </c>
      <c r="F600" s="75">
        <v>8</v>
      </c>
      <c r="G600" s="64" t="s">
        <v>0</v>
      </c>
      <c r="H600" s="78">
        <v>40909</v>
      </c>
      <c r="I600" s="4" t="s">
        <v>957</v>
      </c>
      <c r="J600" s="63" t="s">
        <v>1917</v>
      </c>
      <c r="K600" s="63" t="s">
        <v>961</v>
      </c>
      <c r="L600" s="69" t="s">
        <v>950</v>
      </c>
      <c r="M600" s="70">
        <f t="shared" si="94"/>
        <v>61908</v>
      </c>
      <c r="N600" s="70">
        <f t="shared" si="95"/>
        <v>7738.5</v>
      </c>
      <c r="O600" s="70">
        <v>61908</v>
      </c>
      <c r="P600" s="65">
        <v>63610</v>
      </c>
      <c r="Q600" s="65">
        <f t="shared" si="96"/>
        <v>13994.2</v>
      </c>
      <c r="R600" s="65">
        <f t="shared" si="97"/>
        <v>77604.2</v>
      </c>
      <c r="S600" s="272"/>
      <c r="T600" s="64">
        <v>33</v>
      </c>
      <c r="U600" s="270"/>
      <c r="V600" s="38">
        <v>79509</v>
      </c>
      <c r="W600" s="38">
        <f t="shared" si="98"/>
        <v>17491.98</v>
      </c>
      <c r="X600" s="38">
        <f t="shared" si="99"/>
        <v>97000.98</v>
      </c>
    </row>
    <row r="601" spans="1:24" ht="30" customHeight="1" x14ac:dyDescent="0.35">
      <c r="A601" s="56" t="s">
        <v>2820</v>
      </c>
      <c r="B601" s="2">
        <v>565</v>
      </c>
      <c r="C601" s="77">
        <v>10042796</v>
      </c>
      <c r="D601" s="74" t="s">
        <v>1642</v>
      </c>
      <c r="E601" s="74" t="s">
        <v>2167</v>
      </c>
      <c r="F601" s="75">
        <v>4</v>
      </c>
      <c r="G601" s="64" t="s">
        <v>0</v>
      </c>
      <c r="H601" s="78">
        <v>40179</v>
      </c>
      <c r="I601" s="4" t="s">
        <v>957</v>
      </c>
      <c r="J601" s="63" t="s">
        <v>1948</v>
      </c>
      <c r="K601" s="63" t="s">
        <v>961</v>
      </c>
      <c r="L601" s="69" t="s">
        <v>950</v>
      </c>
      <c r="M601" s="70">
        <f t="shared" si="94"/>
        <v>17425.68</v>
      </c>
      <c r="N601" s="70">
        <f t="shared" si="95"/>
        <v>4356.42</v>
      </c>
      <c r="O601" s="70">
        <v>17425.68</v>
      </c>
      <c r="P601" s="65">
        <v>20670</v>
      </c>
      <c r="Q601" s="65">
        <f t="shared" si="96"/>
        <v>4547.3999999999996</v>
      </c>
      <c r="R601" s="65">
        <f t="shared" si="97"/>
        <v>25217.4</v>
      </c>
      <c r="S601" s="272"/>
      <c r="T601" s="64">
        <v>33</v>
      </c>
      <c r="U601" s="270"/>
      <c r="V601" s="38">
        <v>25834</v>
      </c>
      <c r="W601" s="38">
        <f t="shared" si="98"/>
        <v>5683.48</v>
      </c>
      <c r="X601" s="38">
        <f t="shared" si="99"/>
        <v>31517.48</v>
      </c>
    </row>
    <row r="602" spans="1:24" ht="30" customHeight="1" x14ac:dyDescent="0.35">
      <c r="A602" s="56" t="s">
        <v>2821</v>
      </c>
      <c r="B602" s="2">
        <v>566</v>
      </c>
      <c r="C602" s="77">
        <v>10102573</v>
      </c>
      <c r="D602" s="74" t="s">
        <v>1646</v>
      </c>
      <c r="E602" s="74" t="s">
        <v>2167</v>
      </c>
      <c r="F602" s="75">
        <v>1</v>
      </c>
      <c r="G602" s="64" t="s">
        <v>0</v>
      </c>
      <c r="H602" s="78">
        <v>40179</v>
      </c>
      <c r="I602" s="4" t="s">
        <v>957</v>
      </c>
      <c r="J602" s="63" t="s">
        <v>1947</v>
      </c>
      <c r="K602" s="63" t="s">
        <v>961</v>
      </c>
      <c r="L602" s="69" t="s">
        <v>950</v>
      </c>
      <c r="M602" s="70">
        <f t="shared" si="94"/>
        <v>7840</v>
      </c>
      <c r="N602" s="70">
        <f t="shared" si="95"/>
        <v>7840</v>
      </c>
      <c r="O602" s="70">
        <v>7840</v>
      </c>
      <c r="P602" s="65">
        <v>9300</v>
      </c>
      <c r="Q602" s="65">
        <f t="shared" si="96"/>
        <v>2046</v>
      </c>
      <c r="R602" s="65">
        <f t="shared" si="97"/>
        <v>11346</v>
      </c>
      <c r="S602" s="272"/>
      <c r="T602" s="64">
        <v>33</v>
      </c>
      <c r="U602" s="270"/>
      <c r="V602" s="38">
        <v>11623</v>
      </c>
      <c r="W602" s="38">
        <f t="shared" si="98"/>
        <v>2557.06</v>
      </c>
      <c r="X602" s="38">
        <f t="shared" si="99"/>
        <v>14180.06</v>
      </c>
    </row>
    <row r="603" spans="1:24" ht="30" customHeight="1" x14ac:dyDescent="0.35">
      <c r="A603" s="56" t="s">
        <v>2822</v>
      </c>
      <c r="B603" s="2">
        <v>567</v>
      </c>
      <c r="C603" s="77">
        <v>10113724</v>
      </c>
      <c r="D603" s="74" t="s">
        <v>1647</v>
      </c>
      <c r="E603" s="74" t="s">
        <v>2167</v>
      </c>
      <c r="F603" s="75">
        <v>7</v>
      </c>
      <c r="G603" s="64" t="s">
        <v>0</v>
      </c>
      <c r="H603" s="78">
        <v>40430</v>
      </c>
      <c r="I603" s="4" t="s">
        <v>957</v>
      </c>
      <c r="J603" s="63" t="s">
        <v>1917</v>
      </c>
      <c r="K603" s="63" t="s">
        <v>961</v>
      </c>
      <c r="L603" s="69" t="s">
        <v>950</v>
      </c>
      <c r="M603" s="70">
        <f t="shared" si="94"/>
        <v>12548.52</v>
      </c>
      <c r="N603" s="70">
        <f t="shared" si="95"/>
        <v>1792.65</v>
      </c>
      <c r="O603" s="70">
        <v>12548.52</v>
      </c>
      <c r="P603" s="65">
        <v>14050</v>
      </c>
      <c r="Q603" s="65">
        <f t="shared" si="96"/>
        <v>3091</v>
      </c>
      <c r="R603" s="65">
        <f t="shared" si="97"/>
        <v>17141</v>
      </c>
      <c r="S603" s="272"/>
      <c r="T603" s="64">
        <v>33</v>
      </c>
      <c r="U603" s="270"/>
      <c r="V603" s="38">
        <v>17562</v>
      </c>
      <c r="W603" s="38">
        <f t="shared" si="98"/>
        <v>3863.64</v>
      </c>
      <c r="X603" s="38">
        <f t="shared" si="99"/>
        <v>21425.64</v>
      </c>
    </row>
    <row r="604" spans="1:24" ht="30" customHeight="1" x14ac:dyDescent="0.35">
      <c r="A604" s="56" t="s">
        <v>2823</v>
      </c>
      <c r="B604" s="2">
        <v>568</v>
      </c>
      <c r="C604" s="77">
        <v>10093765</v>
      </c>
      <c r="D604" s="74" t="s">
        <v>1659</v>
      </c>
      <c r="E604" s="74" t="s">
        <v>2167</v>
      </c>
      <c r="F604" s="75">
        <v>17</v>
      </c>
      <c r="G604" s="64" t="s">
        <v>0</v>
      </c>
      <c r="H604" s="78">
        <v>41431</v>
      </c>
      <c r="I604" s="4" t="s">
        <v>957</v>
      </c>
      <c r="J604" s="63" t="s">
        <v>1917</v>
      </c>
      <c r="K604" s="63" t="s">
        <v>961</v>
      </c>
      <c r="L604" s="69" t="s">
        <v>950</v>
      </c>
      <c r="M604" s="70">
        <f t="shared" si="94"/>
        <v>35778.620000000003</v>
      </c>
      <c r="N604" s="70">
        <f t="shared" si="95"/>
        <v>2104.62</v>
      </c>
      <c r="O604" s="70">
        <v>35778.620000000003</v>
      </c>
      <c r="P604" s="65">
        <v>36650</v>
      </c>
      <c r="Q604" s="65">
        <f t="shared" si="96"/>
        <v>8063</v>
      </c>
      <c r="R604" s="65">
        <f t="shared" si="97"/>
        <v>44713</v>
      </c>
      <c r="S604" s="272"/>
      <c r="T604" s="64">
        <v>33</v>
      </c>
      <c r="U604" s="270"/>
      <c r="V604" s="38">
        <v>45817</v>
      </c>
      <c r="W604" s="38">
        <f t="shared" si="98"/>
        <v>10079.74</v>
      </c>
      <c r="X604" s="38">
        <f t="shared" si="99"/>
        <v>55896.74</v>
      </c>
    </row>
    <row r="605" spans="1:24" ht="30" customHeight="1" x14ac:dyDescent="0.35">
      <c r="A605" s="56" t="s">
        <v>2824</v>
      </c>
      <c r="B605" s="2">
        <v>569</v>
      </c>
      <c r="C605" s="77">
        <v>10119281</v>
      </c>
      <c r="D605" s="74" t="s">
        <v>1661</v>
      </c>
      <c r="E605" s="74" t="s">
        <v>2167</v>
      </c>
      <c r="F605" s="75">
        <v>1</v>
      </c>
      <c r="G605" s="64" t="s">
        <v>0</v>
      </c>
      <c r="H605" s="78">
        <v>41516</v>
      </c>
      <c r="I605" s="4" t="s">
        <v>957</v>
      </c>
      <c r="J605" s="63" t="s">
        <v>1917</v>
      </c>
      <c r="K605" s="63" t="s">
        <v>961</v>
      </c>
      <c r="L605" s="69" t="s">
        <v>950</v>
      </c>
      <c r="M605" s="70">
        <f t="shared" si="94"/>
        <v>235</v>
      </c>
      <c r="N605" s="70">
        <f t="shared" si="95"/>
        <v>235</v>
      </c>
      <c r="O605" s="70">
        <v>235</v>
      </c>
      <c r="P605" s="65">
        <v>240</v>
      </c>
      <c r="Q605" s="65">
        <f t="shared" si="96"/>
        <v>52.8</v>
      </c>
      <c r="R605" s="65">
        <f t="shared" si="97"/>
        <v>292.8</v>
      </c>
      <c r="S605" s="272"/>
      <c r="T605" s="64">
        <v>33</v>
      </c>
      <c r="U605" s="270"/>
      <c r="V605" s="38">
        <v>301</v>
      </c>
      <c r="W605" s="38">
        <f t="shared" si="98"/>
        <v>66.22</v>
      </c>
      <c r="X605" s="38">
        <f t="shared" si="99"/>
        <v>367.22</v>
      </c>
    </row>
    <row r="606" spans="1:24" ht="30" customHeight="1" x14ac:dyDescent="0.35">
      <c r="A606" s="56" t="s">
        <v>2825</v>
      </c>
      <c r="B606" s="2">
        <v>570</v>
      </c>
      <c r="C606" s="77">
        <v>10098339</v>
      </c>
      <c r="D606" s="74" t="s">
        <v>1676</v>
      </c>
      <c r="E606" s="74" t="s">
        <v>2167</v>
      </c>
      <c r="F606" s="75">
        <v>2</v>
      </c>
      <c r="G606" s="64" t="s">
        <v>0</v>
      </c>
      <c r="H606" s="78">
        <v>39814</v>
      </c>
      <c r="I606" s="4" t="s">
        <v>957</v>
      </c>
      <c r="J606" s="63" t="s">
        <v>1944</v>
      </c>
      <c r="K606" s="63" t="s">
        <v>961</v>
      </c>
      <c r="L606" s="69" t="s">
        <v>950</v>
      </c>
      <c r="M606" s="70">
        <f t="shared" si="94"/>
        <v>11600</v>
      </c>
      <c r="N606" s="70">
        <f t="shared" si="95"/>
        <v>5800</v>
      </c>
      <c r="O606" s="70">
        <v>11600</v>
      </c>
      <c r="P606" s="65">
        <v>13760</v>
      </c>
      <c r="Q606" s="65">
        <f t="shared" si="96"/>
        <v>3027.2</v>
      </c>
      <c r="R606" s="65">
        <f t="shared" si="97"/>
        <v>16787.2</v>
      </c>
      <c r="S606" s="272"/>
      <c r="T606" s="64">
        <v>33</v>
      </c>
      <c r="U606" s="270"/>
      <c r="V606" s="38">
        <v>17206</v>
      </c>
      <c r="W606" s="38">
        <f t="shared" si="98"/>
        <v>3785.32</v>
      </c>
      <c r="X606" s="38">
        <f t="shared" si="99"/>
        <v>20991.32</v>
      </c>
    </row>
    <row r="607" spans="1:24" ht="21.75" customHeight="1" x14ac:dyDescent="0.35">
      <c r="A607" s="56" t="s">
        <v>2826</v>
      </c>
      <c r="B607" s="2">
        <v>571</v>
      </c>
      <c r="C607" s="77">
        <v>10138595</v>
      </c>
      <c r="D607" s="74" t="s">
        <v>1691</v>
      </c>
      <c r="E607" s="74" t="s">
        <v>2167</v>
      </c>
      <c r="F607" s="75">
        <v>6</v>
      </c>
      <c r="G607" s="64" t="s">
        <v>0</v>
      </c>
      <c r="H607" s="78">
        <v>41253</v>
      </c>
      <c r="I607" s="4" t="s">
        <v>957</v>
      </c>
      <c r="J607" s="63" t="s">
        <v>1917</v>
      </c>
      <c r="K607" s="63" t="s">
        <v>961</v>
      </c>
      <c r="L607" s="69" t="s">
        <v>950</v>
      </c>
      <c r="M607" s="70">
        <f t="shared" si="94"/>
        <v>122976</v>
      </c>
      <c r="N607" s="70">
        <f t="shared" si="95"/>
        <v>20496</v>
      </c>
      <c r="O607" s="70">
        <v>122976</v>
      </c>
      <c r="P607" s="65">
        <v>125760</v>
      </c>
      <c r="Q607" s="65">
        <f t="shared" si="96"/>
        <v>27667.200000000001</v>
      </c>
      <c r="R607" s="65">
        <f t="shared" si="97"/>
        <v>153427.20000000001</v>
      </c>
      <c r="S607" s="272"/>
      <c r="T607" s="64">
        <v>33</v>
      </c>
      <c r="U607" s="270"/>
      <c r="V607" s="38">
        <v>157204</v>
      </c>
      <c r="W607" s="38">
        <f t="shared" si="98"/>
        <v>34584.879999999997</v>
      </c>
      <c r="X607" s="38">
        <f t="shared" si="99"/>
        <v>191788.88</v>
      </c>
    </row>
    <row r="608" spans="1:24" ht="30" customHeight="1" x14ac:dyDescent="0.35">
      <c r="A608" s="56" t="s">
        <v>2827</v>
      </c>
      <c r="B608" s="2">
        <v>572</v>
      </c>
      <c r="C608" s="77">
        <v>10019247</v>
      </c>
      <c r="D608" s="74" t="s">
        <v>1692</v>
      </c>
      <c r="E608" s="74" t="s">
        <v>2167</v>
      </c>
      <c r="F608" s="75">
        <v>2</v>
      </c>
      <c r="G608" s="64" t="s">
        <v>0</v>
      </c>
      <c r="H608" s="78">
        <v>41122</v>
      </c>
      <c r="I608" s="4" t="s">
        <v>957</v>
      </c>
      <c r="J608" s="63" t="s">
        <v>1917</v>
      </c>
      <c r="K608" s="63" t="s">
        <v>961</v>
      </c>
      <c r="L608" s="69" t="s">
        <v>950</v>
      </c>
      <c r="M608" s="70">
        <f t="shared" si="94"/>
        <v>3429.96</v>
      </c>
      <c r="N608" s="70">
        <f t="shared" si="95"/>
        <v>1714.98</v>
      </c>
      <c r="O608" s="70">
        <v>3429.96</v>
      </c>
      <c r="P608" s="65">
        <v>3510</v>
      </c>
      <c r="Q608" s="65">
        <f t="shared" si="96"/>
        <v>772.2</v>
      </c>
      <c r="R608" s="65">
        <f t="shared" si="97"/>
        <v>4282.2</v>
      </c>
      <c r="S608" s="272"/>
      <c r="T608" s="64">
        <v>33</v>
      </c>
      <c r="U608" s="270"/>
      <c r="V608" s="38">
        <v>4390</v>
      </c>
      <c r="W608" s="38">
        <f t="shared" si="98"/>
        <v>965.8</v>
      </c>
      <c r="X608" s="38">
        <f t="shared" si="99"/>
        <v>5355.8</v>
      </c>
    </row>
    <row r="609" spans="1:24" ht="30" customHeight="1" x14ac:dyDescent="0.35">
      <c r="A609" s="56" t="s">
        <v>2828</v>
      </c>
      <c r="B609" s="2">
        <v>573</v>
      </c>
      <c r="C609" s="77">
        <v>10136441</v>
      </c>
      <c r="D609" s="74" t="s">
        <v>1693</v>
      </c>
      <c r="E609" s="74" t="s">
        <v>2167</v>
      </c>
      <c r="F609" s="75">
        <v>3</v>
      </c>
      <c r="G609" s="64" t="s">
        <v>0</v>
      </c>
      <c r="H609" s="78">
        <v>40909</v>
      </c>
      <c r="I609" s="4" t="s">
        <v>957</v>
      </c>
      <c r="J609" s="63" t="s">
        <v>1927</v>
      </c>
      <c r="K609" s="63" t="s">
        <v>961</v>
      </c>
      <c r="L609" s="69" t="s">
        <v>950</v>
      </c>
      <c r="M609" s="70">
        <f t="shared" si="94"/>
        <v>7207.62</v>
      </c>
      <c r="N609" s="70">
        <f t="shared" si="95"/>
        <v>2402.54</v>
      </c>
      <c r="O609" s="70">
        <v>7207.62</v>
      </c>
      <c r="P609" s="65">
        <v>7410</v>
      </c>
      <c r="Q609" s="65">
        <f t="shared" si="96"/>
        <v>1630.2</v>
      </c>
      <c r="R609" s="65">
        <f t="shared" si="97"/>
        <v>9040.2000000000007</v>
      </c>
      <c r="S609" s="272"/>
      <c r="T609" s="64">
        <v>33</v>
      </c>
      <c r="U609" s="270"/>
      <c r="V609" s="38">
        <v>9257</v>
      </c>
      <c r="W609" s="38">
        <f t="shared" si="98"/>
        <v>2036.54</v>
      </c>
      <c r="X609" s="38">
        <f t="shared" si="99"/>
        <v>11293.54</v>
      </c>
    </row>
    <row r="610" spans="1:24" ht="30" customHeight="1" x14ac:dyDescent="0.35">
      <c r="A610" s="56" t="s">
        <v>2829</v>
      </c>
      <c r="B610" s="2">
        <v>574</v>
      </c>
      <c r="C610" s="77">
        <v>102001444</v>
      </c>
      <c r="D610" s="74" t="s">
        <v>1694</v>
      </c>
      <c r="E610" s="74" t="s">
        <v>2167</v>
      </c>
      <c r="F610" s="75">
        <v>2</v>
      </c>
      <c r="G610" s="64" t="s">
        <v>0</v>
      </c>
      <c r="H610" s="64">
        <v>2015</v>
      </c>
      <c r="I610" s="4" t="s">
        <v>957</v>
      </c>
      <c r="J610" s="63" t="s">
        <v>1917</v>
      </c>
      <c r="K610" s="63" t="s">
        <v>961</v>
      </c>
      <c r="L610" s="69" t="s">
        <v>950</v>
      </c>
      <c r="M610" s="70">
        <f t="shared" si="94"/>
        <v>193195.18</v>
      </c>
      <c r="N610" s="70">
        <f t="shared" si="95"/>
        <v>96597.59</v>
      </c>
      <c r="O610" s="70">
        <v>193195.18</v>
      </c>
      <c r="P610" s="65">
        <v>180930</v>
      </c>
      <c r="Q610" s="65">
        <f t="shared" si="96"/>
        <v>39804.6</v>
      </c>
      <c r="R610" s="65">
        <f t="shared" si="97"/>
        <v>220734.6</v>
      </c>
      <c r="S610" s="272"/>
      <c r="T610" s="64">
        <v>33</v>
      </c>
      <c r="U610" s="270"/>
      <c r="V610" s="38">
        <v>226158</v>
      </c>
      <c r="W610" s="38">
        <f t="shared" si="98"/>
        <v>49754.76</v>
      </c>
      <c r="X610" s="38">
        <f t="shared" si="99"/>
        <v>275912.76</v>
      </c>
    </row>
    <row r="611" spans="1:24" ht="30" customHeight="1" x14ac:dyDescent="0.35">
      <c r="A611" s="56" t="s">
        <v>2830</v>
      </c>
      <c r="B611" s="2">
        <v>575</v>
      </c>
      <c r="C611" s="77">
        <v>10111215</v>
      </c>
      <c r="D611" s="74" t="s">
        <v>1695</v>
      </c>
      <c r="E611" s="74" t="s">
        <v>2167</v>
      </c>
      <c r="F611" s="75">
        <v>2</v>
      </c>
      <c r="G611" s="64" t="s">
        <v>0</v>
      </c>
      <c r="H611" s="78">
        <v>39814</v>
      </c>
      <c r="I611" s="4" t="s">
        <v>957</v>
      </c>
      <c r="J611" s="63" t="s">
        <v>2203</v>
      </c>
      <c r="K611" s="63" t="s">
        <v>961</v>
      </c>
      <c r="L611" s="69" t="s">
        <v>950</v>
      </c>
      <c r="M611" s="70">
        <f t="shared" si="94"/>
        <v>3665.62</v>
      </c>
      <c r="N611" s="70">
        <f t="shared" si="95"/>
        <v>1832.81</v>
      </c>
      <c r="O611" s="70">
        <v>3665.62</v>
      </c>
      <c r="P611" s="65">
        <v>4350</v>
      </c>
      <c r="Q611" s="65">
        <f t="shared" si="96"/>
        <v>957</v>
      </c>
      <c r="R611" s="65">
        <f t="shared" si="97"/>
        <v>5307</v>
      </c>
      <c r="S611" s="272"/>
      <c r="T611" s="64">
        <v>33</v>
      </c>
      <c r="U611" s="270"/>
      <c r="V611" s="38">
        <v>5437</v>
      </c>
      <c r="W611" s="38">
        <f t="shared" si="98"/>
        <v>1196.1400000000001</v>
      </c>
      <c r="X611" s="38">
        <f t="shared" si="99"/>
        <v>6633.14</v>
      </c>
    </row>
    <row r="612" spans="1:24" ht="30" customHeight="1" x14ac:dyDescent="0.35">
      <c r="A612" s="56" t="s">
        <v>2831</v>
      </c>
      <c r="B612" s="2">
        <v>576</v>
      </c>
      <c r="C612" s="77">
        <v>10009961</v>
      </c>
      <c r="D612" s="74" t="s">
        <v>1696</v>
      </c>
      <c r="E612" s="74" t="s">
        <v>2167</v>
      </c>
      <c r="F612" s="75">
        <v>1</v>
      </c>
      <c r="G612" s="64" t="s">
        <v>0</v>
      </c>
      <c r="H612" s="78">
        <v>41092</v>
      </c>
      <c r="I612" s="4" t="s">
        <v>957</v>
      </c>
      <c r="J612" s="63" t="s">
        <v>1917</v>
      </c>
      <c r="K612" s="63" t="s">
        <v>961</v>
      </c>
      <c r="L612" s="69" t="s">
        <v>950</v>
      </c>
      <c r="M612" s="70">
        <f t="shared" si="94"/>
        <v>1641.74</v>
      </c>
      <c r="N612" s="70">
        <f t="shared" si="95"/>
        <v>1641.74</v>
      </c>
      <c r="O612" s="70">
        <v>1641.74</v>
      </c>
      <c r="P612" s="65">
        <v>1680</v>
      </c>
      <c r="Q612" s="65">
        <f t="shared" si="96"/>
        <v>369.6</v>
      </c>
      <c r="R612" s="65">
        <f t="shared" si="97"/>
        <v>2049.6</v>
      </c>
      <c r="S612" s="272"/>
      <c r="T612" s="64">
        <v>33</v>
      </c>
      <c r="U612" s="270"/>
      <c r="V612" s="38">
        <v>2097</v>
      </c>
      <c r="W612" s="38">
        <f t="shared" si="98"/>
        <v>461.34</v>
      </c>
      <c r="X612" s="38">
        <f t="shared" si="99"/>
        <v>2558.34</v>
      </c>
    </row>
    <row r="613" spans="1:24" ht="30" customHeight="1" x14ac:dyDescent="0.35">
      <c r="A613" s="56" t="s">
        <v>2832</v>
      </c>
      <c r="B613" s="2">
        <v>577</v>
      </c>
      <c r="C613" s="77">
        <v>10119289</v>
      </c>
      <c r="D613" s="74" t="s">
        <v>1697</v>
      </c>
      <c r="E613" s="74" t="s">
        <v>2167</v>
      </c>
      <c r="F613" s="75">
        <v>5</v>
      </c>
      <c r="G613" s="64" t="s">
        <v>0</v>
      </c>
      <c r="H613" s="78">
        <v>41320</v>
      </c>
      <c r="I613" s="4" t="s">
        <v>957</v>
      </c>
      <c r="J613" s="63" t="s">
        <v>1917</v>
      </c>
      <c r="K613" s="63" t="s">
        <v>961</v>
      </c>
      <c r="L613" s="69" t="s">
        <v>950</v>
      </c>
      <c r="M613" s="70">
        <f t="shared" si="94"/>
        <v>33516.949999999997</v>
      </c>
      <c r="N613" s="70">
        <f t="shared" si="95"/>
        <v>6703.39</v>
      </c>
      <c r="O613" s="70">
        <v>33516.949999999997</v>
      </c>
      <c r="P613" s="65">
        <v>34480</v>
      </c>
      <c r="Q613" s="65">
        <f t="shared" si="96"/>
        <v>7585.6</v>
      </c>
      <c r="R613" s="65">
        <f t="shared" si="97"/>
        <v>42065.599999999999</v>
      </c>
      <c r="S613" s="272"/>
      <c r="T613" s="64">
        <v>33</v>
      </c>
      <c r="U613" s="270"/>
      <c r="V613" s="38">
        <v>43097</v>
      </c>
      <c r="W613" s="38">
        <f t="shared" si="98"/>
        <v>9481.34</v>
      </c>
      <c r="X613" s="38">
        <f t="shared" si="99"/>
        <v>52578.34</v>
      </c>
    </row>
    <row r="614" spans="1:24" ht="30" customHeight="1" x14ac:dyDescent="0.35">
      <c r="A614" s="56" t="s">
        <v>2833</v>
      </c>
      <c r="B614" s="2">
        <v>578</v>
      </c>
      <c r="C614" s="77">
        <v>10051083</v>
      </c>
      <c r="D614" s="74" t="s">
        <v>1698</v>
      </c>
      <c r="E614" s="74" t="s">
        <v>2167</v>
      </c>
      <c r="F614" s="75">
        <v>1</v>
      </c>
      <c r="G614" s="64" t="s">
        <v>0</v>
      </c>
      <c r="H614" s="78">
        <v>41375</v>
      </c>
      <c r="I614" s="4" t="s">
        <v>957</v>
      </c>
      <c r="J614" s="63" t="s">
        <v>1917</v>
      </c>
      <c r="K614" s="63" t="s">
        <v>961</v>
      </c>
      <c r="L614" s="69" t="s">
        <v>950</v>
      </c>
      <c r="M614" s="70">
        <f t="shared" si="94"/>
        <v>861.18</v>
      </c>
      <c r="N614" s="70">
        <f t="shared" si="95"/>
        <v>861.18</v>
      </c>
      <c r="O614" s="70">
        <v>861.18</v>
      </c>
      <c r="P614" s="65">
        <v>880</v>
      </c>
      <c r="Q614" s="65">
        <f t="shared" si="96"/>
        <v>193.6</v>
      </c>
      <c r="R614" s="65">
        <f t="shared" si="97"/>
        <v>1073.5999999999999</v>
      </c>
      <c r="S614" s="272"/>
      <c r="T614" s="64">
        <v>33</v>
      </c>
      <c r="U614" s="270"/>
      <c r="V614" s="38">
        <v>1105</v>
      </c>
      <c r="W614" s="38">
        <f t="shared" si="98"/>
        <v>243.1</v>
      </c>
      <c r="X614" s="38">
        <f t="shared" si="99"/>
        <v>1348.1</v>
      </c>
    </row>
    <row r="615" spans="1:24" ht="30" customHeight="1" x14ac:dyDescent="0.35">
      <c r="A615" s="56" t="s">
        <v>2834</v>
      </c>
      <c r="B615" s="2">
        <v>579</v>
      </c>
      <c r="C615" s="77">
        <v>10011915</v>
      </c>
      <c r="D615" s="74" t="s">
        <v>1699</v>
      </c>
      <c r="E615" s="74" t="s">
        <v>1978</v>
      </c>
      <c r="F615" s="75">
        <v>1</v>
      </c>
      <c r="G615" s="64" t="s">
        <v>0</v>
      </c>
      <c r="H615" s="78">
        <v>40179</v>
      </c>
      <c r="I615" s="4" t="s">
        <v>957</v>
      </c>
      <c r="J615" s="63" t="s">
        <v>1942</v>
      </c>
      <c r="K615" s="63" t="s">
        <v>961</v>
      </c>
      <c r="L615" s="69" t="s">
        <v>950</v>
      </c>
      <c r="M615" s="70">
        <f t="shared" si="94"/>
        <v>397.96</v>
      </c>
      <c r="N615" s="70">
        <f t="shared" si="95"/>
        <v>397.96</v>
      </c>
      <c r="O615" s="70">
        <v>397.96</v>
      </c>
      <c r="P615" s="65">
        <v>470</v>
      </c>
      <c r="Q615" s="65">
        <f t="shared" si="96"/>
        <v>103.4</v>
      </c>
      <c r="R615" s="65">
        <f t="shared" si="97"/>
        <v>573.4</v>
      </c>
      <c r="S615" s="272"/>
      <c r="T615" s="64">
        <v>33</v>
      </c>
      <c r="U615" s="270"/>
      <c r="V615" s="38">
        <v>590</v>
      </c>
      <c r="W615" s="38">
        <f t="shared" si="98"/>
        <v>129.80000000000001</v>
      </c>
      <c r="X615" s="38">
        <f t="shared" si="99"/>
        <v>719.8</v>
      </c>
    </row>
    <row r="616" spans="1:24" ht="30" customHeight="1" x14ac:dyDescent="0.35">
      <c r="A616" s="56" t="s">
        <v>2835</v>
      </c>
      <c r="B616" s="2">
        <v>580</v>
      </c>
      <c r="C616" s="77">
        <v>10102498</v>
      </c>
      <c r="D616" s="74" t="s">
        <v>1700</v>
      </c>
      <c r="E616" s="74" t="s">
        <v>1978</v>
      </c>
      <c r="F616" s="75">
        <f>6-5</f>
        <v>1</v>
      </c>
      <c r="G616" s="64" t="s">
        <v>0</v>
      </c>
      <c r="H616" s="78">
        <v>41275</v>
      </c>
      <c r="I616" s="4" t="s">
        <v>957</v>
      </c>
      <c r="J616" s="63" t="s">
        <v>1943</v>
      </c>
      <c r="K616" s="63" t="s">
        <v>961</v>
      </c>
      <c r="L616" s="69" t="s">
        <v>950</v>
      </c>
      <c r="M616" s="70">
        <f t="shared" si="94"/>
        <v>502</v>
      </c>
      <c r="N616" s="70">
        <f t="shared" si="95"/>
        <v>502</v>
      </c>
      <c r="O616" s="70">
        <f>3012/6*1</f>
        <v>502</v>
      </c>
      <c r="P616" s="65">
        <v>520</v>
      </c>
      <c r="Q616" s="65">
        <f t="shared" si="96"/>
        <v>114.4</v>
      </c>
      <c r="R616" s="65">
        <f t="shared" si="97"/>
        <v>634.4</v>
      </c>
      <c r="S616" s="272"/>
      <c r="T616" s="64">
        <v>33</v>
      </c>
      <c r="U616" s="270"/>
      <c r="V616" s="38">
        <v>647</v>
      </c>
      <c r="W616" s="38">
        <f t="shared" si="98"/>
        <v>142.34</v>
      </c>
      <c r="X616" s="38">
        <f t="shared" si="99"/>
        <v>789.34</v>
      </c>
    </row>
    <row r="617" spans="1:24" ht="66" customHeight="1" x14ac:dyDescent="0.35">
      <c r="A617" s="56" t="s">
        <v>3993</v>
      </c>
      <c r="B617" s="2">
        <v>581</v>
      </c>
      <c r="C617" s="77">
        <v>10102498</v>
      </c>
      <c r="D617" s="74" t="s">
        <v>1700</v>
      </c>
      <c r="E617" s="74" t="s">
        <v>2167</v>
      </c>
      <c r="F617" s="75">
        <v>5</v>
      </c>
      <c r="G617" s="64" t="s">
        <v>0</v>
      </c>
      <c r="H617" s="78">
        <v>41275</v>
      </c>
      <c r="I617" s="4" t="s">
        <v>957</v>
      </c>
      <c r="J617" s="63" t="s">
        <v>1917</v>
      </c>
      <c r="K617" s="63" t="s">
        <v>4171</v>
      </c>
      <c r="L617" s="69" t="s">
        <v>845</v>
      </c>
      <c r="M617" s="70">
        <f t="shared" si="94"/>
        <v>2510</v>
      </c>
      <c r="N617" s="70">
        <f t="shared" si="95"/>
        <v>502</v>
      </c>
      <c r="O617" s="70">
        <v>2510</v>
      </c>
      <c r="P617" s="65">
        <v>1520</v>
      </c>
      <c r="Q617" s="65">
        <f t="shared" si="96"/>
        <v>334.4</v>
      </c>
      <c r="R617" s="65">
        <f t="shared" si="97"/>
        <v>1854.4</v>
      </c>
      <c r="S617" s="272"/>
      <c r="T617" s="64">
        <v>33</v>
      </c>
      <c r="U617" s="270"/>
      <c r="V617" s="38">
        <v>1903</v>
      </c>
      <c r="W617" s="38">
        <f t="shared" si="98"/>
        <v>418.66</v>
      </c>
      <c r="X617" s="38">
        <f t="shared" si="99"/>
        <v>2321.66</v>
      </c>
    </row>
    <row r="618" spans="1:24" ht="30" customHeight="1" x14ac:dyDescent="0.35">
      <c r="A618" s="56" t="s">
        <v>2836</v>
      </c>
      <c r="B618" s="2">
        <v>582</v>
      </c>
      <c r="C618" s="77">
        <v>10102004</v>
      </c>
      <c r="D618" s="74" t="s">
        <v>1702</v>
      </c>
      <c r="E618" s="74" t="s">
        <v>2167</v>
      </c>
      <c r="F618" s="75">
        <v>2</v>
      </c>
      <c r="G618" s="64" t="s">
        <v>0</v>
      </c>
      <c r="H618" s="78">
        <v>37987</v>
      </c>
      <c r="I618" s="4" t="s">
        <v>957</v>
      </c>
      <c r="J618" s="63" t="s">
        <v>1940</v>
      </c>
      <c r="K618" s="63" t="s">
        <v>961</v>
      </c>
      <c r="L618" s="69" t="s">
        <v>950</v>
      </c>
      <c r="M618" s="70">
        <f t="shared" si="94"/>
        <v>1432.58</v>
      </c>
      <c r="N618" s="70">
        <f t="shared" si="95"/>
        <v>716.29</v>
      </c>
      <c r="O618" s="70">
        <v>1432.58</v>
      </c>
      <c r="P618" s="65">
        <v>2560</v>
      </c>
      <c r="Q618" s="65">
        <f t="shared" si="96"/>
        <v>563.20000000000005</v>
      </c>
      <c r="R618" s="65">
        <f t="shared" si="97"/>
        <v>3123.2</v>
      </c>
      <c r="S618" s="272"/>
      <c r="T618" s="64">
        <v>33</v>
      </c>
      <c r="U618" s="270"/>
      <c r="V618" s="38">
        <v>3200</v>
      </c>
      <c r="W618" s="38">
        <f t="shared" si="98"/>
        <v>704</v>
      </c>
      <c r="X618" s="38">
        <f t="shared" si="99"/>
        <v>3904</v>
      </c>
    </row>
    <row r="619" spans="1:24" ht="30" customHeight="1" x14ac:dyDescent="0.35">
      <c r="A619" s="56" t="s">
        <v>2837</v>
      </c>
      <c r="B619" s="2">
        <v>583</v>
      </c>
      <c r="C619" s="77">
        <v>10093231</v>
      </c>
      <c r="D619" s="74" t="s">
        <v>1703</v>
      </c>
      <c r="E619" s="74" t="s">
        <v>2167</v>
      </c>
      <c r="F619" s="75">
        <v>5</v>
      </c>
      <c r="G619" s="64" t="s">
        <v>0</v>
      </c>
      <c r="H619" s="78">
        <v>40909</v>
      </c>
      <c r="I619" s="4" t="s">
        <v>957</v>
      </c>
      <c r="J619" s="63" t="s">
        <v>1940</v>
      </c>
      <c r="K619" s="63" t="s">
        <v>961</v>
      </c>
      <c r="L619" s="69" t="s">
        <v>950</v>
      </c>
      <c r="M619" s="70">
        <f t="shared" si="94"/>
        <v>3895.5</v>
      </c>
      <c r="N619" s="70">
        <f t="shared" si="95"/>
        <v>779.1</v>
      </c>
      <c r="O619" s="70">
        <v>3895.5</v>
      </c>
      <c r="P619" s="65">
        <v>4000</v>
      </c>
      <c r="Q619" s="65">
        <f t="shared" si="96"/>
        <v>880</v>
      </c>
      <c r="R619" s="65">
        <f t="shared" si="97"/>
        <v>4880</v>
      </c>
      <c r="S619" s="272"/>
      <c r="T619" s="64">
        <v>33</v>
      </c>
      <c r="U619" s="270"/>
      <c r="V619" s="38">
        <v>5003</v>
      </c>
      <c r="W619" s="38">
        <f t="shared" si="98"/>
        <v>1100.6600000000001</v>
      </c>
      <c r="X619" s="38">
        <f t="shared" si="99"/>
        <v>6103.66</v>
      </c>
    </row>
    <row r="620" spans="1:24" ht="30" customHeight="1" x14ac:dyDescent="0.35">
      <c r="A620" s="56" t="s">
        <v>2838</v>
      </c>
      <c r="B620" s="2">
        <v>584</v>
      </c>
      <c r="C620" s="77">
        <v>10119292</v>
      </c>
      <c r="D620" s="74" t="s">
        <v>1704</v>
      </c>
      <c r="E620" s="74" t="s">
        <v>2167</v>
      </c>
      <c r="F620" s="75">
        <v>2</v>
      </c>
      <c r="G620" s="64" t="s">
        <v>0</v>
      </c>
      <c r="H620" s="78">
        <v>41533</v>
      </c>
      <c r="I620" s="4" t="s">
        <v>957</v>
      </c>
      <c r="J620" s="63" t="s">
        <v>1917</v>
      </c>
      <c r="K620" s="63" t="s">
        <v>961</v>
      </c>
      <c r="L620" s="69" t="s">
        <v>950</v>
      </c>
      <c r="M620" s="70">
        <f t="shared" si="94"/>
        <v>612</v>
      </c>
      <c r="N620" s="70">
        <f t="shared" si="95"/>
        <v>306</v>
      </c>
      <c r="O620" s="70">
        <v>612</v>
      </c>
      <c r="P620" s="65">
        <v>630</v>
      </c>
      <c r="Q620" s="65">
        <f t="shared" si="96"/>
        <v>138.6</v>
      </c>
      <c r="R620" s="65">
        <f t="shared" si="97"/>
        <v>768.6</v>
      </c>
      <c r="S620" s="272"/>
      <c r="T620" s="64">
        <v>33</v>
      </c>
      <c r="U620" s="270"/>
      <c r="V620" s="38">
        <v>786</v>
      </c>
      <c r="W620" s="38">
        <f t="shared" si="98"/>
        <v>172.92</v>
      </c>
      <c r="X620" s="38">
        <f t="shared" si="99"/>
        <v>958.92</v>
      </c>
    </row>
    <row r="621" spans="1:24" ht="30" customHeight="1" x14ac:dyDescent="0.35">
      <c r="A621" s="56" t="s">
        <v>2839</v>
      </c>
      <c r="B621" s="2">
        <v>585</v>
      </c>
      <c r="C621" s="77">
        <v>10113986</v>
      </c>
      <c r="D621" s="74" t="s">
        <v>1714</v>
      </c>
      <c r="E621" s="74" t="s">
        <v>2167</v>
      </c>
      <c r="F621" s="75">
        <v>8</v>
      </c>
      <c r="G621" s="64" t="s">
        <v>0</v>
      </c>
      <c r="H621" s="78">
        <v>40179</v>
      </c>
      <c r="I621" s="4" t="s">
        <v>957</v>
      </c>
      <c r="J621" s="63" t="s">
        <v>1939</v>
      </c>
      <c r="K621" s="63" t="s">
        <v>961</v>
      </c>
      <c r="L621" s="69" t="s">
        <v>950</v>
      </c>
      <c r="M621" s="70">
        <f t="shared" si="94"/>
        <v>11280</v>
      </c>
      <c r="N621" s="70">
        <f t="shared" si="95"/>
        <v>1410</v>
      </c>
      <c r="O621" s="70">
        <v>11280</v>
      </c>
      <c r="P621" s="65">
        <v>13380</v>
      </c>
      <c r="Q621" s="65">
        <f t="shared" si="96"/>
        <v>2943.6</v>
      </c>
      <c r="R621" s="65">
        <f t="shared" si="97"/>
        <v>16323.6</v>
      </c>
      <c r="S621" s="272"/>
      <c r="T621" s="64">
        <v>33</v>
      </c>
      <c r="U621" s="270"/>
      <c r="V621" s="38">
        <v>16723</v>
      </c>
      <c r="W621" s="38">
        <f t="shared" si="98"/>
        <v>3679.06</v>
      </c>
      <c r="X621" s="38">
        <f t="shared" si="99"/>
        <v>20402.060000000001</v>
      </c>
    </row>
    <row r="622" spans="1:24" ht="30" customHeight="1" x14ac:dyDescent="0.35">
      <c r="A622" s="56" t="s">
        <v>2840</v>
      </c>
      <c r="B622" s="2">
        <v>586</v>
      </c>
      <c r="C622" s="77">
        <v>10151755</v>
      </c>
      <c r="D622" s="74" t="s">
        <v>1721</v>
      </c>
      <c r="E622" s="74" t="s">
        <v>1978</v>
      </c>
      <c r="F622" s="75">
        <v>2</v>
      </c>
      <c r="G622" s="64" t="s">
        <v>0</v>
      </c>
      <c r="H622" s="78">
        <v>41486</v>
      </c>
      <c r="I622" s="4" t="s">
        <v>957</v>
      </c>
      <c r="J622" s="63" t="s">
        <v>1917</v>
      </c>
      <c r="K622" s="63" t="s">
        <v>961</v>
      </c>
      <c r="L622" s="69" t="s">
        <v>950</v>
      </c>
      <c r="M622" s="70">
        <f t="shared" si="94"/>
        <v>4606</v>
      </c>
      <c r="N622" s="70">
        <f t="shared" si="95"/>
        <v>2303</v>
      </c>
      <c r="O622" s="70">
        <v>4606</v>
      </c>
      <c r="P622" s="65">
        <v>4720</v>
      </c>
      <c r="Q622" s="65">
        <f t="shared" si="96"/>
        <v>1038.4000000000001</v>
      </c>
      <c r="R622" s="65">
        <f t="shared" si="97"/>
        <v>5758.4</v>
      </c>
      <c r="S622" s="272"/>
      <c r="T622" s="64">
        <v>33</v>
      </c>
      <c r="U622" s="270"/>
      <c r="V622" s="38">
        <v>5902</v>
      </c>
      <c r="W622" s="38">
        <f t="shared" si="98"/>
        <v>1298.44</v>
      </c>
      <c r="X622" s="38">
        <f t="shared" si="99"/>
        <v>7200.44</v>
      </c>
    </row>
    <row r="623" spans="1:24" ht="30" customHeight="1" x14ac:dyDescent="0.35">
      <c r="A623" s="56" t="s">
        <v>2841</v>
      </c>
      <c r="B623" s="2">
        <v>587</v>
      </c>
      <c r="C623" s="77">
        <v>10119310</v>
      </c>
      <c r="D623" s="74" t="s">
        <v>1722</v>
      </c>
      <c r="E623" s="74" t="s">
        <v>1978</v>
      </c>
      <c r="F623" s="75">
        <v>1</v>
      </c>
      <c r="G623" s="64" t="s">
        <v>0</v>
      </c>
      <c r="H623" s="78">
        <v>41320</v>
      </c>
      <c r="I623" s="4" t="s">
        <v>957</v>
      </c>
      <c r="J623" s="63" t="s">
        <v>1917</v>
      </c>
      <c r="K623" s="63" t="s">
        <v>961</v>
      </c>
      <c r="L623" s="69" t="s">
        <v>950</v>
      </c>
      <c r="M623" s="70">
        <f t="shared" si="94"/>
        <v>3005</v>
      </c>
      <c r="N623" s="70">
        <f t="shared" si="95"/>
        <v>3005</v>
      </c>
      <c r="O623" s="70">
        <v>3005</v>
      </c>
      <c r="P623" s="65">
        <v>3090</v>
      </c>
      <c r="Q623" s="65">
        <f t="shared" si="96"/>
        <v>679.8</v>
      </c>
      <c r="R623" s="65">
        <f t="shared" si="97"/>
        <v>3769.8</v>
      </c>
      <c r="S623" s="272"/>
      <c r="T623" s="64">
        <v>33</v>
      </c>
      <c r="U623" s="270"/>
      <c r="V623" s="38">
        <v>3864</v>
      </c>
      <c r="W623" s="38">
        <f t="shared" si="98"/>
        <v>850.08</v>
      </c>
      <c r="X623" s="38">
        <f t="shared" si="99"/>
        <v>4714.08</v>
      </c>
    </row>
    <row r="624" spans="1:24" ht="30" customHeight="1" x14ac:dyDescent="0.35">
      <c r="A624" s="56" t="s">
        <v>2842</v>
      </c>
      <c r="B624" s="2">
        <v>588</v>
      </c>
      <c r="C624" s="77">
        <v>10124548</v>
      </c>
      <c r="D624" s="74" t="s">
        <v>1724</v>
      </c>
      <c r="E624" s="74" t="s">
        <v>2167</v>
      </c>
      <c r="F624" s="75">
        <v>100</v>
      </c>
      <c r="G624" s="64" t="s">
        <v>0</v>
      </c>
      <c r="H624" s="78">
        <v>40179</v>
      </c>
      <c r="I624" s="4" t="s">
        <v>957</v>
      </c>
      <c r="J624" s="63" t="s">
        <v>1938</v>
      </c>
      <c r="K624" s="63" t="s">
        <v>961</v>
      </c>
      <c r="L624" s="69" t="s">
        <v>950</v>
      </c>
      <c r="M624" s="70">
        <f t="shared" si="94"/>
        <v>1653750</v>
      </c>
      <c r="N624" s="70">
        <f t="shared" si="95"/>
        <v>16537.5</v>
      </c>
      <c r="O624" s="70">
        <v>1653750</v>
      </c>
      <c r="P624" s="65">
        <v>1961400</v>
      </c>
      <c r="Q624" s="65">
        <f t="shared" si="96"/>
        <v>431508</v>
      </c>
      <c r="R624" s="65">
        <f t="shared" si="97"/>
        <v>2392908</v>
      </c>
      <c r="S624" s="272"/>
      <c r="T624" s="64">
        <v>33</v>
      </c>
      <c r="U624" s="270"/>
      <c r="V624" s="38">
        <v>2451744</v>
      </c>
      <c r="W624" s="38">
        <f t="shared" si="98"/>
        <v>539383.68000000005</v>
      </c>
      <c r="X624" s="38">
        <f t="shared" si="99"/>
        <v>2991127.68</v>
      </c>
    </row>
    <row r="625" spans="1:24" ht="30" customHeight="1" x14ac:dyDescent="0.35">
      <c r="A625" s="56" t="s">
        <v>2843</v>
      </c>
      <c r="B625" s="2">
        <v>589</v>
      </c>
      <c r="C625" s="77">
        <v>10107595</v>
      </c>
      <c r="D625" s="74" t="s">
        <v>1730</v>
      </c>
      <c r="E625" s="74" t="s">
        <v>2167</v>
      </c>
      <c r="F625" s="75">
        <v>11</v>
      </c>
      <c r="G625" s="64" t="s">
        <v>0</v>
      </c>
      <c r="H625" s="78">
        <v>41542</v>
      </c>
      <c r="I625" s="4" t="s">
        <v>957</v>
      </c>
      <c r="J625" s="63" t="s">
        <v>1917</v>
      </c>
      <c r="K625" s="63" t="s">
        <v>961</v>
      </c>
      <c r="L625" s="69" t="s">
        <v>950</v>
      </c>
      <c r="M625" s="70">
        <f t="shared" si="94"/>
        <v>1072.17</v>
      </c>
      <c r="N625" s="70">
        <f t="shared" si="95"/>
        <v>97.47</v>
      </c>
      <c r="O625" s="70">
        <v>1072.17</v>
      </c>
      <c r="P625" s="65">
        <v>1100</v>
      </c>
      <c r="Q625" s="65">
        <f t="shared" si="96"/>
        <v>242</v>
      </c>
      <c r="R625" s="65">
        <f t="shared" si="97"/>
        <v>1342</v>
      </c>
      <c r="S625" s="272"/>
      <c r="T625" s="64">
        <v>33</v>
      </c>
      <c r="U625" s="270"/>
      <c r="V625" s="38">
        <v>1377</v>
      </c>
      <c r="W625" s="38">
        <f t="shared" si="98"/>
        <v>302.94</v>
      </c>
      <c r="X625" s="38">
        <f t="shared" si="99"/>
        <v>1679.94</v>
      </c>
    </row>
    <row r="626" spans="1:24" ht="30" customHeight="1" x14ac:dyDescent="0.35">
      <c r="A626" s="56" t="s">
        <v>2844</v>
      </c>
      <c r="B626" s="2">
        <v>590</v>
      </c>
      <c r="C626" s="77">
        <v>10030981</v>
      </c>
      <c r="D626" s="74" t="s">
        <v>1736</v>
      </c>
      <c r="E626" s="74" t="s">
        <v>2167</v>
      </c>
      <c r="F626" s="75">
        <v>3</v>
      </c>
      <c r="G626" s="64" t="s">
        <v>0</v>
      </c>
      <c r="H626" s="78">
        <v>42360</v>
      </c>
      <c r="I626" s="4" t="s">
        <v>957</v>
      </c>
      <c r="J626" s="63" t="s">
        <v>1917</v>
      </c>
      <c r="K626" s="63" t="s">
        <v>961</v>
      </c>
      <c r="L626" s="69" t="s">
        <v>950</v>
      </c>
      <c r="M626" s="70">
        <f t="shared" si="94"/>
        <v>3886.68</v>
      </c>
      <c r="N626" s="70">
        <f t="shared" si="95"/>
        <v>1295.56</v>
      </c>
      <c r="O626" s="70">
        <v>3886.68</v>
      </c>
      <c r="P626" s="65">
        <v>3620</v>
      </c>
      <c r="Q626" s="65">
        <f t="shared" si="96"/>
        <v>796.4</v>
      </c>
      <c r="R626" s="65">
        <f t="shared" si="97"/>
        <v>4416.3999999999996</v>
      </c>
      <c r="S626" s="272"/>
      <c r="T626" s="64">
        <v>33</v>
      </c>
      <c r="U626" s="270"/>
      <c r="V626" s="38">
        <v>4521</v>
      </c>
      <c r="W626" s="38">
        <f t="shared" si="98"/>
        <v>994.62</v>
      </c>
      <c r="X626" s="38">
        <f t="shared" si="99"/>
        <v>5515.62</v>
      </c>
    </row>
    <row r="627" spans="1:24" ht="30" customHeight="1" x14ac:dyDescent="0.35">
      <c r="A627" s="56" t="s">
        <v>2845</v>
      </c>
      <c r="B627" s="2">
        <v>591</v>
      </c>
      <c r="C627" s="77">
        <v>102000953</v>
      </c>
      <c r="D627" s="74" t="s">
        <v>1829</v>
      </c>
      <c r="E627" s="74" t="s">
        <v>2167</v>
      </c>
      <c r="F627" s="75">
        <v>1</v>
      </c>
      <c r="G627" s="64" t="s">
        <v>0</v>
      </c>
      <c r="H627" s="78">
        <v>42004</v>
      </c>
      <c r="I627" s="4" t="s">
        <v>957</v>
      </c>
      <c r="J627" s="63" t="s">
        <v>1917</v>
      </c>
      <c r="K627" s="63" t="s">
        <v>961</v>
      </c>
      <c r="L627" s="69" t="s">
        <v>950</v>
      </c>
      <c r="M627" s="70">
        <f t="shared" si="94"/>
        <v>21527.63</v>
      </c>
      <c r="N627" s="70">
        <f t="shared" si="95"/>
        <v>21527.63</v>
      </c>
      <c r="O627" s="70">
        <v>21527.63</v>
      </c>
      <c r="P627" s="65">
        <v>21450</v>
      </c>
      <c r="Q627" s="65">
        <f t="shared" si="96"/>
        <v>4719</v>
      </c>
      <c r="R627" s="65">
        <f t="shared" si="97"/>
        <v>26169</v>
      </c>
      <c r="S627" s="272"/>
      <c r="T627" s="64">
        <v>33</v>
      </c>
      <c r="U627" s="270"/>
      <c r="V627" s="38">
        <v>26811</v>
      </c>
      <c r="W627" s="38">
        <f t="shared" si="98"/>
        <v>5898.42</v>
      </c>
      <c r="X627" s="38">
        <f t="shared" si="99"/>
        <v>32709.42</v>
      </c>
    </row>
    <row r="628" spans="1:24" ht="30" customHeight="1" x14ac:dyDescent="0.35">
      <c r="A628" s="56" t="s">
        <v>2846</v>
      </c>
      <c r="B628" s="2">
        <v>592</v>
      </c>
      <c r="C628" s="77">
        <v>102001291</v>
      </c>
      <c r="D628" s="74" t="s">
        <v>1829</v>
      </c>
      <c r="E628" s="74" t="s">
        <v>2167</v>
      </c>
      <c r="F628" s="75">
        <v>1</v>
      </c>
      <c r="G628" s="64" t="s">
        <v>0</v>
      </c>
      <c r="H628" s="78">
        <v>42004</v>
      </c>
      <c r="I628" s="4" t="s">
        <v>957</v>
      </c>
      <c r="J628" s="63" t="s">
        <v>1917</v>
      </c>
      <c r="K628" s="63" t="s">
        <v>961</v>
      </c>
      <c r="L628" s="69" t="s">
        <v>950</v>
      </c>
      <c r="M628" s="70">
        <f t="shared" ref="M628:M691" si="100">O628</f>
        <v>21527.63</v>
      </c>
      <c r="N628" s="70">
        <f t="shared" ref="N628:N667" si="101">O628/F628</f>
        <v>21527.63</v>
      </c>
      <c r="O628" s="70">
        <v>21527.63</v>
      </c>
      <c r="P628" s="65">
        <v>21450</v>
      </c>
      <c r="Q628" s="65">
        <f t="shared" si="96"/>
        <v>4719</v>
      </c>
      <c r="R628" s="65">
        <f t="shared" si="97"/>
        <v>26169</v>
      </c>
      <c r="S628" s="272"/>
      <c r="T628" s="64">
        <v>33</v>
      </c>
      <c r="U628" s="270"/>
      <c r="V628" s="38">
        <v>26811</v>
      </c>
      <c r="W628" s="38">
        <f t="shared" si="98"/>
        <v>5898.42</v>
      </c>
      <c r="X628" s="38">
        <f t="shared" si="99"/>
        <v>32709.42</v>
      </c>
    </row>
    <row r="629" spans="1:24" ht="30" customHeight="1" x14ac:dyDescent="0.35">
      <c r="A629" s="56" t="s">
        <v>2847</v>
      </c>
      <c r="B629" s="2">
        <v>593</v>
      </c>
      <c r="C629" s="77">
        <v>10018535</v>
      </c>
      <c r="D629" s="74" t="s">
        <v>1831</v>
      </c>
      <c r="E629" s="74" t="s">
        <v>2167</v>
      </c>
      <c r="F629" s="75">
        <f>5-4</f>
        <v>1</v>
      </c>
      <c r="G629" s="64" t="s">
        <v>0</v>
      </c>
      <c r="H629" s="78">
        <v>40855</v>
      </c>
      <c r="I629" s="4" t="s">
        <v>957</v>
      </c>
      <c r="J629" s="63" t="s">
        <v>1929</v>
      </c>
      <c r="K629" s="63" t="s">
        <v>961</v>
      </c>
      <c r="L629" s="69" t="s">
        <v>950</v>
      </c>
      <c r="M629" s="70">
        <f t="shared" si="100"/>
        <v>2964.26</v>
      </c>
      <c r="N629" s="70">
        <f t="shared" si="101"/>
        <v>2964.26</v>
      </c>
      <c r="O629" s="70">
        <f>14821.3/5*1</f>
        <v>2964.26</v>
      </c>
      <c r="P629" s="65">
        <v>3060</v>
      </c>
      <c r="Q629" s="65">
        <f t="shared" si="96"/>
        <v>673.2</v>
      </c>
      <c r="R629" s="65">
        <f t="shared" si="97"/>
        <v>3733.2</v>
      </c>
      <c r="S629" s="272"/>
      <c r="T629" s="64">
        <v>33</v>
      </c>
      <c r="U629" s="270"/>
      <c r="V629" s="38">
        <v>3829</v>
      </c>
      <c r="W629" s="38">
        <f t="shared" si="98"/>
        <v>842.38</v>
      </c>
      <c r="X629" s="38">
        <f t="shared" si="99"/>
        <v>4671.38</v>
      </c>
    </row>
    <row r="630" spans="1:24" ht="103.5" customHeight="1" x14ac:dyDescent="0.35">
      <c r="A630" s="56" t="s">
        <v>3994</v>
      </c>
      <c r="B630" s="2">
        <v>594</v>
      </c>
      <c r="C630" s="77">
        <v>10018535</v>
      </c>
      <c r="D630" s="74" t="s">
        <v>1831</v>
      </c>
      <c r="E630" s="74" t="s">
        <v>2167</v>
      </c>
      <c r="F630" s="75">
        <v>4</v>
      </c>
      <c r="G630" s="64" t="s">
        <v>0</v>
      </c>
      <c r="H630" s="78">
        <v>40855</v>
      </c>
      <c r="I630" s="4" t="s">
        <v>957</v>
      </c>
      <c r="J630" s="63" t="s">
        <v>1917</v>
      </c>
      <c r="K630" s="63" t="s">
        <v>4172</v>
      </c>
      <c r="L630" s="69" t="s">
        <v>845</v>
      </c>
      <c r="M630" s="70">
        <f t="shared" si="100"/>
        <v>11857.04</v>
      </c>
      <c r="N630" s="70">
        <f t="shared" si="101"/>
        <v>2964.26</v>
      </c>
      <c r="O630" s="70">
        <v>11857.04</v>
      </c>
      <c r="P630" s="65">
        <v>7210</v>
      </c>
      <c r="Q630" s="65">
        <f t="shared" si="96"/>
        <v>1586.2</v>
      </c>
      <c r="R630" s="65">
        <f t="shared" si="97"/>
        <v>8796.2000000000007</v>
      </c>
      <c r="S630" s="272"/>
      <c r="T630" s="64">
        <v>33</v>
      </c>
      <c r="U630" s="270"/>
      <c r="V630" s="38">
        <v>9010</v>
      </c>
      <c r="W630" s="38">
        <f t="shared" si="98"/>
        <v>1982.2</v>
      </c>
      <c r="X630" s="38">
        <f t="shared" si="99"/>
        <v>10992.2</v>
      </c>
    </row>
    <row r="631" spans="1:24" ht="30" customHeight="1" x14ac:dyDescent="0.35">
      <c r="A631" s="56" t="s">
        <v>2848</v>
      </c>
      <c r="B631" s="2">
        <v>595</v>
      </c>
      <c r="C631" s="77">
        <v>10019151</v>
      </c>
      <c r="D631" s="74" t="s">
        <v>1832</v>
      </c>
      <c r="E631" s="74" t="s">
        <v>2167</v>
      </c>
      <c r="F631" s="75">
        <v>1</v>
      </c>
      <c r="G631" s="64" t="s">
        <v>0</v>
      </c>
      <c r="H631" s="78">
        <v>40821</v>
      </c>
      <c r="I631" s="4" t="s">
        <v>957</v>
      </c>
      <c r="J631" s="63" t="s">
        <v>1929</v>
      </c>
      <c r="K631" s="63" t="s">
        <v>961</v>
      </c>
      <c r="L631" s="69" t="s">
        <v>950</v>
      </c>
      <c r="M631" s="70">
        <f t="shared" si="100"/>
        <v>1453.59</v>
      </c>
      <c r="N631" s="70">
        <f t="shared" si="101"/>
        <v>1453.59</v>
      </c>
      <c r="O631" s="70">
        <v>1453.59</v>
      </c>
      <c r="P631" s="65">
        <v>1500</v>
      </c>
      <c r="Q631" s="65">
        <f t="shared" si="96"/>
        <v>330</v>
      </c>
      <c r="R631" s="65">
        <f t="shared" si="97"/>
        <v>1830</v>
      </c>
      <c r="S631" s="272"/>
      <c r="T631" s="64">
        <v>33</v>
      </c>
      <c r="U631" s="270"/>
      <c r="V631" s="38">
        <v>1881</v>
      </c>
      <c r="W631" s="38">
        <f t="shared" si="98"/>
        <v>413.82</v>
      </c>
      <c r="X631" s="38">
        <f t="shared" si="99"/>
        <v>2294.8200000000002</v>
      </c>
    </row>
    <row r="632" spans="1:24" ht="30" customHeight="1" x14ac:dyDescent="0.35">
      <c r="A632" s="56" t="s">
        <v>2849</v>
      </c>
      <c r="B632" s="2">
        <v>596</v>
      </c>
      <c r="C632" s="77">
        <v>10019154</v>
      </c>
      <c r="D632" s="74" t="s">
        <v>1833</v>
      </c>
      <c r="E632" s="74" t="s">
        <v>1978</v>
      </c>
      <c r="F632" s="75">
        <f>18-16</f>
        <v>2</v>
      </c>
      <c r="G632" s="64" t="s">
        <v>0</v>
      </c>
      <c r="H632" s="78">
        <v>40855</v>
      </c>
      <c r="I632" s="4" t="s">
        <v>957</v>
      </c>
      <c r="J632" s="63" t="s">
        <v>1929</v>
      </c>
      <c r="K632" s="63" t="s">
        <v>961</v>
      </c>
      <c r="L632" s="69" t="s">
        <v>950</v>
      </c>
      <c r="M632" s="70">
        <f t="shared" si="100"/>
        <v>5928.52</v>
      </c>
      <c r="N632" s="70">
        <f t="shared" si="101"/>
        <v>2964.26</v>
      </c>
      <c r="O632" s="70">
        <f>53356.68/18*2</f>
        <v>5928.52</v>
      </c>
      <c r="P632" s="65">
        <v>6130</v>
      </c>
      <c r="Q632" s="65">
        <f t="shared" si="96"/>
        <v>1348.6</v>
      </c>
      <c r="R632" s="65">
        <f t="shared" si="97"/>
        <v>7478.6</v>
      </c>
      <c r="S632" s="272"/>
      <c r="T632" s="64">
        <v>33</v>
      </c>
      <c r="U632" s="270"/>
      <c r="V632" s="38">
        <v>7658</v>
      </c>
      <c r="W632" s="38">
        <f t="shared" si="98"/>
        <v>1684.76</v>
      </c>
      <c r="X632" s="38">
        <f t="shared" si="99"/>
        <v>9342.76</v>
      </c>
    </row>
    <row r="633" spans="1:24" ht="88.5" customHeight="1" x14ac:dyDescent="0.35">
      <c r="A633" s="56" t="s">
        <v>3995</v>
      </c>
      <c r="B633" s="2">
        <v>597</v>
      </c>
      <c r="C633" s="77">
        <v>10019154</v>
      </c>
      <c r="D633" s="74" t="s">
        <v>1833</v>
      </c>
      <c r="E633" s="74" t="s">
        <v>2167</v>
      </c>
      <c r="F633" s="75">
        <v>16</v>
      </c>
      <c r="G633" s="64" t="s">
        <v>0</v>
      </c>
      <c r="H633" s="78">
        <v>40855</v>
      </c>
      <c r="I633" s="4" t="s">
        <v>957</v>
      </c>
      <c r="J633" s="63" t="s">
        <v>1917</v>
      </c>
      <c r="K633" s="63" t="s">
        <v>4173</v>
      </c>
      <c r="L633" s="69" t="s">
        <v>845</v>
      </c>
      <c r="M633" s="70">
        <f t="shared" si="100"/>
        <v>47428.160000000003</v>
      </c>
      <c r="N633" s="70">
        <f t="shared" si="101"/>
        <v>2964.26</v>
      </c>
      <c r="O633" s="70">
        <v>47428.160000000003</v>
      </c>
      <c r="P633" s="65">
        <v>28830</v>
      </c>
      <c r="Q633" s="65">
        <f t="shared" si="96"/>
        <v>6342.6</v>
      </c>
      <c r="R633" s="65">
        <f t="shared" si="97"/>
        <v>35172.6</v>
      </c>
      <c r="S633" s="272"/>
      <c r="T633" s="64">
        <v>33</v>
      </c>
      <c r="U633" s="270"/>
      <c r="V633" s="38">
        <v>36040</v>
      </c>
      <c r="W633" s="38">
        <f t="shared" si="98"/>
        <v>7928.8</v>
      </c>
      <c r="X633" s="38">
        <f t="shared" si="99"/>
        <v>43968.800000000003</v>
      </c>
    </row>
    <row r="634" spans="1:24" ht="30" customHeight="1" x14ac:dyDescent="0.35">
      <c r="A634" s="56" t="s">
        <v>2850</v>
      </c>
      <c r="B634" s="2">
        <v>598</v>
      </c>
      <c r="C634" s="77">
        <v>10117873</v>
      </c>
      <c r="D634" s="74" t="s">
        <v>1834</v>
      </c>
      <c r="E634" s="74" t="s">
        <v>1978</v>
      </c>
      <c r="F634" s="75">
        <v>27</v>
      </c>
      <c r="G634" s="64" t="s">
        <v>0</v>
      </c>
      <c r="H634" s="78">
        <v>40855</v>
      </c>
      <c r="I634" s="4" t="s">
        <v>957</v>
      </c>
      <c r="J634" s="63" t="s">
        <v>1929</v>
      </c>
      <c r="K634" s="63" t="s">
        <v>961</v>
      </c>
      <c r="L634" s="69" t="s">
        <v>950</v>
      </c>
      <c r="M634" s="70">
        <f t="shared" si="100"/>
        <v>73170</v>
      </c>
      <c r="N634" s="70">
        <f t="shared" si="101"/>
        <v>2710</v>
      </c>
      <c r="O634" s="70">
        <v>73170</v>
      </c>
      <c r="P634" s="65">
        <v>75620</v>
      </c>
      <c r="Q634" s="65">
        <f t="shared" si="96"/>
        <v>16636.400000000001</v>
      </c>
      <c r="R634" s="65">
        <f t="shared" si="97"/>
        <v>92256.4</v>
      </c>
      <c r="S634" s="272"/>
      <c r="T634" s="64">
        <v>33</v>
      </c>
      <c r="U634" s="270"/>
      <c r="V634" s="38">
        <v>94521</v>
      </c>
      <c r="W634" s="38">
        <f t="shared" si="98"/>
        <v>20794.62</v>
      </c>
      <c r="X634" s="38">
        <f t="shared" si="99"/>
        <v>115315.62</v>
      </c>
    </row>
    <row r="635" spans="1:24" ht="30" customHeight="1" x14ac:dyDescent="0.35">
      <c r="A635" s="56" t="s">
        <v>2851</v>
      </c>
      <c r="B635" s="2">
        <v>599</v>
      </c>
      <c r="C635" s="77">
        <v>102001146</v>
      </c>
      <c r="D635" s="74" t="s">
        <v>1835</v>
      </c>
      <c r="E635" s="74" t="s">
        <v>2167</v>
      </c>
      <c r="F635" s="75">
        <v>1</v>
      </c>
      <c r="G635" s="64" t="s">
        <v>0</v>
      </c>
      <c r="H635" s="78">
        <v>42004</v>
      </c>
      <c r="I635" s="4" t="s">
        <v>957</v>
      </c>
      <c r="J635" s="63" t="s">
        <v>1917</v>
      </c>
      <c r="K635" s="63" t="s">
        <v>961</v>
      </c>
      <c r="L635" s="69" t="s">
        <v>950</v>
      </c>
      <c r="M635" s="70">
        <f t="shared" si="100"/>
        <v>29130</v>
      </c>
      <c r="N635" s="70">
        <f t="shared" si="101"/>
        <v>29130</v>
      </c>
      <c r="O635" s="70">
        <v>29130</v>
      </c>
      <c r="P635" s="65">
        <v>29020</v>
      </c>
      <c r="Q635" s="65">
        <f t="shared" si="96"/>
        <v>6384.4</v>
      </c>
      <c r="R635" s="65">
        <f t="shared" si="97"/>
        <v>35404.400000000001</v>
      </c>
      <c r="S635" s="272"/>
      <c r="T635" s="64">
        <v>33</v>
      </c>
      <c r="U635" s="270"/>
      <c r="V635" s="38">
        <v>36279</v>
      </c>
      <c r="W635" s="38">
        <f t="shared" si="98"/>
        <v>7981.38</v>
      </c>
      <c r="X635" s="38">
        <f t="shared" si="99"/>
        <v>44260.38</v>
      </c>
    </row>
    <row r="636" spans="1:24" ht="30" customHeight="1" x14ac:dyDescent="0.35">
      <c r="A636" s="56" t="s">
        <v>2852</v>
      </c>
      <c r="B636" s="2">
        <v>600</v>
      </c>
      <c r="C636" s="77">
        <v>102001383</v>
      </c>
      <c r="D636" s="74" t="s">
        <v>1836</v>
      </c>
      <c r="E636" s="74" t="s">
        <v>2167</v>
      </c>
      <c r="F636" s="75">
        <v>1</v>
      </c>
      <c r="G636" s="64" t="s">
        <v>0</v>
      </c>
      <c r="H636" s="78">
        <v>42004</v>
      </c>
      <c r="I636" s="4" t="s">
        <v>957</v>
      </c>
      <c r="J636" s="63" t="s">
        <v>1917</v>
      </c>
      <c r="K636" s="63" t="s">
        <v>961</v>
      </c>
      <c r="L636" s="69" t="s">
        <v>950</v>
      </c>
      <c r="M636" s="70">
        <f t="shared" si="100"/>
        <v>28850</v>
      </c>
      <c r="N636" s="70">
        <f t="shared" si="101"/>
        <v>28850</v>
      </c>
      <c r="O636" s="70">
        <v>28850</v>
      </c>
      <c r="P636" s="65">
        <v>28740</v>
      </c>
      <c r="Q636" s="65">
        <f t="shared" si="96"/>
        <v>6322.8</v>
      </c>
      <c r="R636" s="65">
        <f t="shared" si="97"/>
        <v>35062.800000000003</v>
      </c>
      <c r="S636" s="272"/>
      <c r="T636" s="64">
        <v>33</v>
      </c>
      <c r="U636" s="270"/>
      <c r="V636" s="38">
        <v>35930</v>
      </c>
      <c r="W636" s="38">
        <f t="shared" si="98"/>
        <v>7904.6</v>
      </c>
      <c r="X636" s="38">
        <f t="shared" si="99"/>
        <v>43834.6</v>
      </c>
    </row>
    <row r="637" spans="1:24" ht="30" customHeight="1" x14ac:dyDescent="0.35">
      <c r="A637" s="56" t="s">
        <v>2853</v>
      </c>
      <c r="B637" s="2">
        <v>601</v>
      </c>
      <c r="C637" s="77">
        <v>10147713</v>
      </c>
      <c r="D637" s="74" t="s">
        <v>1837</v>
      </c>
      <c r="E637" s="74" t="s">
        <v>2167</v>
      </c>
      <c r="F637" s="75">
        <f>6-1</f>
        <v>5</v>
      </c>
      <c r="G637" s="64" t="s">
        <v>0</v>
      </c>
      <c r="H637" s="78">
        <v>42004</v>
      </c>
      <c r="I637" s="4" t="s">
        <v>957</v>
      </c>
      <c r="J637" s="63" t="s">
        <v>1917</v>
      </c>
      <c r="K637" s="63" t="s">
        <v>961</v>
      </c>
      <c r="L637" s="69" t="s">
        <v>950</v>
      </c>
      <c r="M637" s="70">
        <f t="shared" si="100"/>
        <v>195225</v>
      </c>
      <c r="N637" s="70">
        <f t="shared" si="101"/>
        <v>39045</v>
      </c>
      <c r="O637" s="70">
        <f>234270/6*5</f>
        <v>195225</v>
      </c>
      <c r="P637" s="65">
        <v>194510</v>
      </c>
      <c r="Q637" s="65">
        <f t="shared" si="96"/>
        <v>42792.2</v>
      </c>
      <c r="R637" s="65">
        <f t="shared" si="97"/>
        <v>237302.2</v>
      </c>
      <c r="S637" s="272"/>
      <c r="T637" s="64">
        <v>33</v>
      </c>
      <c r="U637" s="270"/>
      <c r="V637" s="38">
        <v>243137</v>
      </c>
      <c r="W637" s="38">
        <f t="shared" si="98"/>
        <v>53490.14</v>
      </c>
      <c r="X637" s="38">
        <f t="shared" si="99"/>
        <v>296627.14</v>
      </c>
    </row>
    <row r="638" spans="1:24" ht="30" customHeight="1" x14ac:dyDescent="0.35">
      <c r="A638" s="56" t="s">
        <v>2854</v>
      </c>
      <c r="B638" s="2">
        <v>602</v>
      </c>
      <c r="C638" s="77">
        <v>102000911</v>
      </c>
      <c r="D638" s="74" t="s">
        <v>1838</v>
      </c>
      <c r="E638" s="74" t="s">
        <v>2167</v>
      </c>
      <c r="F638" s="75">
        <v>1</v>
      </c>
      <c r="G638" s="64" t="s">
        <v>0</v>
      </c>
      <c r="H638" s="78">
        <v>42004</v>
      </c>
      <c r="I638" s="4" t="s">
        <v>957</v>
      </c>
      <c r="J638" s="63" t="s">
        <v>1917</v>
      </c>
      <c r="K638" s="63" t="s">
        <v>961</v>
      </c>
      <c r="L638" s="69" t="s">
        <v>950</v>
      </c>
      <c r="M638" s="70">
        <f t="shared" si="100"/>
        <v>27980</v>
      </c>
      <c r="N638" s="70">
        <f t="shared" si="101"/>
        <v>27980</v>
      </c>
      <c r="O638" s="70">
        <v>27980</v>
      </c>
      <c r="P638" s="65">
        <v>27880</v>
      </c>
      <c r="Q638" s="65">
        <f t="shared" si="96"/>
        <v>6133.6</v>
      </c>
      <c r="R638" s="65">
        <f t="shared" si="97"/>
        <v>34013.599999999999</v>
      </c>
      <c r="S638" s="272"/>
      <c r="T638" s="64">
        <v>33</v>
      </c>
      <c r="U638" s="270"/>
      <c r="V638" s="38">
        <v>34847</v>
      </c>
      <c r="W638" s="38">
        <f t="shared" si="98"/>
        <v>7666.34</v>
      </c>
      <c r="X638" s="38">
        <f t="shared" si="99"/>
        <v>42513.34</v>
      </c>
    </row>
    <row r="639" spans="1:24" ht="30" customHeight="1" x14ac:dyDescent="0.35">
      <c r="A639" s="56" t="s">
        <v>2855</v>
      </c>
      <c r="B639" s="2">
        <v>603</v>
      </c>
      <c r="C639" s="77">
        <v>10098139</v>
      </c>
      <c r="D639" s="74" t="s">
        <v>1839</v>
      </c>
      <c r="E639" s="74" t="s">
        <v>2167</v>
      </c>
      <c r="F639" s="75">
        <v>6</v>
      </c>
      <c r="G639" s="64" t="s">
        <v>0</v>
      </c>
      <c r="H639" s="78">
        <v>42004</v>
      </c>
      <c r="I639" s="4" t="s">
        <v>957</v>
      </c>
      <c r="J639" s="63" t="s">
        <v>1917</v>
      </c>
      <c r="K639" s="63" t="s">
        <v>961</v>
      </c>
      <c r="L639" s="69" t="s">
        <v>950</v>
      </c>
      <c r="M639" s="70">
        <f t="shared" si="100"/>
        <v>23400</v>
      </c>
      <c r="N639" s="70">
        <f t="shared" si="101"/>
        <v>3900</v>
      </c>
      <c r="O639" s="70">
        <v>23400</v>
      </c>
      <c r="P639" s="65">
        <v>23310</v>
      </c>
      <c r="Q639" s="65">
        <f t="shared" ref="Q639:Q702" si="102">P639*0.22</f>
        <v>5128.2</v>
      </c>
      <c r="R639" s="65">
        <f t="shared" ref="R639:R702" si="103">P639+Q639</f>
        <v>28438.2</v>
      </c>
      <c r="S639" s="272"/>
      <c r="T639" s="64">
        <v>33</v>
      </c>
      <c r="U639" s="270"/>
      <c r="V639" s="38">
        <v>29143</v>
      </c>
      <c r="W639" s="38">
        <f t="shared" ref="W639:W702" si="104">V639*0.22</f>
        <v>6411.46</v>
      </c>
      <c r="X639" s="38">
        <f t="shared" si="99"/>
        <v>35554.46</v>
      </c>
    </row>
    <row r="640" spans="1:24" ht="30" customHeight="1" x14ac:dyDescent="0.35">
      <c r="A640" s="56" t="s">
        <v>2856</v>
      </c>
      <c r="B640" s="2">
        <v>604</v>
      </c>
      <c r="C640" s="77">
        <v>10090267</v>
      </c>
      <c r="D640" s="74" t="s">
        <v>83</v>
      </c>
      <c r="E640" s="74" t="s">
        <v>2167</v>
      </c>
      <c r="F640" s="75">
        <v>9</v>
      </c>
      <c r="G640" s="64" t="s">
        <v>0</v>
      </c>
      <c r="H640" s="78">
        <v>42004</v>
      </c>
      <c r="I640" s="4" t="s">
        <v>957</v>
      </c>
      <c r="J640" s="63" t="s">
        <v>1917</v>
      </c>
      <c r="K640" s="63" t="s">
        <v>961</v>
      </c>
      <c r="L640" s="69" t="s">
        <v>950</v>
      </c>
      <c r="M640" s="70">
        <f t="shared" si="100"/>
        <v>35100</v>
      </c>
      <c r="N640" s="70">
        <f t="shared" si="101"/>
        <v>3900</v>
      </c>
      <c r="O640" s="70">
        <v>35100</v>
      </c>
      <c r="P640" s="65">
        <v>34970</v>
      </c>
      <c r="Q640" s="65">
        <f t="shared" si="102"/>
        <v>7693.4</v>
      </c>
      <c r="R640" s="65">
        <f t="shared" si="103"/>
        <v>42663.4</v>
      </c>
      <c r="S640" s="272"/>
      <c r="T640" s="64">
        <v>33</v>
      </c>
      <c r="U640" s="270"/>
      <c r="V640" s="38">
        <v>43714</v>
      </c>
      <c r="W640" s="38">
        <f t="shared" si="104"/>
        <v>9617.08</v>
      </c>
      <c r="X640" s="38">
        <f t="shared" si="99"/>
        <v>53331.08</v>
      </c>
    </row>
    <row r="641" spans="1:24" ht="30" customHeight="1" x14ac:dyDescent="0.35">
      <c r="A641" s="56" t="s">
        <v>2857</v>
      </c>
      <c r="B641" s="2">
        <v>605</v>
      </c>
      <c r="C641" s="77">
        <v>10098624</v>
      </c>
      <c r="D641" s="74" t="s">
        <v>1840</v>
      </c>
      <c r="E641" s="74" t="s">
        <v>2167</v>
      </c>
      <c r="F641" s="75">
        <v>8</v>
      </c>
      <c r="G641" s="64" t="s">
        <v>0</v>
      </c>
      <c r="H641" s="78">
        <v>42004</v>
      </c>
      <c r="I641" s="4" t="s">
        <v>957</v>
      </c>
      <c r="J641" s="63" t="s">
        <v>1917</v>
      </c>
      <c r="K641" s="63" t="s">
        <v>961</v>
      </c>
      <c r="L641" s="69" t="s">
        <v>950</v>
      </c>
      <c r="M641" s="70">
        <f t="shared" si="100"/>
        <v>31200</v>
      </c>
      <c r="N641" s="70">
        <f t="shared" si="101"/>
        <v>3900</v>
      </c>
      <c r="O641" s="70">
        <v>31200</v>
      </c>
      <c r="P641" s="65">
        <v>31090</v>
      </c>
      <c r="Q641" s="65">
        <f t="shared" si="102"/>
        <v>6839.8</v>
      </c>
      <c r="R641" s="65">
        <f t="shared" si="103"/>
        <v>37929.800000000003</v>
      </c>
      <c r="S641" s="272"/>
      <c r="T641" s="64">
        <v>33</v>
      </c>
      <c r="U641" s="270"/>
      <c r="V641" s="38">
        <v>38857</v>
      </c>
      <c r="W641" s="38">
        <f t="shared" si="104"/>
        <v>8548.5400000000009</v>
      </c>
      <c r="X641" s="38">
        <f t="shared" ref="X641:X704" si="105">V641+W641</f>
        <v>47405.54</v>
      </c>
    </row>
    <row r="642" spans="1:24" ht="30" customHeight="1" x14ac:dyDescent="0.35">
      <c r="A642" s="56" t="s">
        <v>2858</v>
      </c>
      <c r="B642" s="2">
        <v>606</v>
      </c>
      <c r="C642" s="77">
        <v>10029371</v>
      </c>
      <c r="D642" s="74" t="s">
        <v>1841</v>
      </c>
      <c r="E642" s="74" t="s">
        <v>2167</v>
      </c>
      <c r="F642" s="75">
        <v>3</v>
      </c>
      <c r="G642" s="64" t="s">
        <v>0</v>
      </c>
      <c r="H642" s="78">
        <v>42004</v>
      </c>
      <c r="I642" s="4" t="s">
        <v>957</v>
      </c>
      <c r="J642" s="63" t="s">
        <v>1917</v>
      </c>
      <c r="K642" s="63" t="s">
        <v>961</v>
      </c>
      <c r="L642" s="69" t="s">
        <v>950</v>
      </c>
      <c r="M642" s="70">
        <f t="shared" si="100"/>
        <v>19995</v>
      </c>
      <c r="N642" s="70">
        <f t="shared" si="101"/>
        <v>6665</v>
      </c>
      <c r="O642" s="70">
        <v>19995</v>
      </c>
      <c r="P642" s="65">
        <v>19920</v>
      </c>
      <c r="Q642" s="65">
        <f t="shared" si="102"/>
        <v>4382.3999999999996</v>
      </c>
      <c r="R642" s="65">
        <f t="shared" si="103"/>
        <v>24302.400000000001</v>
      </c>
      <c r="S642" s="272"/>
      <c r="T642" s="64">
        <v>33</v>
      </c>
      <c r="U642" s="270"/>
      <c r="V642" s="38">
        <v>24902</v>
      </c>
      <c r="W642" s="38">
        <f t="shared" si="104"/>
        <v>5478.44</v>
      </c>
      <c r="X642" s="38">
        <f t="shared" si="105"/>
        <v>30380.44</v>
      </c>
    </row>
    <row r="643" spans="1:24" ht="30" customHeight="1" x14ac:dyDescent="0.35">
      <c r="A643" s="56" t="s">
        <v>2859</v>
      </c>
      <c r="B643" s="2">
        <v>607</v>
      </c>
      <c r="C643" s="77">
        <v>10095733</v>
      </c>
      <c r="D643" s="74" t="s">
        <v>1860</v>
      </c>
      <c r="E643" s="74" t="s">
        <v>2167</v>
      </c>
      <c r="F643" s="75">
        <v>2</v>
      </c>
      <c r="G643" s="64" t="s">
        <v>0</v>
      </c>
      <c r="H643" s="78">
        <v>42004</v>
      </c>
      <c r="I643" s="4" t="s">
        <v>957</v>
      </c>
      <c r="J643" s="63" t="s">
        <v>1917</v>
      </c>
      <c r="K643" s="63" t="s">
        <v>961</v>
      </c>
      <c r="L643" s="69" t="s">
        <v>950</v>
      </c>
      <c r="M643" s="70">
        <f t="shared" si="100"/>
        <v>17420</v>
      </c>
      <c r="N643" s="70">
        <f t="shared" si="101"/>
        <v>8710</v>
      </c>
      <c r="O643" s="70">
        <v>17420</v>
      </c>
      <c r="P643" s="65">
        <v>17360</v>
      </c>
      <c r="Q643" s="65">
        <f t="shared" si="102"/>
        <v>3819.2</v>
      </c>
      <c r="R643" s="65">
        <f t="shared" si="103"/>
        <v>21179.200000000001</v>
      </c>
      <c r="S643" s="272"/>
      <c r="T643" s="64">
        <v>33</v>
      </c>
      <c r="U643" s="270"/>
      <c r="V643" s="38">
        <v>21695</v>
      </c>
      <c r="W643" s="38">
        <f t="shared" si="104"/>
        <v>4772.8999999999996</v>
      </c>
      <c r="X643" s="38">
        <f t="shared" si="105"/>
        <v>26467.9</v>
      </c>
    </row>
    <row r="644" spans="1:24" ht="30" customHeight="1" x14ac:dyDescent="0.35">
      <c r="A644" s="56" t="s">
        <v>2860</v>
      </c>
      <c r="B644" s="2">
        <v>608</v>
      </c>
      <c r="C644" s="77">
        <v>10096254</v>
      </c>
      <c r="D644" s="74" t="s">
        <v>1861</v>
      </c>
      <c r="E644" s="74" t="s">
        <v>2167</v>
      </c>
      <c r="F644" s="75">
        <v>2</v>
      </c>
      <c r="G644" s="64" t="s">
        <v>0</v>
      </c>
      <c r="H644" s="78">
        <v>42004</v>
      </c>
      <c r="I644" s="4" t="s">
        <v>957</v>
      </c>
      <c r="J644" s="63" t="s">
        <v>1917</v>
      </c>
      <c r="K644" s="63" t="s">
        <v>961</v>
      </c>
      <c r="L644" s="69" t="s">
        <v>950</v>
      </c>
      <c r="M644" s="70">
        <f t="shared" si="100"/>
        <v>9120</v>
      </c>
      <c r="N644" s="70">
        <f t="shared" si="101"/>
        <v>4560</v>
      </c>
      <c r="O644" s="70">
        <v>9120</v>
      </c>
      <c r="P644" s="65">
        <v>9090</v>
      </c>
      <c r="Q644" s="65">
        <f t="shared" si="102"/>
        <v>1999.8</v>
      </c>
      <c r="R644" s="65">
        <f t="shared" si="103"/>
        <v>11089.8</v>
      </c>
      <c r="S644" s="272"/>
      <c r="T644" s="64">
        <v>33</v>
      </c>
      <c r="U644" s="270"/>
      <c r="V644" s="38">
        <v>11358</v>
      </c>
      <c r="W644" s="38">
        <f t="shared" si="104"/>
        <v>2498.7600000000002</v>
      </c>
      <c r="X644" s="38">
        <f t="shared" si="105"/>
        <v>13856.76</v>
      </c>
    </row>
    <row r="645" spans="1:24" ht="30" customHeight="1" x14ac:dyDescent="0.35">
      <c r="A645" s="56" t="s">
        <v>2863</v>
      </c>
      <c r="B645" s="2">
        <v>609</v>
      </c>
      <c r="C645" s="77">
        <v>10094322</v>
      </c>
      <c r="D645" s="74" t="s">
        <v>1864</v>
      </c>
      <c r="E645" s="74" t="s">
        <v>2167</v>
      </c>
      <c r="F645" s="75">
        <v>2</v>
      </c>
      <c r="G645" s="64" t="s">
        <v>0</v>
      </c>
      <c r="H645" s="78">
        <v>41486</v>
      </c>
      <c r="I645" s="4" t="s">
        <v>957</v>
      </c>
      <c r="J645" s="63" t="s">
        <v>1917</v>
      </c>
      <c r="K645" s="63" t="s">
        <v>961</v>
      </c>
      <c r="L645" s="69" t="s">
        <v>950</v>
      </c>
      <c r="M645" s="70">
        <f t="shared" si="100"/>
        <v>28020</v>
      </c>
      <c r="N645" s="70">
        <f t="shared" si="101"/>
        <v>14010</v>
      </c>
      <c r="O645" s="70">
        <v>28020</v>
      </c>
      <c r="P645" s="65">
        <v>28720</v>
      </c>
      <c r="Q645" s="65">
        <f t="shared" si="102"/>
        <v>6318.4</v>
      </c>
      <c r="R645" s="65">
        <f t="shared" si="103"/>
        <v>35038.400000000001</v>
      </c>
      <c r="S645" s="272"/>
      <c r="T645" s="64">
        <v>33</v>
      </c>
      <c r="U645" s="270"/>
      <c r="V645" s="38">
        <v>35903</v>
      </c>
      <c r="W645" s="38">
        <f t="shared" si="104"/>
        <v>7898.66</v>
      </c>
      <c r="X645" s="38">
        <f t="shared" si="105"/>
        <v>43801.66</v>
      </c>
    </row>
    <row r="646" spans="1:24" ht="30" customHeight="1" x14ac:dyDescent="0.35">
      <c r="A646" s="56" t="s">
        <v>2864</v>
      </c>
      <c r="B646" s="2">
        <v>610</v>
      </c>
      <c r="C646" s="77">
        <v>102001123</v>
      </c>
      <c r="D646" s="74" t="s">
        <v>1865</v>
      </c>
      <c r="E646" s="74" t="s">
        <v>2167</v>
      </c>
      <c r="F646" s="75">
        <v>2</v>
      </c>
      <c r="G646" s="64" t="s">
        <v>0</v>
      </c>
      <c r="H646" s="78">
        <v>42004</v>
      </c>
      <c r="I646" s="4" t="s">
        <v>957</v>
      </c>
      <c r="J646" s="63" t="s">
        <v>1917</v>
      </c>
      <c r="K646" s="63" t="s">
        <v>961</v>
      </c>
      <c r="L646" s="69" t="s">
        <v>950</v>
      </c>
      <c r="M646" s="70">
        <f t="shared" si="100"/>
        <v>159068.47</v>
      </c>
      <c r="N646" s="70">
        <f t="shared" si="101"/>
        <v>79534.240000000005</v>
      </c>
      <c r="O646" s="70">
        <v>159068.47</v>
      </c>
      <c r="P646" s="65">
        <v>158490</v>
      </c>
      <c r="Q646" s="65">
        <f t="shared" si="102"/>
        <v>34867.800000000003</v>
      </c>
      <c r="R646" s="65">
        <f t="shared" si="103"/>
        <v>193357.8</v>
      </c>
      <c r="S646" s="272"/>
      <c r="T646" s="64">
        <v>33</v>
      </c>
      <c r="U646" s="270"/>
      <c r="V646" s="38">
        <v>198107</v>
      </c>
      <c r="W646" s="38">
        <f t="shared" si="104"/>
        <v>43583.54</v>
      </c>
      <c r="X646" s="38">
        <f t="shared" si="105"/>
        <v>241690.54</v>
      </c>
    </row>
    <row r="647" spans="1:24" ht="22.5" customHeight="1" x14ac:dyDescent="0.35">
      <c r="A647" s="56" t="s">
        <v>2865</v>
      </c>
      <c r="B647" s="2">
        <v>611</v>
      </c>
      <c r="C647" s="77">
        <v>10007997</v>
      </c>
      <c r="D647" s="74" t="s">
        <v>1866</v>
      </c>
      <c r="E647" s="74" t="s">
        <v>2167</v>
      </c>
      <c r="F647" s="75">
        <v>1</v>
      </c>
      <c r="G647" s="64" t="s">
        <v>0</v>
      </c>
      <c r="H647" s="78" t="s">
        <v>1914</v>
      </c>
      <c r="I647" s="4" t="s">
        <v>957</v>
      </c>
      <c r="J647" s="63" t="s">
        <v>1917</v>
      </c>
      <c r="K647" s="63" t="s">
        <v>961</v>
      </c>
      <c r="L647" s="69" t="s">
        <v>950</v>
      </c>
      <c r="M647" s="70">
        <f t="shared" si="100"/>
        <v>504.47</v>
      </c>
      <c r="N647" s="70">
        <f t="shared" si="101"/>
        <v>504.47</v>
      </c>
      <c r="O647" s="70">
        <v>504.47</v>
      </c>
      <c r="P647" s="65">
        <v>600</v>
      </c>
      <c r="Q647" s="65">
        <f t="shared" si="102"/>
        <v>132</v>
      </c>
      <c r="R647" s="65">
        <f t="shared" si="103"/>
        <v>732</v>
      </c>
      <c r="S647" s="272"/>
      <c r="T647" s="64">
        <v>33</v>
      </c>
      <c r="U647" s="270"/>
      <c r="V647" s="38">
        <v>747</v>
      </c>
      <c r="W647" s="38">
        <f t="shared" si="104"/>
        <v>164.34</v>
      </c>
      <c r="X647" s="38">
        <f t="shared" si="105"/>
        <v>911.34</v>
      </c>
    </row>
    <row r="648" spans="1:24" ht="30" customHeight="1" x14ac:dyDescent="0.35">
      <c r="A648" s="56" t="s">
        <v>2866</v>
      </c>
      <c r="B648" s="2">
        <v>612</v>
      </c>
      <c r="C648" s="77">
        <v>10003086</v>
      </c>
      <c r="D648" s="74" t="s">
        <v>1867</v>
      </c>
      <c r="E648" s="74" t="s">
        <v>2167</v>
      </c>
      <c r="F648" s="75">
        <v>1</v>
      </c>
      <c r="G648" s="64" t="s">
        <v>0</v>
      </c>
      <c r="H648" s="78" t="s">
        <v>1914</v>
      </c>
      <c r="I648" s="4" t="s">
        <v>957</v>
      </c>
      <c r="J648" s="63" t="s">
        <v>1917</v>
      </c>
      <c r="K648" s="63" t="s">
        <v>961</v>
      </c>
      <c r="L648" s="69" t="s">
        <v>950</v>
      </c>
      <c r="M648" s="70">
        <f t="shared" si="100"/>
        <v>1980.71</v>
      </c>
      <c r="N648" s="70">
        <f t="shared" si="101"/>
        <v>1980.71</v>
      </c>
      <c r="O648" s="70">
        <v>1980.71</v>
      </c>
      <c r="P648" s="65">
        <v>2350</v>
      </c>
      <c r="Q648" s="65">
        <f t="shared" si="102"/>
        <v>517</v>
      </c>
      <c r="R648" s="65">
        <f t="shared" si="103"/>
        <v>2867</v>
      </c>
      <c r="S648" s="272"/>
      <c r="T648" s="64">
        <v>33</v>
      </c>
      <c r="U648" s="270"/>
      <c r="V648" s="38">
        <v>2932</v>
      </c>
      <c r="W648" s="38">
        <f t="shared" si="104"/>
        <v>645.04</v>
      </c>
      <c r="X648" s="38">
        <f t="shared" si="105"/>
        <v>3577.04</v>
      </c>
    </row>
    <row r="649" spans="1:24" ht="30" customHeight="1" x14ac:dyDescent="0.35">
      <c r="A649" s="56" t="s">
        <v>2867</v>
      </c>
      <c r="B649" s="2">
        <v>613</v>
      </c>
      <c r="C649" s="11">
        <v>10151367</v>
      </c>
      <c r="D649" s="3" t="s">
        <v>1327</v>
      </c>
      <c r="E649" s="59" t="s">
        <v>2167</v>
      </c>
      <c r="F649" s="14">
        <v>2</v>
      </c>
      <c r="G649" s="64" t="s">
        <v>0</v>
      </c>
      <c r="H649" s="5">
        <v>41518</v>
      </c>
      <c r="I649" s="4" t="s">
        <v>957</v>
      </c>
      <c r="J649" s="6" t="s">
        <v>1362</v>
      </c>
      <c r="K649" s="63" t="s">
        <v>961</v>
      </c>
      <c r="L649" s="69" t="s">
        <v>950</v>
      </c>
      <c r="M649" s="70">
        <f t="shared" si="100"/>
        <v>32480</v>
      </c>
      <c r="N649" s="70">
        <f t="shared" si="101"/>
        <v>16240</v>
      </c>
      <c r="O649" s="70">
        <v>32480</v>
      </c>
      <c r="P649" s="65">
        <v>33370</v>
      </c>
      <c r="Q649" s="65">
        <f t="shared" si="102"/>
        <v>7341.4</v>
      </c>
      <c r="R649" s="65">
        <f t="shared" si="103"/>
        <v>40711.4</v>
      </c>
      <c r="S649" s="272"/>
      <c r="T649" s="64">
        <v>33</v>
      </c>
      <c r="U649" s="270"/>
      <c r="V649" s="38">
        <v>41715</v>
      </c>
      <c r="W649" s="38">
        <f t="shared" si="104"/>
        <v>9177.2999999999993</v>
      </c>
      <c r="X649" s="38">
        <f t="shared" si="105"/>
        <v>50892.3</v>
      </c>
    </row>
    <row r="650" spans="1:24" ht="30" customHeight="1" x14ac:dyDescent="0.35">
      <c r="A650" s="56" t="s">
        <v>2868</v>
      </c>
      <c r="B650" s="2">
        <v>614</v>
      </c>
      <c r="C650" s="11">
        <v>10148069</v>
      </c>
      <c r="D650" s="3" t="s">
        <v>1328</v>
      </c>
      <c r="E650" s="59" t="s">
        <v>2167</v>
      </c>
      <c r="F650" s="14">
        <v>59</v>
      </c>
      <c r="G650" s="64" t="s">
        <v>0</v>
      </c>
      <c r="H650" s="5">
        <v>41456</v>
      </c>
      <c r="I650" s="4" t="s">
        <v>957</v>
      </c>
      <c r="J650" s="63" t="s">
        <v>1917</v>
      </c>
      <c r="K650" s="63" t="s">
        <v>961</v>
      </c>
      <c r="L650" s="69" t="s">
        <v>950</v>
      </c>
      <c r="M650" s="144">
        <f t="shared" si="100"/>
        <v>28596.12</v>
      </c>
      <c r="N650" s="144">
        <f t="shared" si="101"/>
        <v>484.68</v>
      </c>
      <c r="O650" s="70">
        <v>28596.12</v>
      </c>
      <c r="P650" s="65">
        <v>29310</v>
      </c>
      <c r="Q650" s="65">
        <f t="shared" si="102"/>
        <v>6448.2</v>
      </c>
      <c r="R650" s="65">
        <f t="shared" si="103"/>
        <v>35758.199999999997</v>
      </c>
      <c r="S650" s="272"/>
      <c r="T650" s="64">
        <v>33</v>
      </c>
      <c r="U650" s="270"/>
      <c r="V650" s="38">
        <v>36641</v>
      </c>
      <c r="W650" s="38">
        <f t="shared" si="104"/>
        <v>8061.02</v>
      </c>
      <c r="X650" s="38">
        <f t="shared" si="105"/>
        <v>44702.02</v>
      </c>
    </row>
    <row r="651" spans="1:24" ht="30" customHeight="1" x14ac:dyDescent="0.35">
      <c r="A651" s="56" t="s">
        <v>2869</v>
      </c>
      <c r="B651" s="2">
        <v>615</v>
      </c>
      <c r="C651" s="11">
        <v>10148140</v>
      </c>
      <c r="D651" s="3" t="s">
        <v>547</v>
      </c>
      <c r="E651" s="59" t="s">
        <v>2167</v>
      </c>
      <c r="F651" s="14">
        <v>3</v>
      </c>
      <c r="G651" s="64" t="s">
        <v>0</v>
      </c>
      <c r="H651" s="5">
        <v>41518</v>
      </c>
      <c r="I651" s="4" t="s">
        <v>957</v>
      </c>
      <c r="J651" s="63" t="s">
        <v>1917</v>
      </c>
      <c r="K651" s="63" t="s">
        <v>961</v>
      </c>
      <c r="L651" s="69" t="s">
        <v>950</v>
      </c>
      <c r="M651" s="70">
        <f t="shared" si="100"/>
        <v>9669</v>
      </c>
      <c r="N651" s="70">
        <f t="shared" si="101"/>
        <v>3223</v>
      </c>
      <c r="O651" s="70">
        <v>9669</v>
      </c>
      <c r="P651" s="65">
        <v>9930</v>
      </c>
      <c r="Q651" s="65">
        <f t="shared" si="102"/>
        <v>2184.6</v>
      </c>
      <c r="R651" s="65">
        <f t="shared" si="103"/>
        <v>12114.6</v>
      </c>
      <c r="S651" s="272"/>
      <c r="T651" s="64">
        <v>33</v>
      </c>
      <c r="U651" s="270"/>
      <c r="V651" s="38">
        <v>12418</v>
      </c>
      <c r="W651" s="38">
        <f t="shared" si="104"/>
        <v>2731.96</v>
      </c>
      <c r="X651" s="38">
        <f t="shared" si="105"/>
        <v>15149.96</v>
      </c>
    </row>
    <row r="652" spans="1:24" ht="66.75" customHeight="1" x14ac:dyDescent="0.35">
      <c r="A652" s="56" t="s">
        <v>2870</v>
      </c>
      <c r="B652" s="2">
        <v>616</v>
      </c>
      <c r="C652" s="11">
        <v>10148417</v>
      </c>
      <c r="D652" s="3" t="s">
        <v>1329</v>
      </c>
      <c r="E652" s="59" t="s">
        <v>2167</v>
      </c>
      <c r="F652" s="14">
        <v>5</v>
      </c>
      <c r="G652" s="64" t="s">
        <v>0</v>
      </c>
      <c r="H652" s="5">
        <v>41518</v>
      </c>
      <c r="I652" s="4" t="s">
        <v>957</v>
      </c>
      <c r="J652" s="6" t="s">
        <v>1363</v>
      </c>
      <c r="K652" s="63" t="s">
        <v>961</v>
      </c>
      <c r="L652" s="69" t="s">
        <v>950</v>
      </c>
      <c r="M652" s="70">
        <f t="shared" si="100"/>
        <v>65903.81</v>
      </c>
      <c r="N652" s="70">
        <f t="shared" si="101"/>
        <v>13180.76</v>
      </c>
      <c r="O652" s="70">
        <v>65903.81</v>
      </c>
      <c r="P652" s="65">
        <v>67710</v>
      </c>
      <c r="Q652" s="65">
        <f t="shared" si="102"/>
        <v>14896.2</v>
      </c>
      <c r="R652" s="65">
        <f t="shared" si="103"/>
        <v>82606.2</v>
      </c>
      <c r="S652" s="272"/>
      <c r="T652" s="64">
        <v>33</v>
      </c>
      <c r="U652" s="270"/>
      <c r="V652" s="38">
        <v>84641</v>
      </c>
      <c r="W652" s="38">
        <f t="shared" si="104"/>
        <v>18621.02</v>
      </c>
      <c r="X652" s="38">
        <f t="shared" si="105"/>
        <v>103262.02</v>
      </c>
    </row>
    <row r="653" spans="1:24" ht="62.25" customHeight="1" x14ac:dyDescent="0.35">
      <c r="A653" s="56" t="s">
        <v>2871</v>
      </c>
      <c r="B653" s="2">
        <v>617</v>
      </c>
      <c r="C653" s="11">
        <v>10151338</v>
      </c>
      <c r="D653" s="3" t="s">
        <v>1331</v>
      </c>
      <c r="E653" s="59" t="s">
        <v>2167</v>
      </c>
      <c r="F653" s="14">
        <v>1</v>
      </c>
      <c r="G653" s="64" t="s">
        <v>0</v>
      </c>
      <c r="H653" s="5">
        <v>41518</v>
      </c>
      <c r="I653" s="4" t="s">
        <v>957</v>
      </c>
      <c r="J653" s="6" t="s">
        <v>1364</v>
      </c>
      <c r="K653" s="63" t="s">
        <v>961</v>
      </c>
      <c r="L653" s="69" t="s">
        <v>950</v>
      </c>
      <c r="M653" s="70">
        <f t="shared" si="100"/>
        <v>13983.05</v>
      </c>
      <c r="N653" s="70">
        <f t="shared" si="101"/>
        <v>13983.05</v>
      </c>
      <c r="O653" s="70">
        <v>13983.05</v>
      </c>
      <c r="P653" s="65">
        <v>14370</v>
      </c>
      <c r="Q653" s="65">
        <f t="shared" si="102"/>
        <v>3161.4</v>
      </c>
      <c r="R653" s="65">
        <f t="shared" si="103"/>
        <v>17531.400000000001</v>
      </c>
      <c r="S653" s="272"/>
      <c r="T653" s="64">
        <v>33</v>
      </c>
      <c r="U653" s="270"/>
      <c r="V653" s="38">
        <v>17959</v>
      </c>
      <c r="W653" s="38">
        <f t="shared" si="104"/>
        <v>3950.98</v>
      </c>
      <c r="X653" s="38">
        <f t="shared" si="105"/>
        <v>21909.98</v>
      </c>
    </row>
    <row r="654" spans="1:24" ht="30" customHeight="1" x14ac:dyDescent="0.35">
      <c r="A654" s="56" t="s">
        <v>2872</v>
      </c>
      <c r="B654" s="2">
        <v>618</v>
      </c>
      <c r="C654" s="11">
        <v>10148151</v>
      </c>
      <c r="D654" s="3" t="s">
        <v>1336</v>
      </c>
      <c r="E654" s="59" t="s">
        <v>2167</v>
      </c>
      <c r="F654" s="14">
        <v>3</v>
      </c>
      <c r="G654" s="64" t="s">
        <v>0</v>
      </c>
      <c r="H654" s="5">
        <v>41518</v>
      </c>
      <c r="I654" s="4" t="s">
        <v>957</v>
      </c>
      <c r="J654" s="63" t="s">
        <v>1917</v>
      </c>
      <c r="K654" s="63" t="s">
        <v>961</v>
      </c>
      <c r="L654" s="69" t="s">
        <v>950</v>
      </c>
      <c r="M654" s="70">
        <f t="shared" si="100"/>
        <v>42468</v>
      </c>
      <c r="N654" s="70">
        <f t="shared" si="101"/>
        <v>14156</v>
      </c>
      <c r="O654" s="70">
        <v>42468</v>
      </c>
      <c r="P654" s="65">
        <v>43630</v>
      </c>
      <c r="Q654" s="65">
        <f t="shared" si="102"/>
        <v>9598.6</v>
      </c>
      <c r="R654" s="65">
        <f t="shared" si="103"/>
        <v>53228.6</v>
      </c>
      <c r="S654" s="272"/>
      <c r="T654" s="64">
        <v>33</v>
      </c>
      <c r="U654" s="270"/>
      <c r="V654" s="38">
        <v>54542</v>
      </c>
      <c r="W654" s="38">
        <f t="shared" si="104"/>
        <v>11999.24</v>
      </c>
      <c r="X654" s="38">
        <f t="shared" si="105"/>
        <v>66541.240000000005</v>
      </c>
    </row>
    <row r="655" spans="1:24" ht="54" customHeight="1" x14ac:dyDescent="0.35">
      <c r="A655" s="56" t="s">
        <v>2873</v>
      </c>
      <c r="B655" s="2">
        <v>619</v>
      </c>
      <c r="C655" s="11">
        <v>10148141</v>
      </c>
      <c r="D655" s="3" t="s">
        <v>1337</v>
      </c>
      <c r="E655" s="59" t="s">
        <v>2167</v>
      </c>
      <c r="F655" s="14">
        <v>8</v>
      </c>
      <c r="G655" s="64" t="s">
        <v>0</v>
      </c>
      <c r="H655" s="5">
        <v>41518</v>
      </c>
      <c r="I655" s="4" t="s">
        <v>957</v>
      </c>
      <c r="J655" s="6" t="s">
        <v>1367</v>
      </c>
      <c r="K655" s="63" t="s">
        <v>961</v>
      </c>
      <c r="L655" s="69" t="s">
        <v>950</v>
      </c>
      <c r="M655" s="70">
        <f t="shared" si="100"/>
        <v>286520</v>
      </c>
      <c r="N655" s="70">
        <f t="shared" si="101"/>
        <v>35815</v>
      </c>
      <c r="O655" s="70">
        <v>286520</v>
      </c>
      <c r="P655" s="65">
        <v>294390</v>
      </c>
      <c r="Q655" s="65">
        <f t="shared" si="102"/>
        <v>64765.8</v>
      </c>
      <c r="R655" s="65">
        <f t="shared" si="103"/>
        <v>359155.8</v>
      </c>
      <c r="S655" s="272"/>
      <c r="T655" s="64">
        <v>33</v>
      </c>
      <c r="U655" s="270"/>
      <c r="V655" s="38">
        <v>367982</v>
      </c>
      <c r="W655" s="38">
        <f t="shared" si="104"/>
        <v>80956.039999999994</v>
      </c>
      <c r="X655" s="38">
        <f t="shared" si="105"/>
        <v>448938.04</v>
      </c>
    </row>
    <row r="656" spans="1:24" ht="45" customHeight="1" x14ac:dyDescent="0.35">
      <c r="A656" s="56" t="s">
        <v>2874</v>
      </c>
      <c r="B656" s="2">
        <v>620</v>
      </c>
      <c r="C656" s="11">
        <v>10148146</v>
      </c>
      <c r="D656" s="3" t="s">
        <v>609</v>
      </c>
      <c r="E656" s="59" t="s">
        <v>2167</v>
      </c>
      <c r="F656" s="14">
        <v>2</v>
      </c>
      <c r="G656" s="64" t="s">
        <v>0</v>
      </c>
      <c r="H656" s="5">
        <v>41518</v>
      </c>
      <c r="I656" s="4" t="s">
        <v>957</v>
      </c>
      <c r="J656" s="6" t="s">
        <v>1367</v>
      </c>
      <c r="K656" s="63" t="s">
        <v>961</v>
      </c>
      <c r="L656" s="69" t="s">
        <v>950</v>
      </c>
      <c r="M656" s="70">
        <f t="shared" si="100"/>
        <v>68630</v>
      </c>
      <c r="N656" s="70">
        <f t="shared" si="101"/>
        <v>34315</v>
      </c>
      <c r="O656" s="70">
        <v>68630</v>
      </c>
      <c r="P656" s="65">
        <v>70510</v>
      </c>
      <c r="Q656" s="65">
        <f t="shared" si="102"/>
        <v>15512.2</v>
      </c>
      <c r="R656" s="65">
        <f t="shared" si="103"/>
        <v>86022.2</v>
      </c>
      <c r="S656" s="272"/>
      <c r="T656" s="64">
        <v>33</v>
      </c>
      <c r="U656" s="270"/>
      <c r="V656" s="38">
        <v>88143</v>
      </c>
      <c r="W656" s="38">
        <f t="shared" si="104"/>
        <v>19391.46</v>
      </c>
      <c r="X656" s="38">
        <f t="shared" si="105"/>
        <v>107534.46</v>
      </c>
    </row>
    <row r="657" spans="1:24" ht="39.65" customHeight="1" x14ac:dyDescent="0.35">
      <c r="A657" s="56" t="s">
        <v>2875</v>
      </c>
      <c r="B657" s="2">
        <v>621</v>
      </c>
      <c r="C657" s="11">
        <v>10148160</v>
      </c>
      <c r="D657" s="3" t="s">
        <v>610</v>
      </c>
      <c r="E657" s="59" t="s">
        <v>2167</v>
      </c>
      <c r="F657" s="14">
        <v>7</v>
      </c>
      <c r="G657" s="64" t="s">
        <v>0</v>
      </c>
      <c r="H657" s="5">
        <v>41518</v>
      </c>
      <c r="I657" s="4" t="s">
        <v>957</v>
      </c>
      <c r="J657" s="6" t="s">
        <v>1367</v>
      </c>
      <c r="K657" s="63" t="s">
        <v>961</v>
      </c>
      <c r="L657" s="69" t="s">
        <v>950</v>
      </c>
      <c r="M657" s="70">
        <f t="shared" si="100"/>
        <v>61173</v>
      </c>
      <c r="N657" s="70">
        <f t="shared" si="101"/>
        <v>8739</v>
      </c>
      <c r="O657" s="70">
        <v>61173</v>
      </c>
      <c r="P657" s="65">
        <v>62850</v>
      </c>
      <c r="Q657" s="65">
        <f t="shared" si="102"/>
        <v>13827</v>
      </c>
      <c r="R657" s="65">
        <f t="shared" si="103"/>
        <v>76677</v>
      </c>
      <c r="S657" s="272"/>
      <c r="T657" s="64">
        <v>33</v>
      </c>
      <c r="U657" s="270"/>
      <c r="V657" s="38">
        <v>78565</v>
      </c>
      <c r="W657" s="38">
        <f t="shared" si="104"/>
        <v>17284.3</v>
      </c>
      <c r="X657" s="38">
        <f t="shared" si="105"/>
        <v>95849.3</v>
      </c>
    </row>
    <row r="658" spans="1:24" ht="43.5" customHeight="1" x14ac:dyDescent="0.35">
      <c r="A658" s="56" t="s">
        <v>2876</v>
      </c>
      <c r="B658" s="2">
        <v>622</v>
      </c>
      <c r="C658" s="11">
        <v>10148106</v>
      </c>
      <c r="D658" s="3" t="s">
        <v>1338</v>
      </c>
      <c r="E658" s="59" t="s">
        <v>2167</v>
      </c>
      <c r="F658" s="14">
        <v>11</v>
      </c>
      <c r="G658" s="64" t="s">
        <v>0</v>
      </c>
      <c r="H658" s="5">
        <v>41518</v>
      </c>
      <c r="I658" s="4" t="s">
        <v>957</v>
      </c>
      <c r="J658" s="6" t="s">
        <v>1367</v>
      </c>
      <c r="K658" s="63" t="s">
        <v>961</v>
      </c>
      <c r="L658" s="69" t="s">
        <v>950</v>
      </c>
      <c r="M658" s="70">
        <f t="shared" si="100"/>
        <v>103829</v>
      </c>
      <c r="N658" s="70">
        <f t="shared" si="101"/>
        <v>9439</v>
      </c>
      <c r="O658" s="70">
        <v>103829</v>
      </c>
      <c r="P658" s="65">
        <v>106680</v>
      </c>
      <c r="Q658" s="65">
        <f t="shared" si="102"/>
        <v>23469.599999999999</v>
      </c>
      <c r="R658" s="65">
        <f t="shared" si="103"/>
        <v>130149.6</v>
      </c>
      <c r="S658" s="272"/>
      <c r="T658" s="64">
        <v>33</v>
      </c>
      <c r="U658" s="270"/>
      <c r="V658" s="38">
        <v>133349</v>
      </c>
      <c r="W658" s="38">
        <f t="shared" si="104"/>
        <v>29336.78</v>
      </c>
      <c r="X658" s="38">
        <f t="shared" si="105"/>
        <v>162685.78</v>
      </c>
    </row>
    <row r="659" spans="1:24" ht="30" customHeight="1" x14ac:dyDescent="0.35">
      <c r="A659" s="56" t="s">
        <v>2877</v>
      </c>
      <c r="B659" s="2">
        <v>623</v>
      </c>
      <c r="C659" s="11">
        <v>10148152</v>
      </c>
      <c r="D659" s="3" t="s">
        <v>1339</v>
      </c>
      <c r="E659" s="59" t="s">
        <v>2167</v>
      </c>
      <c r="F659" s="14">
        <v>2</v>
      </c>
      <c r="G659" s="64" t="s">
        <v>0</v>
      </c>
      <c r="H659" s="5">
        <v>41518</v>
      </c>
      <c r="I659" s="4" t="s">
        <v>957</v>
      </c>
      <c r="J659" s="63" t="s">
        <v>1917</v>
      </c>
      <c r="K659" s="63" t="s">
        <v>961</v>
      </c>
      <c r="L659" s="69" t="s">
        <v>950</v>
      </c>
      <c r="M659" s="70">
        <f t="shared" si="100"/>
        <v>1966</v>
      </c>
      <c r="N659" s="70">
        <f t="shared" si="101"/>
        <v>983</v>
      </c>
      <c r="O659" s="70">
        <v>1966</v>
      </c>
      <c r="P659" s="65">
        <v>2020</v>
      </c>
      <c r="Q659" s="65">
        <f t="shared" si="102"/>
        <v>444.4</v>
      </c>
      <c r="R659" s="65">
        <f t="shared" si="103"/>
        <v>2464.4</v>
      </c>
      <c r="S659" s="272"/>
      <c r="T659" s="64">
        <v>33</v>
      </c>
      <c r="U659" s="270"/>
      <c r="V659" s="38">
        <v>2525</v>
      </c>
      <c r="W659" s="38">
        <f t="shared" si="104"/>
        <v>555.5</v>
      </c>
      <c r="X659" s="38">
        <f t="shared" si="105"/>
        <v>3080.5</v>
      </c>
    </row>
    <row r="660" spans="1:24" ht="30" customHeight="1" x14ac:dyDescent="0.35">
      <c r="A660" s="56" t="s">
        <v>2878</v>
      </c>
      <c r="B660" s="2">
        <v>624</v>
      </c>
      <c r="C660" s="11">
        <v>10148119</v>
      </c>
      <c r="D660" s="3" t="s">
        <v>1340</v>
      </c>
      <c r="E660" s="59" t="s">
        <v>2167</v>
      </c>
      <c r="F660" s="14">
        <v>24</v>
      </c>
      <c r="G660" s="64" t="s">
        <v>0</v>
      </c>
      <c r="H660" s="5">
        <v>41518</v>
      </c>
      <c r="I660" s="4" t="s">
        <v>957</v>
      </c>
      <c r="J660" s="63" t="s">
        <v>1917</v>
      </c>
      <c r="K660" s="63" t="s">
        <v>961</v>
      </c>
      <c r="L660" s="69" t="s">
        <v>950</v>
      </c>
      <c r="M660" s="70">
        <f t="shared" si="100"/>
        <v>86376</v>
      </c>
      <c r="N660" s="70">
        <f t="shared" si="101"/>
        <v>3599</v>
      </c>
      <c r="O660" s="70">
        <v>86376</v>
      </c>
      <c r="P660" s="65">
        <v>88750</v>
      </c>
      <c r="Q660" s="65">
        <f t="shared" si="102"/>
        <v>19525</v>
      </c>
      <c r="R660" s="65">
        <f t="shared" si="103"/>
        <v>108275</v>
      </c>
      <c r="S660" s="272"/>
      <c r="T660" s="64">
        <v>33</v>
      </c>
      <c r="U660" s="270"/>
      <c r="V660" s="38">
        <v>110934</v>
      </c>
      <c r="W660" s="38">
        <f t="shared" si="104"/>
        <v>24405.48</v>
      </c>
      <c r="X660" s="38">
        <f t="shared" si="105"/>
        <v>135339.48000000001</v>
      </c>
    </row>
    <row r="661" spans="1:24" ht="30" customHeight="1" x14ac:dyDescent="0.35">
      <c r="A661" s="56" t="s">
        <v>2879</v>
      </c>
      <c r="B661" s="2">
        <v>625</v>
      </c>
      <c r="C661" s="11">
        <v>10148105</v>
      </c>
      <c r="D661" s="3" t="s">
        <v>1341</v>
      </c>
      <c r="E661" s="59" t="s">
        <v>2167</v>
      </c>
      <c r="F661" s="14">
        <v>19</v>
      </c>
      <c r="G661" s="64" t="s">
        <v>0</v>
      </c>
      <c r="H661" s="5">
        <v>41518</v>
      </c>
      <c r="I661" s="4" t="s">
        <v>957</v>
      </c>
      <c r="J661" s="63" t="s">
        <v>1917</v>
      </c>
      <c r="K661" s="63" t="s">
        <v>961</v>
      </c>
      <c r="L661" s="69" t="s">
        <v>950</v>
      </c>
      <c r="M661" s="70">
        <f t="shared" si="100"/>
        <v>68381</v>
      </c>
      <c r="N661" s="70">
        <f t="shared" si="101"/>
        <v>3599</v>
      </c>
      <c r="O661" s="70">
        <v>68381</v>
      </c>
      <c r="P661" s="65">
        <v>70260</v>
      </c>
      <c r="Q661" s="65">
        <f t="shared" si="102"/>
        <v>15457.2</v>
      </c>
      <c r="R661" s="65">
        <f t="shared" si="103"/>
        <v>85717.2</v>
      </c>
      <c r="S661" s="272"/>
      <c r="T661" s="64">
        <v>33</v>
      </c>
      <c r="U661" s="270"/>
      <c r="V661" s="38">
        <v>87823</v>
      </c>
      <c r="W661" s="38">
        <f t="shared" si="104"/>
        <v>19321.060000000001</v>
      </c>
      <c r="X661" s="38">
        <f t="shared" si="105"/>
        <v>107144.06</v>
      </c>
    </row>
    <row r="662" spans="1:24" ht="45" customHeight="1" x14ac:dyDescent="0.35">
      <c r="A662" s="56" t="s">
        <v>2880</v>
      </c>
      <c r="B662" s="2">
        <v>626</v>
      </c>
      <c r="C662" s="11">
        <v>10131839</v>
      </c>
      <c r="D662" s="3" t="s">
        <v>67</v>
      </c>
      <c r="E662" s="59" t="s">
        <v>2167</v>
      </c>
      <c r="F662" s="14">
        <v>4</v>
      </c>
      <c r="G662" s="64" t="s">
        <v>0</v>
      </c>
      <c r="H662" s="5">
        <v>41518</v>
      </c>
      <c r="I662" s="4" t="s">
        <v>957</v>
      </c>
      <c r="J662" s="6" t="s">
        <v>1367</v>
      </c>
      <c r="K662" s="63" t="s">
        <v>961</v>
      </c>
      <c r="L662" s="69" t="s">
        <v>950</v>
      </c>
      <c r="M662" s="70">
        <f t="shared" si="100"/>
        <v>96780.34</v>
      </c>
      <c r="N662" s="70">
        <f t="shared" si="101"/>
        <v>24195.09</v>
      </c>
      <c r="O662" s="70">
        <v>96780.34</v>
      </c>
      <c r="P662" s="65">
        <v>99440</v>
      </c>
      <c r="Q662" s="65">
        <f t="shared" si="102"/>
        <v>21876.799999999999</v>
      </c>
      <c r="R662" s="65">
        <f t="shared" si="103"/>
        <v>121316.8</v>
      </c>
      <c r="S662" s="272"/>
      <c r="T662" s="64">
        <v>33</v>
      </c>
      <c r="U662" s="270"/>
      <c r="V662" s="38">
        <v>124297</v>
      </c>
      <c r="W662" s="38">
        <f t="shared" si="104"/>
        <v>27345.34</v>
      </c>
      <c r="X662" s="38">
        <f t="shared" si="105"/>
        <v>151642.34</v>
      </c>
    </row>
    <row r="663" spans="1:24" ht="30" customHeight="1" x14ac:dyDescent="0.35">
      <c r="A663" s="56" t="s">
        <v>2881</v>
      </c>
      <c r="B663" s="2">
        <v>627</v>
      </c>
      <c r="C663" s="11">
        <v>10148163</v>
      </c>
      <c r="D663" s="3" t="s">
        <v>1342</v>
      </c>
      <c r="E663" s="59" t="s">
        <v>2167</v>
      </c>
      <c r="F663" s="14">
        <v>6</v>
      </c>
      <c r="G663" s="64" t="s">
        <v>0</v>
      </c>
      <c r="H663" s="5">
        <v>41518</v>
      </c>
      <c r="I663" s="4" t="s">
        <v>957</v>
      </c>
      <c r="J663" s="63" t="s">
        <v>1917</v>
      </c>
      <c r="K663" s="63" t="s">
        <v>961</v>
      </c>
      <c r="L663" s="69" t="s">
        <v>950</v>
      </c>
      <c r="M663" s="70">
        <f t="shared" si="100"/>
        <v>63234</v>
      </c>
      <c r="N663" s="70">
        <f t="shared" si="101"/>
        <v>10539</v>
      </c>
      <c r="O663" s="70">
        <v>63234</v>
      </c>
      <c r="P663" s="65">
        <v>64970</v>
      </c>
      <c r="Q663" s="65">
        <f t="shared" si="102"/>
        <v>14293.4</v>
      </c>
      <c r="R663" s="65">
        <f t="shared" si="103"/>
        <v>79263.399999999994</v>
      </c>
      <c r="S663" s="272"/>
      <c r="T663" s="64">
        <v>33</v>
      </c>
      <c r="U663" s="270"/>
      <c r="V663" s="38">
        <v>81212</v>
      </c>
      <c r="W663" s="38">
        <f t="shared" si="104"/>
        <v>17866.64</v>
      </c>
      <c r="X663" s="38">
        <f t="shared" si="105"/>
        <v>99078.64</v>
      </c>
    </row>
    <row r="664" spans="1:24" ht="30" customHeight="1" x14ac:dyDescent="0.35">
      <c r="A664" s="56" t="s">
        <v>2882</v>
      </c>
      <c r="B664" s="2">
        <v>628</v>
      </c>
      <c r="C664" s="11">
        <v>10148162</v>
      </c>
      <c r="D664" s="3" t="s">
        <v>1349</v>
      </c>
      <c r="E664" s="59" t="s">
        <v>2167</v>
      </c>
      <c r="F664" s="14">
        <v>3</v>
      </c>
      <c r="G664" s="64" t="s">
        <v>0</v>
      </c>
      <c r="H664" s="5">
        <v>41518</v>
      </c>
      <c r="I664" s="4" t="s">
        <v>957</v>
      </c>
      <c r="J664" s="63" t="s">
        <v>1917</v>
      </c>
      <c r="K664" s="63" t="s">
        <v>961</v>
      </c>
      <c r="L664" s="69" t="s">
        <v>950</v>
      </c>
      <c r="M664" s="70">
        <f t="shared" si="100"/>
        <v>15810</v>
      </c>
      <c r="N664" s="70">
        <f t="shared" si="101"/>
        <v>5270</v>
      </c>
      <c r="O664" s="70">
        <v>15810</v>
      </c>
      <c r="P664" s="65">
        <v>16240</v>
      </c>
      <c r="Q664" s="65">
        <f t="shared" si="102"/>
        <v>3572.8</v>
      </c>
      <c r="R664" s="65">
        <f t="shared" si="103"/>
        <v>19812.8</v>
      </c>
      <c r="S664" s="272"/>
      <c r="T664" s="64">
        <v>33</v>
      </c>
      <c r="U664" s="270"/>
      <c r="V664" s="38">
        <v>20305</v>
      </c>
      <c r="W664" s="38">
        <f t="shared" si="104"/>
        <v>4467.1000000000004</v>
      </c>
      <c r="X664" s="38">
        <f t="shared" si="105"/>
        <v>24772.1</v>
      </c>
    </row>
    <row r="665" spans="1:24" ht="59.25" customHeight="1" x14ac:dyDescent="0.35">
      <c r="A665" s="56" t="s">
        <v>2883</v>
      </c>
      <c r="B665" s="2">
        <v>629</v>
      </c>
      <c r="C665" s="11">
        <v>102001628</v>
      </c>
      <c r="D665" s="3" t="s">
        <v>1352</v>
      </c>
      <c r="E665" s="59" t="s">
        <v>2167</v>
      </c>
      <c r="F665" s="14">
        <f>3-1</f>
        <v>2</v>
      </c>
      <c r="G665" s="64" t="s">
        <v>0</v>
      </c>
      <c r="H665" s="5">
        <v>41487</v>
      </c>
      <c r="I665" s="4" t="s">
        <v>957</v>
      </c>
      <c r="J665" s="6" t="s">
        <v>1369</v>
      </c>
      <c r="K665" s="63" t="s">
        <v>961</v>
      </c>
      <c r="L665" s="69" t="s">
        <v>950</v>
      </c>
      <c r="M665" s="70">
        <f t="shared" si="100"/>
        <v>128560</v>
      </c>
      <c r="N665" s="70">
        <f t="shared" si="101"/>
        <v>64280</v>
      </c>
      <c r="O665" s="70">
        <f>192840/3*2</f>
        <v>128560</v>
      </c>
      <c r="P665" s="65">
        <v>131780</v>
      </c>
      <c r="Q665" s="65">
        <f t="shared" si="102"/>
        <v>28991.599999999999</v>
      </c>
      <c r="R665" s="65">
        <f t="shared" si="103"/>
        <v>160771.6</v>
      </c>
      <c r="S665" s="272"/>
      <c r="T665" s="64">
        <v>33</v>
      </c>
      <c r="U665" s="270"/>
      <c r="V665" s="38">
        <v>164727</v>
      </c>
      <c r="W665" s="38">
        <f t="shared" si="104"/>
        <v>36239.94</v>
      </c>
      <c r="X665" s="38">
        <f t="shared" si="105"/>
        <v>200966.94</v>
      </c>
    </row>
    <row r="666" spans="1:24" ht="30" customHeight="1" x14ac:dyDescent="0.35">
      <c r="A666" s="56" t="s">
        <v>2884</v>
      </c>
      <c r="B666" s="2">
        <v>630</v>
      </c>
      <c r="C666" s="11">
        <v>10148145</v>
      </c>
      <c r="D666" s="3" t="s">
        <v>1357</v>
      </c>
      <c r="E666" s="59" t="s">
        <v>2167</v>
      </c>
      <c r="F666" s="14">
        <v>4</v>
      </c>
      <c r="G666" s="64" t="s">
        <v>0</v>
      </c>
      <c r="H666" s="5">
        <v>41518</v>
      </c>
      <c r="I666" s="4" t="s">
        <v>957</v>
      </c>
      <c r="J666" s="63" t="s">
        <v>1917</v>
      </c>
      <c r="K666" s="63" t="s">
        <v>961</v>
      </c>
      <c r="L666" s="69" t="s">
        <v>950</v>
      </c>
      <c r="M666" s="70">
        <f t="shared" si="100"/>
        <v>46380</v>
      </c>
      <c r="N666" s="70">
        <f t="shared" si="101"/>
        <v>11595</v>
      </c>
      <c r="O666" s="70">
        <v>46380</v>
      </c>
      <c r="P666" s="65">
        <v>47650</v>
      </c>
      <c r="Q666" s="65">
        <f t="shared" si="102"/>
        <v>10483</v>
      </c>
      <c r="R666" s="65">
        <f t="shared" si="103"/>
        <v>58133</v>
      </c>
      <c r="S666" s="272"/>
      <c r="T666" s="64">
        <v>33</v>
      </c>
      <c r="U666" s="270"/>
      <c r="V666" s="38">
        <v>59567</v>
      </c>
      <c r="W666" s="38">
        <f t="shared" si="104"/>
        <v>13104.74</v>
      </c>
      <c r="X666" s="38">
        <f t="shared" si="105"/>
        <v>72671.740000000005</v>
      </c>
    </row>
    <row r="667" spans="1:24" ht="30" customHeight="1" x14ac:dyDescent="0.35">
      <c r="A667" s="56" t="s">
        <v>4064</v>
      </c>
      <c r="B667" s="2">
        <v>631</v>
      </c>
      <c r="C667" s="77">
        <v>10019248</v>
      </c>
      <c r="D667" s="74" t="s">
        <v>4063</v>
      </c>
      <c r="E667" s="59" t="s">
        <v>2167</v>
      </c>
      <c r="F667" s="75">
        <v>2</v>
      </c>
      <c r="G667" s="64" t="s">
        <v>0</v>
      </c>
      <c r="H667" s="78">
        <v>41122</v>
      </c>
      <c r="I667" s="4" t="s">
        <v>957</v>
      </c>
      <c r="J667" s="63" t="s">
        <v>1917</v>
      </c>
      <c r="K667" s="63" t="s">
        <v>961</v>
      </c>
      <c r="L667" s="69" t="s">
        <v>950</v>
      </c>
      <c r="M667" s="70">
        <f t="shared" si="100"/>
        <v>3133.94</v>
      </c>
      <c r="N667" s="70">
        <f t="shared" si="101"/>
        <v>1566.97</v>
      </c>
      <c r="O667" s="70">
        <v>3133.94</v>
      </c>
      <c r="P667" s="65">
        <v>3210</v>
      </c>
      <c r="Q667" s="65">
        <f t="shared" si="102"/>
        <v>706.2</v>
      </c>
      <c r="R667" s="65">
        <f t="shared" si="103"/>
        <v>3916.2</v>
      </c>
      <c r="S667" s="272"/>
      <c r="T667" s="64">
        <v>33</v>
      </c>
      <c r="U667" s="270"/>
      <c r="V667" s="38">
        <v>4011</v>
      </c>
      <c r="W667" s="38">
        <f t="shared" si="104"/>
        <v>882.42</v>
      </c>
      <c r="X667" s="38">
        <f t="shared" si="105"/>
        <v>4893.42</v>
      </c>
    </row>
    <row r="668" spans="1:24" ht="30" customHeight="1" x14ac:dyDescent="0.35">
      <c r="A668" s="56" t="s">
        <v>4065</v>
      </c>
      <c r="B668" s="2">
        <v>632</v>
      </c>
      <c r="C668" s="77">
        <v>10019531</v>
      </c>
      <c r="D668" s="74" t="s">
        <v>571</v>
      </c>
      <c r="E668" s="59" t="s">
        <v>2167</v>
      </c>
      <c r="F668" s="75">
        <v>2</v>
      </c>
      <c r="G668" s="64" t="s">
        <v>0</v>
      </c>
      <c r="H668" s="78">
        <v>40179</v>
      </c>
      <c r="I668" s="4" t="s">
        <v>957</v>
      </c>
      <c r="J668" s="63" t="s">
        <v>4066</v>
      </c>
      <c r="K668" s="63" t="s">
        <v>961</v>
      </c>
      <c r="L668" s="69" t="s">
        <v>950</v>
      </c>
      <c r="M668" s="70">
        <v>63840</v>
      </c>
      <c r="N668" s="70">
        <v>31920</v>
      </c>
      <c r="O668" s="70">
        <v>63840</v>
      </c>
      <c r="P668" s="65">
        <v>75720</v>
      </c>
      <c r="Q668" s="65">
        <f t="shared" si="102"/>
        <v>16658.400000000001</v>
      </c>
      <c r="R668" s="65">
        <f t="shared" si="103"/>
        <v>92378.4</v>
      </c>
      <c r="S668" s="272"/>
      <c r="T668" s="64">
        <v>33</v>
      </c>
      <c r="U668" s="270"/>
      <c r="V668" s="38">
        <v>94645</v>
      </c>
      <c r="W668" s="38">
        <f t="shared" si="104"/>
        <v>20821.900000000001</v>
      </c>
      <c r="X668" s="38">
        <f t="shared" si="105"/>
        <v>115466.9</v>
      </c>
    </row>
    <row r="669" spans="1:24" ht="30" customHeight="1" x14ac:dyDescent="0.35">
      <c r="A669" s="56" t="s">
        <v>4067</v>
      </c>
      <c r="B669" s="2">
        <v>633</v>
      </c>
      <c r="C669" s="77">
        <v>10092284</v>
      </c>
      <c r="D669" s="74" t="s">
        <v>57</v>
      </c>
      <c r="E669" s="59" t="s">
        <v>2167</v>
      </c>
      <c r="F669" s="75">
        <v>3</v>
      </c>
      <c r="G669" s="64" t="s">
        <v>0</v>
      </c>
      <c r="H669" s="78">
        <v>40217</v>
      </c>
      <c r="I669" s="4" t="s">
        <v>957</v>
      </c>
      <c r="J669" s="63" t="s">
        <v>1917</v>
      </c>
      <c r="K669" s="63" t="s">
        <v>961</v>
      </c>
      <c r="L669" s="69" t="s">
        <v>950</v>
      </c>
      <c r="M669" s="70">
        <f>O669</f>
        <v>32890.61</v>
      </c>
      <c r="N669" s="70">
        <f>O669/F669</f>
        <v>10963.54</v>
      </c>
      <c r="O669" s="70">
        <v>32890.61</v>
      </c>
      <c r="P669" s="65">
        <v>38750</v>
      </c>
      <c r="Q669" s="65">
        <f t="shared" si="102"/>
        <v>8525</v>
      </c>
      <c r="R669" s="65">
        <f t="shared" si="103"/>
        <v>47275</v>
      </c>
      <c r="S669" s="272"/>
      <c r="T669" s="64">
        <v>33</v>
      </c>
      <c r="U669" s="270"/>
      <c r="V669" s="38">
        <v>48442</v>
      </c>
      <c r="W669" s="38">
        <f t="shared" si="104"/>
        <v>10657.24</v>
      </c>
      <c r="X669" s="38">
        <f t="shared" si="105"/>
        <v>59099.24</v>
      </c>
    </row>
    <row r="670" spans="1:24" ht="30" customHeight="1" x14ac:dyDescent="0.35">
      <c r="A670" s="56" t="s">
        <v>4072</v>
      </c>
      <c r="B670" s="2">
        <v>634</v>
      </c>
      <c r="C670" s="77">
        <v>10111935</v>
      </c>
      <c r="D670" s="74" t="s">
        <v>1120</v>
      </c>
      <c r="E670" s="59" t="s">
        <v>2167</v>
      </c>
      <c r="F670" s="75">
        <v>224</v>
      </c>
      <c r="G670" s="64" t="s">
        <v>0</v>
      </c>
      <c r="H670" s="78">
        <v>40909</v>
      </c>
      <c r="I670" s="4" t="s">
        <v>957</v>
      </c>
      <c r="J670" s="63" t="s">
        <v>4073</v>
      </c>
      <c r="K670" s="63" t="s">
        <v>961</v>
      </c>
      <c r="L670" s="69" t="s">
        <v>950</v>
      </c>
      <c r="M670" s="70">
        <f>O670</f>
        <v>1383220.3</v>
      </c>
      <c r="N670" s="70">
        <f>O670/F670</f>
        <v>6175.09</v>
      </c>
      <c r="O670" s="70">
        <v>1383220.3</v>
      </c>
      <c r="P670" s="65">
        <v>1421190</v>
      </c>
      <c r="Q670" s="65">
        <f t="shared" si="102"/>
        <v>312661.8</v>
      </c>
      <c r="R670" s="65">
        <f t="shared" si="103"/>
        <v>1733851.8</v>
      </c>
      <c r="S670" s="272"/>
      <c r="T670" s="64">
        <v>33</v>
      </c>
      <c r="U670" s="270"/>
      <c r="V670" s="38">
        <v>1776492</v>
      </c>
      <c r="W670" s="38">
        <f t="shared" si="104"/>
        <v>390828.24</v>
      </c>
      <c r="X670" s="38">
        <f t="shared" si="105"/>
        <v>2167320.2400000002</v>
      </c>
    </row>
    <row r="671" spans="1:24" ht="30" customHeight="1" x14ac:dyDescent="0.35">
      <c r="A671" s="56" t="s">
        <v>4075</v>
      </c>
      <c r="B671" s="2">
        <v>635</v>
      </c>
      <c r="C671" s="77">
        <v>10125703</v>
      </c>
      <c r="D671" s="74" t="s">
        <v>4061</v>
      </c>
      <c r="E671" s="59" t="s">
        <v>2167</v>
      </c>
      <c r="F671" s="75">
        <v>4</v>
      </c>
      <c r="G671" s="64" t="s">
        <v>0</v>
      </c>
      <c r="H671" s="78">
        <v>40840</v>
      </c>
      <c r="I671" s="4" t="s">
        <v>957</v>
      </c>
      <c r="J671" s="63" t="s">
        <v>1917</v>
      </c>
      <c r="K671" s="63" t="s">
        <v>961</v>
      </c>
      <c r="L671" s="69" t="s">
        <v>950</v>
      </c>
      <c r="M671" s="70">
        <v>99100</v>
      </c>
      <c r="N671" s="70">
        <f>O671/F671</f>
        <v>24775</v>
      </c>
      <c r="O671" s="70">
        <v>99100</v>
      </c>
      <c r="P671" s="65">
        <v>102590</v>
      </c>
      <c r="Q671" s="65">
        <f t="shared" si="102"/>
        <v>22569.8</v>
      </c>
      <c r="R671" s="65">
        <f t="shared" si="103"/>
        <v>125159.8</v>
      </c>
      <c r="S671" s="276"/>
      <c r="T671" s="64">
        <v>33</v>
      </c>
      <c r="U671" s="270"/>
      <c r="V671" s="38">
        <v>128239</v>
      </c>
      <c r="W671" s="38">
        <f t="shared" si="104"/>
        <v>28212.58</v>
      </c>
      <c r="X671" s="38">
        <f t="shared" si="105"/>
        <v>156451.57999999999</v>
      </c>
    </row>
    <row r="672" spans="1:24" ht="15" customHeight="1" x14ac:dyDescent="0.35">
      <c r="A672" s="56"/>
      <c r="B672" s="15"/>
      <c r="C672" s="11"/>
      <c r="D672" s="3"/>
      <c r="E672" s="59"/>
      <c r="F672" s="14"/>
      <c r="G672" s="64"/>
      <c r="H672" s="5"/>
      <c r="I672" s="4"/>
      <c r="J672" s="63"/>
      <c r="K672" s="63"/>
      <c r="L672" s="69"/>
      <c r="M672" s="70"/>
      <c r="N672" s="70"/>
      <c r="O672" s="71">
        <f>SUM(O538:O671)</f>
        <v>10611637.289999999</v>
      </c>
      <c r="P672" s="71">
        <f t="shared" ref="P672:R672" si="106">SUM(P538:P671)</f>
        <v>11077430</v>
      </c>
      <c r="Q672" s="71">
        <f t="shared" si="106"/>
        <v>2437034.6</v>
      </c>
      <c r="R672" s="71">
        <f t="shared" si="106"/>
        <v>13514464.6</v>
      </c>
      <c r="S672" s="72">
        <f>R672/100*10</f>
        <v>1351446.46</v>
      </c>
      <c r="T672" s="73">
        <v>33</v>
      </c>
      <c r="U672" s="271"/>
      <c r="V672" s="38"/>
      <c r="W672" s="38"/>
      <c r="X672" s="38"/>
    </row>
    <row r="673" spans="1:24" ht="22.5" customHeight="1" x14ac:dyDescent="0.35">
      <c r="A673" s="56" t="s">
        <v>2885</v>
      </c>
      <c r="B673" s="2">
        <v>636</v>
      </c>
      <c r="C673" s="77">
        <v>102002005</v>
      </c>
      <c r="D673" s="74" t="s">
        <v>400</v>
      </c>
      <c r="E673" s="74" t="s">
        <v>2185</v>
      </c>
      <c r="F673" s="75">
        <v>1</v>
      </c>
      <c r="G673" s="64" t="s">
        <v>0</v>
      </c>
      <c r="H673" s="61">
        <v>42217</v>
      </c>
      <c r="I673" s="61" t="s">
        <v>962</v>
      </c>
      <c r="J673" s="63" t="s">
        <v>1917</v>
      </c>
      <c r="K673" s="61" t="s">
        <v>961</v>
      </c>
      <c r="L673" s="69" t="s">
        <v>2093</v>
      </c>
      <c r="M673" s="70">
        <f t="shared" si="100"/>
        <v>10455.99</v>
      </c>
      <c r="N673" s="70">
        <f t="shared" ref="N673:N733" si="107">O673/F673</f>
        <v>10455.99</v>
      </c>
      <c r="O673" s="70">
        <v>10455.99</v>
      </c>
      <c r="P673" s="65">
        <v>6260</v>
      </c>
      <c r="Q673" s="65">
        <f t="shared" si="102"/>
        <v>1377.2</v>
      </c>
      <c r="R673" s="65">
        <f t="shared" si="103"/>
        <v>7637.2</v>
      </c>
      <c r="S673" s="267"/>
      <c r="T673" s="64">
        <v>34</v>
      </c>
      <c r="U673" s="277" t="s">
        <v>2267</v>
      </c>
      <c r="V673" s="38">
        <v>7186</v>
      </c>
      <c r="W673" s="38">
        <f t="shared" si="104"/>
        <v>1580.92</v>
      </c>
      <c r="X673" s="38">
        <f t="shared" si="105"/>
        <v>8766.92</v>
      </c>
    </row>
    <row r="674" spans="1:24" ht="30" customHeight="1" x14ac:dyDescent="0.35">
      <c r="A674" s="56" t="s">
        <v>2886</v>
      </c>
      <c r="B674" s="2">
        <v>637</v>
      </c>
      <c r="C674" s="77">
        <v>102002008</v>
      </c>
      <c r="D674" s="74" t="s">
        <v>401</v>
      </c>
      <c r="E674" s="74" t="s">
        <v>2185</v>
      </c>
      <c r="F674" s="75">
        <v>1</v>
      </c>
      <c r="G674" s="64" t="s">
        <v>0</v>
      </c>
      <c r="H674" s="61">
        <v>42824</v>
      </c>
      <c r="I674" s="61" t="s">
        <v>962</v>
      </c>
      <c r="J674" s="63" t="s">
        <v>1917</v>
      </c>
      <c r="K674" s="61" t="s">
        <v>961</v>
      </c>
      <c r="L674" s="69" t="s">
        <v>2093</v>
      </c>
      <c r="M674" s="70">
        <f t="shared" si="100"/>
        <v>9830.57</v>
      </c>
      <c r="N674" s="70">
        <f t="shared" si="107"/>
        <v>9830.57</v>
      </c>
      <c r="O674" s="70">
        <v>9830.57</v>
      </c>
      <c r="P674" s="65">
        <v>5440</v>
      </c>
      <c r="Q674" s="65">
        <f t="shared" si="102"/>
        <v>1196.8</v>
      </c>
      <c r="R674" s="65">
        <f t="shared" si="103"/>
        <v>6636.8</v>
      </c>
      <c r="S674" s="272"/>
      <c r="T674" s="64">
        <v>34</v>
      </c>
      <c r="U674" s="277"/>
      <c r="V674" s="38">
        <v>6242</v>
      </c>
      <c r="W674" s="38">
        <f t="shared" si="104"/>
        <v>1373.24</v>
      </c>
      <c r="X674" s="38">
        <f t="shared" si="105"/>
        <v>7615.24</v>
      </c>
    </row>
    <row r="675" spans="1:24" ht="30" customHeight="1" x14ac:dyDescent="0.35">
      <c r="A675" s="56" t="s">
        <v>2891</v>
      </c>
      <c r="B675" s="2">
        <v>638</v>
      </c>
      <c r="C675" s="77">
        <v>102002293</v>
      </c>
      <c r="D675" s="74" t="s">
        <v>407</v>
      </c>
      <c r="E675" s="74" t="s">
        <v>2185</v>
      </c>
      <c r="F675" s="75">
        <v>1</v>
      </c>
      <c r="G675" s="64" t="s">
        <v>0</v>
      </c>
      <c r="H675" s="101">
        <v>2010</v>
      </c>
      <c r="I675" s="61" t="s">
        <v>962</v>
      </c>
      <c r="J675" s="63" t="s">
        <v>1917</v>
      </c>
      <c r="K675" s="61" t="s">
        <v>961</v>
      </c>
      <c r="L675" s="69" t="s">
        <v>2093</v>
      </c>
      <c r="M675" s="70">
        <f t="shared" si="100"/>
        <v>5042.6899999999996</v>
      </c>
      <c r="N675" s="70">
        <f t="shared" si="107"/>
        <v>5042.6899999999996</v>
      </c>
      <c r="O675" s="70">
        <v>5042.6899999999996</v>
      </c>
      <c r="P675" s="65">
        <v>3610</v>
      </c>
      <c r="Q675" s="65">
        <f t="shared" si="102"/>
        <v>794.2</v>
      </c>
      <c r="R675" s="65">
        <f t="shared" si="103"/>
        <v>4404.2</v>
      </c>
      <c r="S675" s="272"/>
      <c r="T675" s="64">
        <v>34</v>
      </c>
      <c r="U675" s="277"/>
      <c r="V675" s="38">
        <v>4142</v>
      </c>
      <c r="W675" s="38">
        <f t="shared" si="104"/>
        <v>911.24</v>
      </c>
      <c r="X675" s="38">
        <f t="shared" si="105"/>
        <v>5053.24</v>
      </c>
    </row>
    <row r="676" spans="1:24" ht="45" customHeight="1" x14ac:dyDescent="0.35">
      <c r="A676" s="56" t="s">
        <v>2892</v>
      </c>
      <c r="B676" s="2">
        <v>639</v>
      </c>
      <c r="C676" s="77">
        <v>102002301</v>
      </c>
      <c r="D676" s="74" t="s">
        <v>409</v>
      </c>
      <c r="E676" s="74" t="s">
        <v>2185</v>
      </c>
      <c r="F676" s="75">
        <v>1</v>
      </c>
      <c r="G676" s="64" t="s">
        <v>0</v>
      </c>
      <c r="H676" s="61">
        <v>42004</v>
      </c>
      <c r="I676" s="61" t="s">
        <v>962</v>
      </c>
      <c r="J676" s="63" t="s">
        <v>1917</v>
      </c>
      <c r="K676" s="61" t="s">
        <v>961</v>
      </c>
      <c r="L676" s="69" t="s">
        <v>2093</v>
      </c>
      <c r="M676" s="70">
        <f t="shared" si="100"/>
        <v>7544.32</v>
      </c>
      <c r="N676" s="70">
        <f t="shared" si="107"/>
        <v>7544.32</v>
      </c>
      <c r="O676" s="70">
        <v>7544.32</v>
      </c>
      <c r="P676" s="65">
        <v>4810</v>
      </c>
      <c r="Q676" s="65">
        <f t="shared" si="102"/>
        <v>1058.2</v>
      </c>
      <c r="R676" s="65">
        <f t="shared" si="103"/>
        <v>5868.2</v>
      </c>
      <c r="S676" s="272"/>
      <c r="T676" s="64">
        <v>34</v>
      </c>
      <c r="U676" s="277"/>
      <c r="V676" s="38">
        <v>5527</v>
      </c>
      <c r="W676" s="38">
        <f t="shared" si="104"/>
        <v>1215.94</v>
      </c>
      <c r="X676" s="38">
        <f t="shared" si="105"/>
        <v>6742.94</v>
      </c>
    </row>
    <row r="677" spans="1:24" ht="30" customHeight="1" x14ac:dyDescent="0.35">
      <c r="A677" s="56" t="s">
        <v>2893</v>
      </c>
      <c r="B677" s="2">
        <v>640</v>
      </c>
      <c r="C677" s="77">
        <v>102002304</v>
      </c>
      <c r="D677" s="74" t="s">
        <v>410</v>
      </c>
      <c r="E677" s="74" t="s">
        <v>2185</v>
      </c>
      <c r="F677" s="75">
        <v>1</v>
      </c>
      <c r="G677" s="64" t="s">
        <v>0</v>
      </c>
      <c r="H677" s="101">
        <v>2010</v>
      </c>
      <c r="I677" s="61" t="s">
        <v>962</v>
      </c>
      <c r="J677" s="63" t="s">
        <v>1917</v>
      </c>
      <c r="K677" s="61" t="s">
        <v>961</v>
      </c>
      <c r="L677" s="69" t="s">
        <v>2093</v>
      </c>
      <c r="M677" s="70">
        <f t="shared" si="100"/>
        <v>11235.84</v>
      </c>
      <c r="N677" s="70">
        <f t="shared" si="107"/>
        <v>11235.84</v>
      </c>
      <c r="O677" s="70">
        <v>11235.84</v>
      </c>
      <c r="P677" s="65">
        <v>8040</v>
      </c>
      <c r="Q677" s="65">
        <f t="shared" si="102"/>
        <v>1768.8</v>
      </c>
      <c r="R677" s="65">
        <f t="shared" si="103"/>
        <v>9808.7999999999993</v>
      </c>
      <c r="S677" s="272"/>
      <c r="T677" s="64">
        <v>34</v>
      </c>
      <c r="U677" s="277"/>
      <c r="V677" s="38">
        <v>9230</v>
      </c>
      <c r="W677" s="38">
        <f t="shared" si="104"/>
        <v>2030.6</v>
      </c>
      <c r="X677" s="38">
        <f t="shared" si="105"/>
        <v>11260.6</v>
      </c>
    </row>
    <row r="678" spans="1:24" ht="30" customHeight="1" x14ac:dyDescent="0.35">
      <c r="A678" s="56" t="s">
        <v>2901</v>
      </c>
      <c r="B678" s="2">
        <v>641</v>
      </c>
      <c r="C678" s="77">
        <v>102002007</v>
      </c>
      <c r="D678" s="74" t="s">
        <v>429</v>
      </c>
      <c r="E678" s="74" t="s">
        <v>2185</v>
      </c>
      <c r="F678" s="75">
        <v>2</v>
      </c>
      <c r="G678" s="64" t="s">
        <v>0</v>
      </c>
      <c r="H678" s="61">
        <v>41974</v>
      </c>
      <c r="I678" s="61" t="s">
        <v>962</v>
      </c>
      <c r="J678" s="63" t="s">
        <v>1917</v>
      </c>
      <c r="K678" s="61" t="s">
        <v>961</v>
      </c>
      <c r="L678" s="69" t="s">
        <v>2093</v>
      </c>
      <c r="M678" s="70">
        <f t="shared" si="100"/>
        <v>16508.25</v>
      </c>
      <c r="N678" s="70">
        <f t="shared" si="107"/>
        <v>8254.1299999999992</v>
      </c>
      <c r="O678" s="70">
        <v>16508.25</v>
      </c>
      <c r="P678" s="65">
        <v>10530</v>
      </c>
      <c r="Q678" s="65">
        <f t="shared" si="102"/>
        <v>2316.6</v>
      </c>
      <c r="R678" s="65">
        <f t="shared" si="103"/>
        <v>12846.6</v>
      </c>
      <c r="S678" s="272"/>
      <c r="T678" s="64">
        <v>34</v>
      </c>
      <c r="U678" s="277"/>
      <c r="V678" s="38">
        <v>12094</v>
      </c>
      <c r="W678" s="38">
        <f t="shared" si="104"/>
        <v>2660.68</v>
      </c>
      <c r="X678" s="38">
        <f t="shared" si="105"/>
        <v>14754.68</v>
      </c>
    </row>
    <row r="679" spans="1:24" ht="30" customHeight="1" x14ac:dyDescent="0.35">
      <c r="A679" s="56" t="s">
        <v>2902</v>
      </c>
      <c r="B679" s="2">
        <v>642</v>
      </c>
      <c r="C679" s="77">
        <v>102002295</v>
      </c>
      <c r="D679" s="74" t="s">
        <v>432</v>
      </c>
      <c r="E679" s="74" t="s">
        <v>2185</v>
      </c>
      <c r="F679" s="75">
        <v>2</v>
      </c>
      <c r="G679" s="64" t="s">
        <v>0</v>
      </c>
      <c r="H679" s="101" t="s">
        <v>2145</v>
      </c>
      <c r="I679" s="61" t="s">
        <v>962</v>
      </c>
      <c r="J679" s="63" t="s">
        <v>1917</v>
      </c>
      <c r="K679" s="61" t="s">
        <v>961</v>
      </c>
      <c r="L679" s="69" t="s">
        <v>2093</v>
      </c>
      <c r="M679" s="70">
        <f t="shared" si="100"/>
        <v>8440.74</v>
      </c>
      <c r="N679" s="70">
        <f t="shared" si="107"/>
        <v>4220.37</v>
      </c>
      <c r="O679" s="70">
        <v>8440.74</v>
      </c>
      <c r="P679" s="65">
        <v>6040</v>
      </c>
      <c r="Q679" s="65">
        <f t="shared" si="102"/>
        <v>1328.8</v>
      </c>
      <c r="R679" s="65">
        <f t="shared" si="103"/>
        <v>7368.8</v>
      </c>
      <c r="S679" s="272"/>
      <c r="T679" s="64">
        <v>34</v>
      </c>
      <c r="U679" s="277"/>
      <c r="V679" s="38">
        <v>6934</v>
      </c>
      <c r="W679" s="38">
        <f t="shared" si="104"/>
        <v>1525.48</v>
      </c>
      <c r="X679" s="38">
        <f t="shared" si="105"/>
        <v>8459.48</v>
      </c>
    </row>
    <row r="680" spans="1:24" ht="30" customHeight="1" x14ac:dyDescent="0.35">
      <c r="A680" s="56" t="s">
        <v>2905</v>
      </c>
      <c r="B680" s="2">
        <v>643</v>
      </c>
      <c r="C680" s="77">
        <v>102002333</v>
      </c>
      <c r="D680" s="74" t="s">
        <v>437</v>
      </c>
      <c r="E680" s="74" t="s">
        <v>2185</v>
      </c>
      <c r="F680" s="75">
        <v>2</v>
      </c>
      <c r="G680" s="64" t="s">
        <v>0</v>
      </c>
      <c r="H680" s="101" t="s">
        <v>2145</v>
      </c>
      <c r="I680" s="61" t="s">
        <v>962</v>
      </c>
      <c r="J680" s="63" t="s">
        <v>1917</v>
      </c>
      <c r="K680" s="61" t="s">
        <v>961</v>
      </c>
      <c r="L680" s="69" t="s">
        <v>2093</v>
      </c>
      <c r="M680" s="70">
        <f t="shared" si="100"/>
        <v>24157.51</v>
      </c>
      <c r="N680" s="70">
        <f t="shared" si="107"/>
        <v>12078.76</v>
      </c>
      <c r="O680" s="70">
        <v>24157.51</v>
      </c>
      <c r="P680" s="65">
        <v>17280</v>
      </c>
      <c r="Q680" s="65">
        <f t="shared" si="102"/>
        <v>3801.6</v>
      </c>
      <c r="R680" s="65">
        <f t="shared" si="103"/>
        <v>21081.599999999999</v>
      </c>
      <c r="S680" s="272"/>
      <c r="T680" s="64">
        <v>34</v>
      </c>
      <c r="U680" s="277"/>
      <c r="V680" s="38">
        <v>19845</v>
      </c>
      <c r="W680" s="38">
        <f t="shared" si="104"/>
        <v>4365.8999999999996</v>
      </c>
      <c r="X680" s="38">
        <f t="shared" si="105"/>
        <v>24210.9</v>
      </c>
    </row>
    <row r="681" spans="1:24" ht="30" customHeight="1" x14ac:dyDescent="0.35">
      <c r="A681" s="56" t="s">
        <v>2909</v>
      </c>
      <c r="B681" s="2">
        <v>644</v>
      </c>
      <c r="C681" s="77">
        <v>102002297</v>
      </c>
      <c r="D681" s="74" t="s">
        <v>444</v>
      </c>
      <c r="E681" s="74" t="s">
        <v>2185</v>
      </c>
      <c r="F681" s="75">
        <v>3</v>
      </c>
      <c r="G681" s="64" t="s">
        <v>0</v>
      </c>
      <c r="H681" s="61">
        <v>42824</v>
      </c>
      <c r="I681" s="61" t="s">
        <v>962</v>
      </c>
      <c r="J681" s="63" t="s">
        <v>1917</v>
      </c>
      <c r="K681" s="61" t="s">
        <v>961</v>
      </c>
      <c r="L681" s="69" t="s">
        <v>2093</v>
      </c>
      <c r="M681" s="70">
        <f t="shared" si="100"/>
        <v>32623.7</v>
      </c>
      <c r="N681" s="70">
        <f t="shared" si="107"/>
        <v>10874.57</v>
      </c>
      <c r="O681" s="70">
        <v>32623.7</v>
      </c>
      <c r="P681" s="65">
        <v>18040</v>
      </c>
      <c r="Q681" s="65">
        <f t="shared" si="102"/>
        <v>3968.8</v>
      </c>
      <c r="R681" s="65">
        <f t="shared" si="103"/>
        <v>22008.799999999999</v>
      </c>
      <c r="S681" s="272"/>
      <c r="T681" s="64">
        <v>34</v>
      </c>
      <c r="U681" s="277"/>
      <c r="V681" s="38">
        <v>20713</v>
      </c>
      <c r="W681" s="38">
        <f t="shared" si="104"/>
        <v>4556.8599999999997</v>
      </c>
      <c r="X681" s="38">
        <f t="shared" si="105"/>
        <v>25269.86</v>
      </c>
    </row>
    <row r="682" spans="1:24" ht="36" customHeight="1" x14ac:dyDescent="0.35">
      <c r="A682" s="56" t="s">
        <v>2914</v>
      </c>
      <c r="B682" s="2">
        <v>645</v>
      </c>
      <c r="C682" s="77">
        <v>102002010</v>
      </c>
      <c r="D682" s="74" t="s">
        <v>455</v>
      </c>
      <c r="E682" s="74" t="s">
        <v>2185</v>
      </c>
      <c r="F682" s="75">
        <v>5</v>
      </c>
      <c r="G682" s="64" t="s">
        <v>0</v>
      </c>
      <c r="H682" s="61">
        <v>42824</v>
      </c>
      <c r="I682" s="61" t="s">
        <v>962</v>
      </c>
      <c r="J682" s="63" t="s">
        <v>1917</v>
      </c>
      <c r="K682" s="61" t="s">
        <v>961</v>
      </c>
      <c r="L682" s="69" t="s">
        <v>2093</v>
      </c>
      <c r="M682" s="70">
        <f t="shared" si="100"/>
        <v>33416.629999999997</v>
      </c>
      <c r="N682" s="70">
        <f t="shared" si="107"/>
        <v>6683.33</v>
      </c>
      <c r="O682" s="70">
        <v>33416.629999999997</v>
      </c>
      <c r="P682" s="65">
        <v>18480</v>
      </c>
      <c r="Q682" s="65">
        <f t="shared" si="102"/>
        <v>4065.6</v>
      </c>
      <c r="R682" s="65">
        <f t="shared" si="103"/>
        <v>22545.599999999999</v>
      </c>
      <c r="S682" s="272"/>
      <c r="T682" s="64">
        <v>34</v>
      </c>
      <c r="U682" s="277"/>
      <c r="V682" s="38">
        <v>21217</v>
      </c>
      <c r="W682" s="38">
        <f t="shared" si="104"/>
        <v>4667.74</v>
      </c>
      <c r="X682" s="38">
        <f t="shared" si="105"/>
        <v>25884.74</v>
      </c>
    </row>
    <row r="683" spans="1:24" ht="39" customHeight="1" x14ac:dyDescent="0.35">
      <c r="A683" s="56" t="s">
        <v>2919</v>
      </c>
      <c r="B683" s="2">
        <v>646</v>
      </c>
      <c r="C683" s="77">
        <v>102002299</v>
      </c>
      <c r="D683" s="74" t="s">
        <v>467</v>
      </c>
      <c r="E683" s="74" t="s">
        <v>2185</v>
      </c>
      <c r="F683" s="75">
        <v>7</v>
      </c>
      <c r="G683" s="64" t="s">
        <v>0</v>
      </c>
      <c r="H683" s="101" t="s">
        <v>494</v>
      </c>
      <c r="I683" s="61" t="s">
        <v>962</v>
      </c>
      <c r="J683" s="63" t="s">
        <v>1917</v>
      </c>
      <c r="K683" s="61" t="s">
        <v>961</v>
      </c>
      <c r="L683" s="69" t="s">
        <v>2093</v>
      </c>
      <c r="M683" s="70">
        <f t="shared" si="100"/>
        <v>36697.81</v>
      </c>
      <c r="N683" s="70">
        <f t="shared" si="107"/>
        <v>5242.54</v>
      </c>
      <c r="O683" s="70">
        <v>36697.81</v>
      </c>
      <c r="P683" s="65">
        <v>23420</v>
      </c>
      <c r="Q683" s="65">
        <f t="shared" si="102"/>
        <v>5152.3999999999996</v>
      </c>
      <c r="R683" s="65">
        <f t="shared" si="103"/>
        <v>28572.400000000001</v>
      </c>
      <c r="S683" s="272"/>
      <c r="T683" s="64">
        <v>34</v>
      </c>
      <c r="U683" s="277"/>
      <c r="V683" s="38">
        <v>26885</v>
      </c>
      <c r="W683" s="38">
        <f t="shared" si="104"/>
        <v>5914.7</v>
      </c>
      <c r="X683" s="38">
        <f t="shared" si="105"/>
        <v>32799.699999999997</v>
      </c>
    </row>
    <row r="684" spans="1:24" ht="32.25" customHeight="1" x14ac:dyDescent="0.35">
      <c r="A684" s="56" t="s">
        <v>2920</v>
      </c>
      <c r="B684" s="2">
        <v>647</v>
      </c>
      <c r="C684" s="77">
        <v>102002317</v>
      </c>
      <c r="D684" s="74" t="s">
        <v>471</v>
      </c>
      <c r="E684" s="74" t="s">
        <v>2185</v>
      </c>
      <c r="F684" s="75">
        <v>9</v>
      </c>
      <c r="G684" s="64" t="s">
        <v>0</v>
      </c>
      <c r="H684" s="61">
        <v>42734</v>
      </c>
      <c r="I684" s="61" t="s">
        <v>962</v>
      </c>
      <c r="J684" s="63" t="s">
        <v>1917</v>
      </c>
      <c r="K684" s="61" t="s">
        <v>961</v>
      </c>
      <c r="L684" s="69" t="s">
        <v>2093</v>
      </c>
      <c r="M684" s="70">
        <f t="shared" si="100"/>
        <v>65626.06</v>
      </c>
      <c r="N684" s="70">
        <f t="shared" si="107"/>
        <v>7291.78</v>
      </c>
      <c r="O684" s="70">
        <v>65626.06</v>
      </c>
      <c r="P684" s="65">
        <v>36820</v>
      </c>
      <c r="Q684" s="65">
        <f t="shared" si="102"/>
        <v>8100.4</v>
      </c>
      <c r="R684" s="65">
        <f t="shared" si="103"/>
        <v>44920.4</v>
      </c>
      <c r="S684" s="272"/>
      <c r="T684" s="64">
        <v>34</v>
      </c>
      <c r="U684" s="277"/>
      <c r="V684" s="38">
        <v>42274</v>
      </c>
      <c r="W684" s="38">
        <f t="shared" si="104"/>
        <v>9300.2800000000007</v>
      </c>
      <c r="X684" s="38">
        <f t="shared" si="105"/>
        <v>51574.28</v>
      </c>
    </row>
    <row r="685" spans="1:24" ht="56.25" customHeight="1" x14ac:dyDescent="0.35">
      <c r="A685" s="56" t="s">
        <v>2921</v>
      </c>
      <c r="B685" s="2">
        <v>648</v>
      </c>
      <c r="C685" s="77">
        <v>102002324</v>
      </c>
      <c r="D685" s="74" t="s">
        <v>479</v>
      </c>
      <c r="E685" s="74" t="s">
        <v>2185</v>
      </c>
      <c r="F685" s="75">
        <v>21</v>
      </c>
      <c r="G685" s="64" t="s">
        <v>0</v>
      </c>
      <c r="H685" s="61">
        <v>42734</v>
      </c>
      <c r="I685" s="61" t="s">
        <v>962</v>
      </c>
      <c r="J685" s="63" t="s">
        <v>1917</v>
      </c>
      <c r="K685" s="61" t="s">
        <v>961</v>
      </c>
      <c r="L685" s="69" t="s">
        <v>2093</v>
      </c>
      <c r="M685" s="70">
        <f t="shared" si="100"/>
        <v>188984.52</v>
      </c>
      <c r="N685" s="70">
        <f t="shared" si="107"/>
        <v>8999.26</v>
      </c>
      <c r="O685" s="70">
        <v>188984.52</v>
      </c>
      <c r="P685" s="65">
        <v>106030</v>
      </c>
      <c r="Q685" s="65">
        <f t="shared" si="102"/>
        <v>23326.6</v>
      </c>
      <c r="R685" s="65">
        <f t="shared" si="103"/>
        <v>129356.6</v>
      </c>
      <c r="S685" s="272"/>
      <c r="T685" s="64">
        <v>34</v>
      </c>
      <c r="U685" s="277"/>
      <c r="V685" s="38">
        <v>121736</v>
      </c>
      <c r="W685" s="38">
        <f t="shared" si="104"/>
        <v>26781.919999999998</v>
      </c>
      <c r="X685" s="38">
        <f t="shared" si="105"/>
        <v>148517.92000000001</v>
      </c>
    </row>
    <row r="686" spans="1:24" ht="51.75" customHeight="1" x14ac:dyDescent="0.35">
      <c r="A686" s="56" t="s">
        <v>2922</v>
      </c>
      <c r="B686" s="2">
        <v>649</v>
      </c>
      <c r="C686" s="77">
        <v>102002311</v>
      </c>
      <c r="D686" s="74" t="s">
        <v>480</v>
      </c>
      <c r="E686" s="74" t="s">
        <v>2185</v>
      </c>
      <c r="F686" s="75">
        <v>22</v>
      </c>
      <c r="G686" s="64" t="s">
        <v>0</v>
      </c>
      <c r="H686" s="61">
        <v>42734</v>
      </c>
      <c r="I686" s="61" t="s">
        <v>962</v>
      </c>
      <c r="J686" s="63" t="s">
        <v>1917</v>
      </c>
      <c r="K686" s="61" t="s">
        <v>961</v>
      </c>
      <c r="L686" s="69" t="s">
        <v>2093</v>
      </c>
      <c r="M686" s="70">
        <f t="shared" si="100"/>
        <v>92711.96</v>
      </c>
      <c r="N686" s="70">
        <f t="shared" si="107"/>
        <v>4214.18</v>
      </c>
      <c r="O686" s="70">
        <v>92711.96</v>
      </c>
      <c r="P686" s="65">
        <v>52020</v>
      </c>
      <c r="Q686" s="65">
        <f t="shared" si="102"/>
        <v>11444.4</v>
      </c>
      <c r="R686" s="65">
        <f t="shared" si="103"/>
        <v>63464.4</v>
      </c>
      <c r="S686" s="272"/>
      <c r="T686" s="64">
        <v>34</v>
      </c>
      <c r="U686" s="277"/>
      <c r="V686" s="38">
        <v>59721</v>
      </c>
      <c r="W686" s="38">
        <f t="shared" si="104"/>
        <v>13138.62</v>
      </c>
      <c r="X686" s="38">
        <f t="shared" si="105"/>
        <v>72859.62</v>
      </c>
    </row>
    <row r="687" spans="1:24" ht="44.25" customHeight="1" x14ac:dyDescent="0.35">
      <c r="A687" s="56" t="s">
        <v>2923</v>
      </c>
      <c r="B687" s="2">
        <v>650</v>
      </c>
      <c r="C687" s="77">
        <v>102002331</v>
      </c>
      <c r="D687" s="74" t="s">
        <v>482</v>
      </c>
      <c r="E687" s="74" t="s">
        <v>2185</v>
      </c>
      <c r="F687" s="75">
        <v>24</v>
      </c>
      <c r="G687" s="64" t="s">
        <v>0</v>
      </c>
      <c r="H687" s="101" t="s">
        <v>2145</v>
      </c>
      <c r="I687" s="61" t="s">
        <v>962</v>
      </c>
      <c r="J687" s="63" t="s">
        <v>1917</v>
      </c>
      <c r="K687" s="61" t="s">
        <v>961</v>
      </c>
      <c r="L687" s="69" t="s">
        <v>2093</v>
      </c>
      <c r="M687" s="70">
        <f t="shared" si="100"/>
        <v>366893.27</v>
      </c>
      <c r="N687" s="70">
        <f t="shared" si="107"/>
        <v>15287.22</v>
      </c>
      <c r="O687" s="70">
        <v>366893.27</v>
      </c>
      <c r="P687" s="65">
        <v>262520</v>
      </c>
      <c r="Q687" s="65">
        <f t="shared" si="102"/>
        <v>57754.400000000001</v>
      </c>
      <c r="R687" s="65">
        <f t="shared" si="103"/>
        <v>320274.40000000002</v>
      </c>
      <c r="S687" s="272"/>
      <c r="T687" s="64">
        <v>34</v>
      </c>
      <c r="U687" s="277"/>
      <c r="V687" s="38">
        <v>301395</v>
      </c>
      <c r="W687" s="38">
        <f t="shared" si="104"/>
        <v>66306.899999999994</v>
      </c>
      <c r="X687" s="38">
        <f t="shared" si="105"/>
        <v>367701.9</v>
      </c>
    </row>
    <row r="688" spans="1:24" ht="40.5" customHeight="1" x14ac:dyDescent="0.35">
      <c r="A688" s="56" t="s">
        <v>2925</v>
      </c>
      <c r="B688" s="2">
        <v>651</v>
      </c>
      <c r="C688" s="77">
        <v>10145283</v>
      </c>
      <c r="D688" s="74" t="s">
        <v>219</v>
      </c>
      <c r="E688" s="74" t="s">
        <v>686</v>
      </c>
      <c r="F688" s="75">
        <v>1</v>
      </c>
      <c r="G688" s="64" t="s">
        <v>0</v>
      </c>
      <c r="H688" s="101" t="s">
        <v>2145</v>
      </c>
      <c r="I688" s="107" t="s">
        <v>976</v>
      </c>
      <c r="J688" s="63" t="s">
        <v>1917</v>
      </c>
      <c r="K688" s="88" t="s">
        <v>961</v>
      </c>
      <c r="L688" s="61" t="s">
        <v>845</v>
      </c>
      <c r="M688" s="65">
        <f t="shared" si="100"/>
        <v>41750</v>
      </c>
      <c r="N688" s="65">
        <f t="shared" si="107"/>
        <v>41750</v>
      </c>
      <c r="O688" s="65">
        <v>41750</v>
      </c>
      <c r="P688" s="65">
        <v>29870</v>
      </c>
      <c r="Q688" s="65">
        <f t="shared" si="102"/>
        <v>6571.4</v>
      </c>
      <c r="R688" s="65">
        <f t="shared" si="103"/>
        <v>36441.4</v>
      </c>
      <c r="S688" s="272"/>
      <c r="T688" s="64">
        <v>34</v>
      </c>
      <c r="U688" s="277"/>
      <c r="V688" s="38">
        <v>34297</v>
      </c>
      <c r="W688" s="38">
        <f t="shared" si="104"/>
        <v>7545.34</v>
      </c>
      <c r="X688" s="38">
        <f t="shared" si="105"/>
        <v>41842.339999999997</v>
      </c>
    </row>
    <row r="689" spans="1:24" ht="30" customHeight="1" x14ac:dyDescent="0.35">
      <c r="A689" s="56" t="s">
        <v>2926</v>
      </c>
      <c r="B689" s="2">
        <v>652</v>
      </c>
      <c r="C689" s="77">
        <v>10145214</v>
      </c>
      <c r="D689" s="74" t="s">
        <v>258</v>
      </c>
      <c r="E689" s="74" t="s">
        <v>686</v>
      </c>
      <c r="F689" s="75">
        <v>1</v>
      </c>
      <c r="G689" s="64" t="s">
        <v>0</v>
      </c>
      <c r="H689" s="101" t="s">
        <v>2145</v>
      </c>
      <c r="I689" s="107" t="s">
        <v>976</v>
      </c>
      <c r="J689" s="63" t="s">
        <v>1917</v>
      </c>
      <c r="K689" s="88" t="s">
        <v>961</v>
      </c>
      <c r="L689" s="61" t="s">
        <v>845</v>
      </c>
      <c r="M689" s="65">
        <f t="shared" si="100"/>
        <v>22300</v>
      </c>
      <c r="N689" s="65">
        <f t="shared" si="107"/>
        <v>22300</v>
      </c>
      <c r="O689" s="65">
        <v>22300</v>
      </c>
      <c r="P689" s="65">
        <v>15960</v>
      </c>
      <c r="Q689" s="65">
        <f t="shared" si="102"/>
        <v>3511.2</v>
      </c>
      <c r="R689" s="65">
        <f t="shared" si="103"/>
        <v>19471.2</v>
      </c>
      <c r="S689" s="272"/>
      <c r="T689" s="64">
        <v>34</v>
      </c>
      <c r="U689" s="277"/>
      <c r="V689" s="38">
        <v>18319</v>
      </c>
      <c r="W689" s="38">
        <f t="shared" si="104"/>
        <v>4030.18</v>
      </c>
      <c r="X689" s="38">
        <f t="shared" si="105"/>
        <v>22349.18</v>
      </c>
    </row>
    <row r="690" spans="1:24" ht="27.75" customHeight="1" x14ac:dyDescent="0.35">
      <c r="A690" s="56" t="s">
        <v>2927</v>
      </c>
      <c r="B690" s="2">
        <v>653</v>
      </c>
      <c r="C690" s="77">
        <v>10145236</v>
      </c>
      <c r="D690" s="74" t="s">
        <v>259</v>
      </c>
      <c r="E690" s="74" t="s">
        <v>686</v>
      </c>
      <c r="F690" s="75">
        <v>1</v>
      </c>
      <c r="G690" s="64" t="s">
        <v>0</v>
      </c>
      <c r="H690" s="101" t="s">
        <v>2145</v>
      </c>
      <c r="I690" s="107" t="s">
        <v>976</v>
      </c>
      <c r="J690" s="63" t="s">
        <v>1917</v>
      </c>
      <c r="K690" s="88" t="s">
        <v>961</v>
      </c>
      <c r="L690" s="61" t="s">
        <v>845</v>
      </c>
      <c r="M690" s="65">
        <f t="shared" si="100"/>
        <v>76100</v>
      </c>
      <c r="N690" s="65">
        <f t="shared" si="107"/>
        <v>76100</v>
      </c>
      <c r="O690" s="65">
        <v>76100</v>
      </c>
      <c r="P690" s="65">
        <v>54450</v>
      </c>
      <c r="Q690" s="65">
        <f t="shared" si="102"/>
        <v>11979</v>
      </c>
      <c r="R690" s="65">
        <f t="shared" si="103"/>
        <v>66429</v>
      </c>
      <c r="S690" s="272"/>
      <c r="T690" s="64">
        <v>34</v>
      </c>
      <c r="U690" s="277"/>
      <c r="V690" s="38">
        <v>62515</v>
      </c>
      <c r="W690" s="38">
        <f t="shared" si="104"/>
        <v>13753.3</v>
      </c>
      <c r="X690" s="38">
        <f t="shared" si="105"/>
        <v>76268.3</v>
      </c>
    </row>
    <row r="691" spans="1:24" ht="42" customHeight="1" x14ac:dyDescent="0.35">
      <c r="A691" s="56" t="s">
        <v>2928</v>
      </c>
      <c r="B691" s="2">
        <v>654</v>
      </c>
      <c r="C691" s="77">
        <v>10145246</v>
      </c>
      <c r="D691" s="74" t="s">
        <v>260</v>
      </c>
      <c r="E691" s="74" t="s">
        <v>686</v>
      </c>
      <c r="F691" s="75">
        <v>1</v>
      </c>
      <c r="G691" s="64" t="s">
        <v>0</v>
      </c>
      <c r="H691" s="101" t="s">
        <v>2145</v>
      </c>
      <c r="I691" s="107" t="s">
        <v>976</v>
      </c>
      <c r="J691" s="63" t="s">
        <v>1917</v>
      </c>
      <c r="K691" s="88" t="s">
        <v>961</v>
      </c>
      <c r="L691" s="61" t="s">
        <v>845</v>
      </c>
      <c r="M691" s="65">
        <f t="shared" si="100"/>
        <v>28500</v>
      </c>
      <c r="N691" s="65">
        <f t="shared" si="107"/>
        <v>28500</v>
      </c>
      <c r="O691" s="65">
        <v>28500</v>
      </c>
      <c r="P691" s="65">
        <v>20390</v>
      </c>
      <c r="Q691" s="65">
        <f t="shared" si="102"/>
        <v>4485.8</v>
      </c>
      <c r="R691" s="65">
        <f t="shared" si="103"/>
        <v>24875.8</v>
      </c>
      <c r="S691" s="272"/>
      <c r="T691" s="64">
        <v>34</v>
      </c>
      <c r="U691" s="277"/>
      <c r="V691" s="38">
        <v>23412</v>
      </c>
      <c r="W691" s="38">
        <f t="shared" si="104"/>
        <v>5150.6400000000003</v>
      </c>
      <c r="X691" s="38">
        <f t="shared" si="105"/>
        <v>28562.639999999999</v>
      </c>
    </row>
    <row r="692" spans="1:24" ht="33.75" customHeight="1" x14ac:dyDescent="0.35">
      <c r="A692" s="56" t="s">
        <v>2929</v>
      </c>
      <c r="B692" s="2">
        <v>655</v>
      </c>
      <c r="C692" s="77">
        <v>10145247</v>
      </c>
      <c r="D692" s="74" t="s">
        <v>261</v>
      </c>
      <c r="E692" s="74" t="s">
        <v>686</v>
      </c>
      <c r="F692" s="75">
        <v>1</v>
      </c>
      <c r="G692" s="64" t="s">
        <v>0</v>
      </c>
      <c r="H692" s="101" t="s">
        <v>2145</v>
      </c>
      <c r="I692" s="107" t="s">
        <v>976</v>
      </c>
      <c r="J692" s="63" t="s">
        <v>1917</v>
      </c>
      <c r="K692" s="88" t="s">
        <v>961</v>
      </c>
      <c r="L692" s="61" t="s">
        <v>845</v>
      </c>
      <c r="M692" s="65">
        <f t="shared" ref="M692:M750" si="108">O692</f>
        <v>38400</v>
      </c>
      <c r="N692" s="65">
        <f t="shared" si="107"/>
        <v>38400</v>
      </c>
      <c r="O692" s="65">
        <v>38400</v>
      </c>
      <c r="P692" s="65">
        <v>27480</v>
      </c>
      <c r="Q692" s="65">
        <f t="shared" si="102"/>
        <v>6045.6</v>
      </c>
      <c r="R692" s="65">
        <f t="shared" si="103"/>
        <v>33525.599999999999</v>
      </c>
      <c r="S692" s="272"/>
      <c r="T692" s="64">
        <v>34</v>
      </c>
      <c r="U692" s="277"/>
      <c r="V692" s="38">
        <v>31545</v>
      </c>
      <c r="W692" s="38">
        <f t="shared" si="104"/>
        <v>6939.9</v>
      </c>
      <c r="X692" s="38">
        <f t="shared" si="105"/>
        <v>38484.9</v>
      </c>
    </row>
    <row r="693" spans="1:24" ht="40.5" customHeight="1" x14ac:dyDescent="0.35">
      <c r="A693" s="56" t="s">
        <v>2930</v>
      </c>
      <c r="B693" s="2">
        <v>656</v>
      </c>
      <c r="C693" s="77">
        <v>10145253</v>
      </c>
      <c r="D693" s="74" t="s">
        <v>262</v>
      </c>
      <c r="E693" s="74" t="s">
        <v>686</v>
      </c>
      <c r="F693" s="75">
        <v>1</v>
      </c>
      <c r="G693" s="64" t="s">
        <v>0</v>
      </c>
      <c r="H693" s="101" t="s">
        <v>2145</v>
      </c>
      <c r="I693" s="107" t="s">
        <v>976</v>
      </c>
      <c r="J693" s="63" t="s">
        <v>1917</v>
      </c>
      <c r="K693" s="88" t="s">
        <v>961</v>
      </c>
      <c r="L693" s="61" t="s">
        <v>845</v>
      </c>
      <c r="M693" s="65">
        <f t="shared" si="108"/>
        <v>127764.87</v>
      </c>
      <c r="N693" s="65">
        <f t="shared" si="107"/>
        <v>127764.87</v>
      </c>
      <c r="O693" s="65">
        <v>127764.87</v>
      </c>
      <c r="P693" s="65">
        <v>91420</v>
      </c>
      <c r="Q693" s="65">
        <f t="shared" si="102"/>
        <v>20112.400000000001</v>
      </c>
      <c r="R693" s="65">
        <f t="shared" si="103"/>
        <v>111532.4</v>
      </c>
      <c r="S693" s="272"/>
      <c r="T693" s="64">
        <v>34</v>
      </c>
      <c r="U693" s="277"/>
      <c r="V693" s="38">
        <v>104956</v>
      </c>
      <c r="W693" s="38">
        <f t="shared" si="104"/>
        <v>23090.32</v>
      </c>
      <c r="X693" s="38">
        <f t="shared" si="105"/>
        <v>128046.32</v>
      </c>
    </row>
    <row r="694" spans="1:24" ht="45" customHeight="1" x14ac:dyDescent="0.35">
      <c r="A694" s="56" t="s">
        <v>2931</v>
      </c>
      <c r="B694" s="2">
        <v>657</v>
      </c>
      <c r="C694" s="77">
        <v>10145253</v>
      </c>
      <c r="D694" s="74" t="s">
        <v>262</v>
      </c>
      <c r="E694" s="74" t="s">
        <v>686</v>
      </c>
      <c r="F694" s="75">
        <v>1</v>
      </c>
      <c r="G694" s="64" t="s">
        <v>0</v>
      </c>
      <c r="H694" s="101" t="s">
        <v>2145</v>
      </c>
      <c r="I694" s="107" t="s">
        <v>976</v>
      </c>
      <c r="J694" s="63" t="s">
        <v>1917</v>
      </c>
      <c r="K694" s="88" t="s">
        <v>961</v>
      </c>
      <c r="L694" s="61" t="s">
        <v>845</v>
      </c>
      <c r="M694" s="65">
        <f t="shared" si="108"/>
        <v>44200</v>
      </c>
      <c r="N694" s="65">
        <f t="shared" si="107"/>
        <v>44200</v>
      </c>
      <c r="O694" s="65">
        <v>44200</v>
      </c>
      <c r="P694" s="65">
        <v>31630</v>
      </c>
      <c r="Q694" s="65">
        <f t="shared" si="102"/>
        <v>6958.6</v>
      </c>
      <c r="R694" s="65">
        <f t="shared" si="103"/>
        <v>38588.6</v>
      </c>
      <c r="S694" s="272"/>
      <c r="T694" s="64">
        <v>34</v>
      </c>
      <c r="U694" s="277"/>
      <c r="V694" s="38">
        <v>36309</v>
      </c>
      <c r="W694" s="38">
        <f t="shared" si="104"/>
        <v>7987.98</v>
      </c>
      <c r="X694" s="38">
        <f t="shared" si="105"/>
        <v>44296.98</v>
      </c>
    </row>
    <row r="695" spans="1:24" ht="38.25" customHeight="1" x14ac:dyDescent="0.35">
      <c r="A695" s="56" t="s">
        <v>2932</v>
      </c>
      <c r="B695" s="2">
        <v>658</v>
      </c>
      <c r="C695" s="77">
        <v>10145254</v>
      </c>
      <c r="D695" s="74" t="s">
        <v>263</v>
      </c>
      <c r="E695" s="74" t="s">
        <v>686</v>
      </c>
      <c r="F695" s="75">
        <v>1</v>
      </c>
      <c r="G695" s="64" t="s">
        <v>0</v>
      </c>
      <c r="H695" s="101" t="s">
        <v>2145</v>
      </c>
      <c r="I695" s="107" t="s">
        <v>976</v>
      </c>
      <c r="J695" s="63" t="s">
        <v>1917</v>
      </c>
      <c r="K695" s="88" t="s">
        <v>961</v>
      </c>
      <c r="L695" s="61" t="s">
        <v>845</v>
      </c>
      <c r="M695" s="65">
        <f t="shared" si="108"/>
        <v>54850</v>
      </c>
      <c r="N695" s="65">
        <f t="shared" si="107"/>
        <v>54850</v>
      </c>
      <c r="O695" s="65">
        <v>54850</v>
      </c>
      <c r="P695" s="65">
        <v>39250</v>
      </c>
      <c r="Q695" s="65">
        <f t="shared" si="102"/>
        <v>8635</v>
      </c>
      <c r="R695" s="65">
        <f t="shared" si="103"/>
        <v>47885</v>
      </c>
      <c r="S695" s="272"/>
      <c r="T695" s="64">
        <v>34</v>
      </c>
      <c r="U695" s="277"/>
      <c r="V695" s="38">
        <v>45058</v>
      </c>
      <c r="W695" s="38">
        <f t="shared" si="104"/>
        <v>9912.76</v>
      </c>
      <c r="X695" s="38">
        <f t="shared" si="105"/>
        <v>54970.76</v>
      </c>
    </row>
    <row r="696" spans="1:24" ht="32.25" customHeight="1" x14ac:dyDescent="0.35">
      <c r="A696" s="56" t="s">
        <v>2933</v>
      </c>
      <c r="B696" s="2">
        <v>659</v>
      </c>
      <c r="C696" s="77">
        <v>102001720</v>
      </c>
      <c r="D696" s="74" t="s">
        <v>264</v>
      </c>
      <c r="E696" s="74" t="s">
        <v>686</v>
      </c>
      <c r="F696" s="75">
        <v>1</v>
      </c>
      <c r="G696" s="64" t="s">
        <v>0</v>
      </c>
      <c r="H696" s="101" t="s">
        <v>2145</v>
      </c>
      <c r="I696" s="64" t="s">
        <v>976</v>
      </c>
      <c r="J696" s="63" t="s">
        <v>1917</v>
      </c>
      <c r="K696" s="88" t="s">
        <v>961</v>
      </c>
      <c r="L696" s="61" t="s">
        <v>845</v>
      </c>
      <c r="M696" s="65">
        <f t="shared" si="108"/>
        <v>466350</v>
      </c>
      <c r="N696" s="65">
        <f t="shared" si="107"/>
        <v>466350</v>
      </c>
      <c r="O696" s="65">
        <v>466350</v>
      </c>
      <c r="P696" s="65">
        <v>333680</v>
      </c>
      <c r="Q696" s="65">
        <f t="shared" si="102"/>
        <v>73409.600000000006</v>
      </c>
      <c r="R696" s="65">
        <f t="shared" si="103"/>
        <v>407089.6</v>
      </c>
      <c r="S696" s="272"/>
      <c r="T696" s="64">
        <v>34</v>
      </c>
      <c r="U696" s="277"/>
      <c r="V696" s="38">
        <v>383097</v>
      </c>
      <c r="W696" s="38">
        <f t="shared" si="104"/>
        <v>84281.34</v>
      </c>
      <c r="X696" s="38">
        <f t="shared" si="105"/>
        <v>467378.34</v>
      </c>
    </row>
    <row r="697" spans="1:24" ht="30.75" customHeight="1" x14ac:dyDescent="0.35">
      <c r="A697" s="56" t="s">
        <v>2934</v>
      </c>
      <c r="B697" s="2">
        <v>660</v>
      </c>
      <c r="C697" s="77">
        <v>10145215</v>
      </c>
      <c r="D697" s="74" t="s">
        <v>267</v>
      </c>
      <c r="E697" s="74" t="s">
        <v>686</v>
      </c>
      <c r="F697" s="75">
        <v>2</v>
      </c>
      <c r="G697" s="64" t="s">
        <v>0</v>
      </c>
      <c r="H697" s="61">
        <v>42004</v>
      </c>
      <c r="I697" s="64" t="s">
        <v>976</v>
      </c>
      <c r="J697" s="63" t="s">
        <v>1917</v>
      </c>
      <c r="K697" s="88" t="s">
        <v>961</v>
      </c>
      <c r="L697" s="61" t="s">
        <v>845</v>
      </c>
      <c r="M697" s="65">
        <f t="shared" si="108"/>
        <v>32800</v>
      </c>
      <c r="N697" s="65">
        <f t="shared" si="107"/>
        <v>16400</v>
      </c>
      <c r="O697" s="65">
        <v>32800</v>
      </c>
      <c r="P697" s="65">
        <v>20930</v>
      </c>
      <c r="Q697" s="65">
        <f t="shared" si="102"/>
        <v>4604.6000000000004</v>
      </c>
      <c r="R697" s="65">
        <f t="shared" si="103"/>
        <v>25534.6</v>
      </c>
      <c r="S697" s="272"/>
      <c r="T697" s="64">
        <v>34</v>
      </c>
      <c r="U697" s="277"/>
      <c r="V697" s="38">
        <v>24029</v>
      </c>
      <c r="W697" s="38">
        <f t="shared" si="104"/>
        <v>5286.38</v>
      </c>
      <c r="X697" s="38">
        <f t="shared" si="105"/>
        <v>29315.38</v>
      </c>
    </row>
    <row r="698" spans="1:24" ht="26.25" customHeight="1" x14ac:dyDescent="0.35">
      <c r="A698" s="56" t="s">
        <v>2935</v>
      </c>
      <c r="B698" s="2">
        <v>661</v>
      </c>
      <c r="C698" s="77">
        <v>10155883</v>
      </c>
      <c r="D698" s="74" t="s">
        <v>269</v>
      </c>
      <c r="E698" s="74" t="s">
        <v>686</v>
      </c>
      <c r="F698" s="75">
        <v>2</v>
      </c>
      <c r="G698" s="64" t="s">
        <v>0</v>
      </c>
      <c r="H698" s="61">
        <v>42004</v>
      </c>
      <c r="I698" s="64" t="s">
        <v>976</v>
      </c>
      <c r="J698" s="63" t="s">
        <v>1917</v>
      </c>
      <c r="K698" s="88" t="s">
        <v>961</v>
      </c>
      <c r="L698" s="61" t="s">
        <v>845</v>
      </c>
      <c r="M698" s="65">
        <f t="shared" si="108"/>
        <v>25600</v>
      </c>
      <c r="N698" s="65">
        <f t="shared" si="107"/>
        <v>12800</v>
      </c>
      <c r="O698" s="65">
        <v>25600</v>
      </c>
      <c r="P698" s="65">
        <v>16340</v>
      </c>
      <c r="Q698" s="65">
        <f t="shared" si="102"/>
        <v>3594.8</v>
      </c>
      <c r="R698" s="65">
        <f t="shared" si="103"/>
        <v>19934.8</v>
      </c>
      <c r="S698" s="272"/>
      <c r="T698" s="64">
        <v>34</v>
      </c>
      <c r="U698" s="277"/>
      <c r="V698" s="38">
        <v>18755</v>
      </c>
      <c r="W698" s="38">
        <f t="shared" si="104"/>
        <v>4126.1000000000004</v>
      </c>
      <c r="X698" s="38">
        <f t="shared" si="105"/>
        <v>22881.1</v>
      </c>
    </row>
    <row r="699" spans="1:24" ht="30" customHeight="1" x14ac:dyDescent="0.35">
      <c r="A699" s="56" t="s">
        <v>2936</v>
      </c>
      <c r="B699" s="2">
        <v>662</v>
      </c>
      <c r="C699" s="77">
        <v>102001315</v>
      </c>
      <c r="D699" s="74" t="s">
        <v>270</v>
      </c>
      <c r="E699" s="74" t="s">
        <v>686</v>
      </c>
      <c r="F699" s="75">
        <v>2</v>
      </c>
      <c r="G699" s="64" t="s">
        <v>0</v>
      </c>
      <c r="H699" s="61">
        <v>42004</v>
      </c>
      <c r="I699" s="64" t="s">
        <v>976</v>
      </c>
      <c r="J699" s="63" t="s">
        <v>1917</v>
      </c>
      <c r="K699" s="88" t="s">
        <v>961</v>
      </c>
      <c r="L699" s="61" t="s">
        <v>845</v>
      </c>
      <c r="M699" s="65">
        <f t="shared" si="108"/>
        <v>80100</v>
      </c>
      <c r="N699" s="65">
        <f t="shared" si="107"/>
        <v>40050</v>
      </c>
      <c r="O699" s="65">
        <v>80100</v>
      </c>
      <c r="P699" s="65">
        <v>51110</v>
      </c>
      <c r="Q699" s="65">
        <f t="shared" si="102"/>
        <v>11244.2</v>
      </c>
      <c r="R699" s="65">
        <f t="shared" si="103"/>
        <v>62354.2</v>
      </c>
      <c r="S699" s="272"/>
      <c r="T699" s="64">
        <v>34</v>
      </c>
      <c r="U699" s="277"/>
      <c r="V699" s="38">
        <v>58681</v>
      </c>
      <c r="W699" s="38">
        <f t="shared" si="104"/>
        <v>12909.82</v>
      </c>
      <c r="X699" s="38">
        <f t="shared" si="105"/>
        <v>71590.820000000007</v>
      </c>
    </row>
    <row r="700" spans="1:24" ht="30" customHeight="1" x14ac:dyDescent="0.35">
      <c r="A700" s="56" t="s">
        <v>2937</v>
      </c>
      <c r="B700" s="2">
        <v>663</v>
      </c>
      <c r="C700" s="77">
        <v>102001407</v>
      </c>
      <c r="D700" s="74" t="s">
        <v>273</v>
      </c>
      <c r="E700" s="74" t="s">
        <v>686</v>
      </c>
      <c r="F700" s="75">
        <v>2</v>
      </c>
      <c r="G700" s="64" t="s">
        <v>0</v>
      </c>
      <c r="H700" s="61">
        <v>42004</v>
      </c>
      <c r="I700" s="64" t="s">
        <v>976</v>
      </c>
      <c r="J700" s="63" t="s">
        <v>1917</v>
      </c>
      <c r="K700" s="88" t="s">
        <v>961</v>
      </c>
      <c r="L700" s="61" t="s">
        <v>845</v>
      </c>
      <c r="M700" s="65">
        <f t="shared" si="108"/>
        <v>113700</v>
      </c>
      <c r="N700" s="65">
        <f t="shared" si="107"/>
        <v>56850</v>
      </c>
      <c r="O700" s="65">
        <v>113700</v>
      </c>
      <c r="P700" s="65">
        <v>72550</v>
      </c>
      <c r="Q700" s="65">
        <f t="shared" si="102"/>
        <v>15961</v>
      </c>
      <c r="R700" s="65">
        <f t="shared" si="103"/>
        <v>88511</v>
      </c>
      <c r="S700" s="272"/>
      <c r="T700" s="64">
        <v>34</v>
      </c>
      <c r="U700" s="277"/>
      <c r="V700" s="38">
        <v>83297</v>
      </c>
      <c r="W700" s="38">
        <f t="shared" si="104"/>
        <v>18325.34</v>
      </c>
      <c r="X700" s="38">
        <f t="shared" si="105"/>
        <v>101622.34</v>
      </c>
    </row>
    <row r="701" spans="1:24" ht="30" customHeight="1" x14ac:dyDescent="0.35">
      <c r="A701" s="56" t="s">
        <v>2938</v>
      </c>
      <c r="B701" s="2">
        <v>664</v>
      </c>
      <c r="C701" s="77">
        <v>102001412</v>
      </c>
      <c r="D701" s="74" t="s">
        <v>274</v>
      </c>
      <c r="E701" s="74" t="s">
        <v>686</v>
      </c>
      <c r="F701" s="75">
        <v>2</v>
      </c>
      <c r="G701" s="64" t="s">
        <v>0</v>
      </c>
      <c r="H701" s="61">
        <v>42004</v>
      </c>
      <c r="I701" s="64" t="s">
        <v>976</v>
      </c>
      <c r="J701" s="63" t="s">
        <v>1917</v>
      </c>
      <c r="K701" s="88" t="s">
        <v>961</v>
      </c>
      <c r="L701" s="61" t="s">
        <v>845</v>
      </c>
      <c r="M701" s="65">
        <f t="shared" si="108"/>
        <v>156280</v>
      </c>
      <c r="N701" s="65">
        <f t="shared" si="107"/>
        <v>78140</v>
      </c>
      <c r="O701" s="65">
        <v>156280</v>
      </c>
      <c r="P701" s="65">
        <v>99720</v>
      </c>
      <c r="Q701" s="65">
        <f t="shared" si="102"/>
        <v>21938.400000000001</v>
      </c>
      <c r="R701" s="65">
        <f t="shared" si="103"/>
        <v>121658.4</v>
      </c>
      <c r="S701" s="272"/>
      <c r="T701" s="64">
        <v>34</v>
      </c>
      <c r="U701" s="277"/>
      <c r="V701" s="38">
        <v>114491</v>
      </c>
      <c r="W701" s="38">
        <f t="shared" si="104"/>
        <v>25188.02</v>
      </c>
      <c r="X701" s="38">
        <f t="shared" si="105"/>
        <v>139679.01999999999</v>
      </c>
    </row>
    <row r="702" spans="1:24" ht="30" customHeight="1" x14ac:dyDescent="0.35">
      <c r="A702" s="56" t="s">
        <v>2939</v>
      </c>
      <c r="B702" s="2">
        <v>665</v>
      </c>
      <c r="C702" s="77">
        <v>10135769</v>
      </c>
      <c r="D702" s="74" t="s">
        <v>287</v>
      </c>
      <c r="E702" s="74" t="s">
        <v>2147</v>
      </c>
      <c r="F702" s="75">
        <v>1</v>
      </c>
      <c r="G702" s="64" t="s">
        <v>0</v>
      </c>
      <c r="H702" s="101">
        <v>2010</v>
      </c>
      <c r="I702" s="61" t="s">
        <v>972</v>
      </c>
      <c r="J702" s="63" t="s">
        <v>1917</v>
      </c>
      <c r="K702" s="61" t="s">
        <v>961</v>
      </c>
      <c r="L702" s="61" t="s">
        <v>845</v>
      </c>
      <c r="M702" s="65">
        <f t="shared" si="108"/>
        <v>30097</v>
      </c>
      <c r="N702" s="65">
        <f t="shared" si="107"/>
        <v>30097</v>
      </c>
      <c r="O702" s="65">
        <v>30097</v>
      </c>
      <c r="P702" s="65">
        <v>21530</v>
      </c>
      <c r="Q702" s="65">
        <f t="shared" si="102"/>
        <v>4736.6000000000004</v>
      </c>
      <c r="R702" s="65">
        <f t="shared" si="103"/>
        <v>26266.6</v>
      </c>
      <c r="S702" s="272"/>
      <c r="T702" s="64">
        <v>34</v>
      </c>
      <c r="U702" s="277"/>
      <c r="V702" s="38">
        <v>24724</v>
      </c>
      <c r="W702" s="38">
        <f t="shared" si="104"/>
        <v>5439.28</v>
      </c>
      <c r="X702" s="38">
        <f t="shared" si="105"/>
        <v>30163.279999999999</v>
      </c>
    </row>
    <row r="703" spans="1:24" ht="30" customHeight="1" x14ac:dyDescent="0.35">
      <c r="A703" s="56" t="s">
        <v>2940</v>
      </c>
      <c r="B703" s="2">
        <v>666</v>
      </c>
      <c r="C703" s="77">
        <v>10135799</v>
      </c>
      <c r="D703" s="74" t="s">
        <v>288</v>
      </c>
      <c r="E703" s="74" t="s">
        <v>2147</v>
      </c>
      <c r="F703" s="75">
        <v>1</v>
      </c>
      <c r="G703" s="64" t="s">
        <v>0</v>
      </c>
      <c r="H703" s="101">
        <v>2010</v>
      </c>
      <c r="I703" s="61" t="s">
        <v>972</v>
      </c>
      <c r="J703" s="63" t="s">
        <v>1917</v>
      </c>
      <c r="K703" s="61" t="s">
        <v>961</v>
      </c>
      <c r="L703" s="61" t="s">
        <v>845</v>
      </c>
      <c r="M703" s="65">
        <f t="shared" si="108"/>
        <v>13118</v>
      </c>
      <c r="N703" s="65">
        <f t="shared" si="107"/>
        <v>13118</v>
      </c>
      <c r="O703" s="65">
        <v>13118</v>
      </c>
      <c r="P703" s="65">
        <v>9390</v>
      </c>
      <c r="Q703" s="65">
        <f t="shared" ref="Q703:Q761" si="109">P703*0.22</f>
        <v>2065.8000000000002</v>
      </c>
      <c r="R703" s="65">
        <f t="shared" ref="R703:R761" si="110">P703+Q703</f>
        <v>11455.8</v>
      </c>
      <c r="S703" s="272"/>
      <c r="T703" s="64">
        <v>34</v>
      </c>
      <c r="U703" s="277"/>
      <c r="V703" s="38">
        <v>10776</v>
      </c>
      <c r="W703" s="38">
        <f t="shared" ref="W703:W761" si="111">V703*0.22</f>
        <v>2370.7199999999998</v>
      </c>
      <c r="X703" s="38">
        <f t="shared" si="105"/>
        <v>13146.72</v>
      </c>
    </row>
    <row r="704" spans="1:24" ht="30" customHeight="1" x14ac:dyDescent="0.35">
      <c r="A704" s="56" t="s">
        <v>2941</v>
      </c>
      <c r="B704" s="2">
        <v>667</v>
      </c>
      <c r="C704" s="77">
        <v>10135816</v>
      </c>
      <c r="D704" s="74" t="s">
        <v>289</v>
      </c>
      <c r="E704" s="74" t="s">
        <v>2147</v>
      </c>
      <c r="F704" s="75">
        <v>1</v>
      </c>
      <c r="G704" s="64" t="s">
        <v>0</v>
      </c>
      <c r="H704" s="101">
        <v>2010</v>
      </c>
      <c r="I704" s="61" t="s">
        <v>972</v>
      </c>
      <c r="J704" s="63" t="s">
        <v>1917</v>
      </c>
      <c r="K704" s="61" t="s">
        <v>961</v>
      </c>
      <c r="L704" s="61" t="s">
        <v>845</v>
      </c>
      <c r="M704" s="65">
        <f t="shared" si="108"/>
        <v>25632</v>
      </c>
      <c r="N704" s="65">
        <f t="shared" si="107"/>
        <v>25632</v>
      </c>
      <c r="O704" s="65">
        <v>25632</v>
      </c>
      <c r="P704" s="65">
        <v>18340</v>
      </c>
      <c r="Q704" s="65">
        <f t="shared" si="109"/>
        <v>4034.8</v>
      </c>
      <c r="R704" s="65">
        <f t="shared" si="110"/>
        <v>22374.799999999999</v>
      </c>
      <c r="S704" s="272"/>
      <c r="T704" s="64">
        <v>34</v>
      </c>
      <c r="U704" s="277"/>
      <c r="V704" s="38">
        <v>21056</v>
      </c>
      <c r="W704" s="38">
        <f t="shared" si="111"/>
        <v>4632.32</v>
      </c>
      <c r="X704" s="38">
        <f t="shared" si="105"/>
        <v>25688.32</v>
      </c>
    </row>
    <row r="705" spans="1:24" ht="30" customHeight="1" x14ac:dyDescent="0.35">
      <c r="A705" s="56" t="s">
        <v>2942</v>
      </c>
      <c r="B705" s="2">
        <v>668</v>
      </c>
      <c r="C705" s="77">
        <v>10135883</v>
      </c>
      <c r="D705" s="74" t="s">
        <v>290</v>
      </c>
      <c r="E705" s="74" t="s">
        <v>2147</v>
      </c>
      <c r="F705" s="75">
        <v>1</v>
      </c>
      <c r="G705" s="64" t="s">
        <v>0</v>
      </c>
      <c r="H705" s="101" t="s">
        <v>2145</v>
      </c>
      <c r="I705" s="61" t="s">
        <v>972</v>
      </c>
      <c r="J705" s="63" t="s">
        <v>1917</v>
      </c>
      <c r="K705" s="61" t="s">
        <v>961</v>
      </c>
      <c r="L705" s="61" t="s">
        <v>845</v>
      </c>
      <c r="M705" s="65">
        <f t="shared" si="108"/>
        <v>8296</v>
      </c>
      <c r="N705" s="65">
        <f t="shared" si="107"/>
        <v>8296</v>
      </c>
      <c r="O705" s="65">
        <v>8296</v>
      </c>
      <c r="P705" s="65">
        <v>5940</v>
      </c>
      <c r="Q705" s="65">
        <f t="shared" si="109"/>
        <v>1306.8</v>
      </c>
      <c r="R705" s="65">
        <f t="shared" si="110"/>
        <v>7246.8</v>
      </c>
      <c r="S705" s="272"/>
      <c r="T705" s="64">
        <v>34</v>
      </c>
      <c r="U705" s="277"/>
      <c r="V705" s="38">
        <v>6815</v>
      </c>
      <c r="W705" s="38">
        <f t="shared" si="111"/>
        <v>1499.3</v>
      </c>
      <c r="X705" s="38">
        <f t="shared" ref="X705:X763" si="112">V705+W705</f>
        <v>8314.2999999999993</v>
      </c>
    </row>
    <row r="706" spans="1:24" ht="22.5" customHeight="1" x14ac:dyDescent="0.35">
      <c r="A706" s="56" t="s">
        <v>2943</v>
      </c>
      <c r="B706" s="2">
        <v>669</v>
      </c>
      <c r="C706" s="77">
        <v>10135887</v>
      </c>
      <c r="D706" s="74" t="s">
        <v>291</v>
      </c>
      <c r="E706" s="74" t="s">
        <v>2147</v>
      </c>
      <c r="F706" s="75">
        <v>1</v>
      </c>
      <c r="G706" s="64" t="s">
        <v>0</v>
      </c>
      <c r="H706" s="101" t="s">
        <v>2145</v>
      </c>
      <c r="I706" s="61" t="s">
        <v>972</v>
      </c>
      <c r="J706" s="63" t="s">
        <v>1917</v>
      </c>
      <c r="K706" s="61" t="s">
        <v>961</v>
      </c>
      <c r="L706" s="61" t="s">
        <v>845</v>
      </c>
      <c r="M706" s="65">
        <f t="shared" si="108"/>
        <v>16768</v>
      </c>
      <c r="N706" s="65">
        <f t="shared" si="107"/>
        <v>16768</v>
      </c>
      <c r="O706" s="65">
        <v>16768</v>
      </c>
      <c r="P706" s="65">
        <v>12000</v>
      </c>
      <c r="Q706" s="65">
        <f t="shared" si="109"/>
        <v>2640</v>
      </c>
      <c r="R706" s="65">
        <f t="shared" si="110"/>
        <v>14640</v>
      </c>
      <c r="S706" s="272"/>
      <c r="T706" s="64">
        <v>34</v>
      </c>
      <c r="U706" s="277"/>
      <c r="V706" s="38">
        <v>13775</v>
      </c>
      <c r="W706" s="38">
        <f t="shared" si="111"/>
        <v>3030.5</v>
      </c>
      <c r="X706" s="38">
        <f t="shared" si="112"/>
        <v>16805.5</v>
      </c>
    </row>
    <row r="707" spans="1:24" ht="30" customHeight="1" x14ac:dyDescent="0.35">
      <c r="A707" s="56" t="s">
        <v>2944</v>
      </c>
      <c r="B707" s="2">
        <v>670</v>
      </c>
      <c r="C707" s="77">
        <v>10136834</v>
      </c>
      <c r="D707" s="74" t="s">
        <v>292</v>
      </c>
      <c r="E707" s="74" t="s">
        <v>2147</v>
      </c>
      <c r="F707" s="75">
        <v>1</v>
      </c>
      <c r="G707" s="64" t="s">
        <v>0</v>
      </c>
      <c r="H707" s="101" t="s">
        <v>2145</v>
      </c>
      <c r="I707" s="64" t="s">
        <v>972</v>
      </c>
      <c r="J707" s="63" t="s">
        <v>1917</v>
      </c>
      <c r="K707" s="61" t="s">
        <v>961</v>
      </c>
      <c r="L707" s="61" t="s">
        <v>845</v>
      </c>
      <c r="M707" s="65">
        <f t="shared" si="108"/>
        <v>36386</v>
      </c>
      <c r="N707" s="65">
        <f t="shared" si="107"/>
        <v>36386</v>
      </c>
      <c r="O707" s="65">
        <v>36386</v>
      </c>
      <c r="P707" s="65">
        <v>26030</v>
      </c>
      <c r="Q707" s="65">
        <f t="shared" si="109"/>
        <v>5726.6</v>
      </c>
      <c r="R707" s="65">
        <f t="shared" si="110"/>
        <v>31756.6</v>
      </c>
      <c r="S707" s="272"/>
      <c r="T707" s="64">
        <v>34</v>
      </c>
      <c r="U707" s="277"/>
      <c r="V707" s="38">
        <v>29890</v>
      </c>
      <c r="W707" s="38">
        <f t="shared" si="111"/>
        <v>6575.8</v>
      </c>
      <c r="X707" s="38">
        <f t="shared" si="112"/>
        <v>36465.800000000003</v>
      </c>
    </row>
    <row r="708" spans="1:24" ht="30" customHeight="1" x14ac:dyDescent="0.35">
      <c r="A708" s="56" t="s">
        <v>2945</v>
      </c>
      <c r="B708" s="2">
        <v>671</v>
      </c>
      <c r="C708" s="77">
        <v>10136835</v>
      </c>
      <c r="D708" s="74" t="s">
        <v>293</v>
      </c>
      <c r="E708" s="74" t="s">
        <v>2147</v>
      </c>
      <c r="F708" s="75">
        <v>1</v>
      </c>
      <c r="G708" s="64" t="s">
        <v>0</v>
      </c>
      <c r="H708" s="101" t="s">
        <v>2145</v>
      </c>
      <c r="I708" s="64" t="s">
        <v>972</v>
      </c>
      <c r="J708" s="63" t="s">
        <v>1917</v>
      </c>
      <c r="K708" s="61" t="s">
        <v>961</v>
      </c>
      <c r="L708" s="61" t="s">
        <v>845</v>
      </c>
      <c r="M708" s="65">
        <f t="shared" si="108"/>
        <v>39955</v>
      </c>
      <c r="N708" s="65">
        <f t="shared" si="107"/>
        <v>39955</v>
      </c>
      <c r="O708" s="65">
        <v>39955</v>
      </c>
      <c r="P708" s="65">
        <v>28590</v>
      </c>
      <c r="Q708" s="65">
        <f t="shared" si="109"/>
        <v>6289.8</v>
      </c>
      <c r="R708" s="65">
        <f t="shared" si="110"/>
        <v>34879.800000000003</v>
      </c>
      <c r="S708" s="272"/>
      <c r="T708" s="64">
        <v>34</v>
      </c>
      <c r="U708" s="277"/>
      <c r="V708" s="38">
        <v>32822</v>
      </c>
      <c r="W708" s="38">
        <f t="shared" si="111"/>
        <v>7220.84</v>
      </c>
      <c r="X708" s="38">
        <f t="shared" si="112"/>
        <v>40042.839999999997</v>
      </c>
    </row>
    <row r="709" spans="1:24" ht="30" customHeight="1" x14ac:dyDescent="0.35">
      <c r="A709" s="56" t="s">
        <v>2946</v>
      </c>
      <c r="B709" s="2">
        <v>672</v>
      </c>
      <c r="C709" s="77">
        <v>10136848</v>
      </c>
      <c r="D709" s="74" t="s">
        <v>294</v>
      </c>
      <c r="E709" s="74" t="s">
        <v>2147</v>
      </c>
      <c r="F709" s="75">
        <v>1</v>
      </c>
      <c r="G709" s="64" t="s">
        <v>0</v>
      </c>
      <c r="H709" s="101" t="s">
        <v>2145</v>
      </c>
      <c r="I709" s="61" t="s">
        <v>972</v>
      </c>
      <c r="J709" s="63" t="s">
        <v>1917</v>
      </c>
      <c r="K709" s="61" t="s">
        <v>961</v>
      </c>
      <c r="L709" s="61" t="s">
        <v>845</v>
      </c>
      <c r="M709" s="65">
        <f t="shared" si="108"/>
        <v>34766</v>
      </c>
      <c r="N709" s="65">
        <f t="shared" si="107"/>
        <v>34766</v>
      </c>
      <c r="O709" s="65">
        <v>34766</v>
      </c>
      <c r="P709" s="65">
        <v>24880</v>
      </c>
      <c r="Q709" s="65">
        <f t="shared" si="109"/>
        <v>5473.6</v>
      </c>
      <c r="R709" s="65">
        <f t="shared" si="110"/>
        <v>30353.599999999999</v>
      </c>
      <c r="S709" s="272"/>
      <c r="T709" s="64">
        <v>34</v>
      </c>
      <c r="U709" s="277"/>
      <c r="V709" s="38">
        <v>28560</v>
      </c>
      <c r="W709" s="38">
        <f t="shared" si="111"/>
        <v>6283.2</v>
      </c>
      <c r="X709" s="38">
        <f t="shared" si="112"/>
        <v>34843.199999999997</v>
      </c>
    </row>
    <row r="710" spans="1:24" ht="30" customHeight="1" x14ac:dyDescent="0.35">
      <c r="A710" s="56" t="s">
        <v>2947</v>
      </c>
      <c r="B710" s="2">
        <v>673</v>
      </c>
      <c r="C710" s="77">
        <v>102002051</v>
      </c>
      <c r="D710" s="74" t="s">
        <v>321</v>
      </c>
      <c r="E710" s="74" t="s">
        <v>2147</v>
      </c>
      <c r="F710" s="75">
        <v>1</v>
      </c>
      <c r="G710" s="64" t="s">
        <v>0</v>
      </c>
      <c r="H710" s="101" t="s">
        <v>2145</v>
      </c>
      <c r="I710" s="61" t="s">
        <v>972</v>
      </c>
      <c r="J710" s="63" t="s">
        <v>1917</v>
      </c>
      <c r="K710" s="61" t="s">
        <v>961</v>
      </c>
      <c r="L710" s="61" t="s">
        <v>845</v>
      </c>
      <c r="M710" s="65">
        <f t="shared" si="108"/>
        <v>46028.75</v>
      </c>
      <c r="N710" s="65">
        <f t="shared" si="107"/>
        <v>46028.75</v>
      </c>
      <c r="O710" s="65">
        <v>46028.75</v>
      </c>
      <c r="P710" s="65">
        <v>32930</v>
      </c>
      <c r="Q710" s="65">
        <f t="shared" si="109"/>
        <v>7244.6</v>
      </c>
      <c r="R710" s="65">
        <f t="shared" si="110"/>
        <v>40174.6</v>
      </c>
      <c r="S710" s="272"/>
      <c r="T710" s="64">
        <v>34</v>
      </c>
      <c r="U710" s="277"/>
      <c r="V710" s="38">
        <v>37812</v>
      </c>
      <c r="W710" s="38">
        <f t="shared" si="111"/>
        <v>8318.64</v>
      </c>
      <c r="X710" s="38">
        <f t="shared" si="112"/>
        <v>46130.64</v>
      </c>
    </row>
    <row r="711" spans="1:24" ht="30" customHeight="1" x14ac:dyDescent="0.35">
      <c r="A711" s="56" t="s">
        <v>2948</v>
      </c>
      <c r="B711" s="2">
        <v>674</v>
      </c>
      <c r="C711" s="77">
        <v>10135767</v>
      </c>
      <c r="D711" s="74" t="s">
        <v>335</v>
      </c>
      <c r="E711" s="74" t="s">
        <v>2147</v>
      </c>
      <c r="F711" s="75">
        <v>2</v>
      </c>
      <c r="G711" s="64" t="s">
        <v>0</v>
      </c>
      <c r="H711" s="101" t="s">
        <v>2145</v>
      </c>
      <c r="I711" s="61" t="s">
        <v>972</v>
      </c>
      <c r="J711" s="63" t="s">
        <v>1917</v>
      </c>
      <c r="K711" s="61" t="s">
        <v>961</v>
      </c>
      <c r="L711" s="61" t="s">
        <v>845</v>
      </c>
      <c r="M711" s="65">
        <f t="shared" si="108"/>
        <v>60194</v>
      </c>
      <c r="N711" s="65">
        <f t="shared" si="107"/>
        <v>30097</v>
      </c>
      <c r="O711" s="65">
        <v>60194</v>
      </c>
      <c r="P711" s="65">
        <v>43070</v>
      </c>
      <c r="Q711" s="65">
        <f t="shared" si="109"/>
        <v>9475.4</v>
      </c>
      <c r="R711" s="65">
        <f t="shared" si="110"/>
        <v>52545.4</v>
      </c>
      <c r="S711" s="272"/>
      <c r="T711" s="64">
        <v>34</v>
      </c>
      <c r="U711" s="277"/>
      <c r="V711" s="38">
        <v>49448</v>
      </c>
      <c r="W711" s="38">
        <f t="shared" si="111"/>
        <v>10878.56</v>
      </c>
      <c r="X711" s="38">
        <f t="shared" si="112"/>
        <v>60326.559999999998</v>
      </c>
    </row>
    <row r="712" spans="1:24" ht="30" customHeight="1" x14ac:dyDescent="0.35">
      <c r="A712" s="56" t="s">
        <v>2949</v>
      </c>
      <c r="B712" s="2">
        <v>675</v>
      </c>
      <c r="C712" s="77">
        <v>10135768</v>
      </c>
      <c r="D712" s="74" t="s">
        <v>336</v>
      </c>
      <c r="E712" s="74" t="s">
        <v>2147</v>
      </c>
      <c r="F712" s="75">
        <v>2</v>
      </c>
      <c r="G712" s="64" t="s">
        <v>0</v>
      </c>
      <c r="H712" s="101" t="s">
        <v>2145</v>
      </c>
      <c r="I712" s="61" t="s">
        <v>972</v>
      </c>
      <c r="J712" s="63" t="s">
        <v>1917</v>
      </c>
      <c r="K712" s="61" t="s">
        <v>961</v>
      </c>
      <c r="L712" s="61" t="s">
        <v>845</v>
      </c>
      <c r="M712" s="65">
        <f t="shared" si="108"/>
        <v>60194</v>
      </c>
      <c r="N712" s="65">
        <f t="shared" si="107"/>
        <v>30097</v>
      </c>
      <c r="O712" s="65">
        <v>60194</v>
      </c>
      <c r="P712" s="65">
        <v>43070</v>
      </c>
      <c r="Q712" s="65">
        <f t="shared" si="109"/>
        <v>9475.4</v>
      </c>
      <c r="R712" s="65">
        <f t="shared" si="110"/>
        <v>52545.4</v>
      </c>
      <c r="S712" s="272"/>
      <c r="T712" s="64">
        <v>34</v>
      </c>
      <c r="U712" s="277"/>
      <c r="V712" s="38">
        <v>49448</v>
      </c>
      <c r="W712" s="38">
        <f t="shared" si="111"/>
        <v>10878.56</v>
      </c>
      <c r="X712" s="38">
        <f t="shared" si="112"/>
        <v>60326.559999999998</v>
      </c>
    </row>
    <row r="713" spans="1:24" ht="24" customHeight="1" x14ac:dyDescent="0.35">
      <c r="A713" s="56" t="s">
        <v>2950</v>
      </c>
      <c r="B713" s="2">
        <v>676</v>
      </c>
      <c r="C713" s="77">
        <v>10135867</v>
      </c>
      <c r="D713" s="74" t="s">
        <v>337</v>
      </c>
      <c r="E713" s="74" t="s">
        <v>2147</v>
      </c>
      <c r="F713" s="75">
        <v>2</v>
      </c>
      <c r="G713" s="64" t="s">
        <v>0</v>
      </c>
      <c r="H713" s="101" t="s">
        <v>2145</v>
      </c>
      <c r="I713" s="61" t="s">
        <v>972</v>
      </c>
      <c r="J713" s="63" t="s">
        <v>1917</v>
      </c>
      <c r="K713" s="61" t="s">
        <v>961</v>
      </c>
      <c r="L713" s="61" t="s">
        <v>845</v>
      </c>
      <c r="M713" s="65">
        <f t="shared" si="108"/>
        <v>11453.22</v>
      </c>
      <c r="N713" s="65">
        <f t="shared" si="107"/>
        <v>5726.61</v>
      </c>
      <c r="O713" s="65">
        <v>11453.22</v>
      </c>
      <c r="P713" s="65">
        <v>8190</v>
      </c>
      <c r="Q713" s="65">
        <f t="shared" si="109"/>
        <v>1801.8</v>
      </c>
      <c r="R713" s="65">
        <f t="shared" si="110"/>
        <v>9991.7999999999993</v>
      </c>
      <c r="S713" s="272"/>
      <c r="T713" s="64">
        <v>34</v>
      </c>
      <c r="U713" s="277"/>
      <c r="V713" s="38">
        <v>9409</v>
      </c>
      <c r="W713" s="38">
        <f t="shared" si="111"/>
        <v>2069.98</v>
      </c>
      <c r="X713" s="38">
        <f t="shared" si="112"/>
        <v>11478.98</v>
      </c>
    </row>
    <row r="714" spans="1:24" ht="30" customHeight="1" x14ac:dyDescent="0.35">
      <c r="A714" s="56" t="s">
        <v>2951</v>
      </c>
      <c r="B714" s="2">
        <v>677</v>
      </c>
      <c r="C714" s="77">
        <v>10136862</v>
      </c>
      <c r="D714" s="74" t="s">
        <v>352</v>
      </c>
      <c r="E714" s="74" t="s">
        <v>2147</v>
      </c>
      <c r="F714" s="75">
        <v>3</v>
      </c>
      <c r="G714" s="64" t="s">
        <v>0</v>
      </c>
      <c r="H714" s="101" t="s">
        <v>2145</v>
      </c>
      <c r="I714" s="61" t="s">
        <v>972</v>
      </c>
      <c r="J714" s="63" t="s">
        <v>1917</v>
      </c>
      <c r="K714" s="61" t="s">
        <v>961</v>
      </c>
      <c r="L714" s="61" t="s">
        <v>845</v>
      </c>
      <c r="M714" s="102">
        <f t="shared" si="108"/>
        <v>102000</v>
      </c>
      <c r="N714" s="102">
        <f t="shared" si="107"/>
        <v>34000</v>
      </c>
      <c r="O714" s="65">
        <v>102000</v>
      </c>
      <c r="P714" s="65">
        <v>72980</v>
      </c>
      <c r="Q714" s="65">
        <f t="shared" si="109"/>
        <v>16055.6</v>
      </c>
      <c r="R714" s="65">
        <f t="shared" si="110"/>
        <v>89035.6</v>
      </c>
      <c r="S714" s="272"/>
      <c r="T714" s="64">
        <v>34</v>
      </c>
      <c r="U714" s="277"/>
      <c r="V714" s="38">
        <v>83791</v>
      </c>
      <c r="W714" s="38">
        <f t="shared" si="111"/>
        <v>18434.02</v>
      </c>
      <c r="X714" s="38">
        <f t="shared" si="112"/>
        <v>102225.02</v>
      </c>
    </row>
    <row r="715" spans="1:24" ht="30" customHeight="1" x14ac:dyDescent="0.35">
      <c r="A715" s="56" t="s">
        <v>2952</v>
      </c>
      <c r="B715" s="2">
        <v>678</v>
      </c>
      <c r="C715" s="77">
        <v>102001318</v>
      </c>
      <c r="D715" s="74" t="s">
        <v>357</v>
      </c>
      <c r="E715" s="74" t="s">
        <v>2147</v>
      </c>
      <c r="F715" s="75">
        <v>4</v>
      </c>
      <c r="G715" s="64" t="s">
        <v>0</v>
      </c>
      <c r="H715" s="101" t="s">
        <v>2145</v>
      </c>
      <c r="I715" s="61" t="s">
        <v>972</v>
      </c>
      <c r="J715" s="63" t="s">
        <v>1917</v>
      </c>
      <c r="K715" s="61" t="s">
        <v>961</v>
      </c>
      <c r="L715" s="61" t="s">
        <v>845</v>
      </c>
      <c r="M715" s="65">
        <f t="shared" si="108"/>
        <v>1178960</v>
      </c>
      <c r="N715" s="65">
        <f t="shared" si="107"/>
        <v>294740</v>
      </c>
      <c r="O715" s="65">
        <v>1178960</v>
      </c>
      <c r="P715" s="65">
        <v>843560</v>
      </c>
      <c r="Q715" s="65">
        <f t="shared" si="109"/>
        <v>185583.2</v>
      </c>
      <c r="R715" s="65">
        <f t="shared" si="110"/>
        <v>1029143.2</v>
      </c>
      <c r="S715" s="272"/>
      <c r="T715" s="64">
        <v>34</v>
      </c>
      <c r="U715" s="277"/>
      <c r="V715" s="38">
        <v>968492</v>
      </c>
      <c r="W715" s="38">
        <f t="shared" si="111"/>
        <v>213068.24</v>
      </c>
      <c r="X715" s="38">
        <f t="shared" si="112"/>
        <v>1181560.24</v>
      </c>
    </row>
    <row r="716" spans="1:24" ht="30" customHeight="1" x14ac:dyDescent="0.35">
      <c r="A716" s="56" t="s">
        <v>2953</v>
      </c>
      <c r="B716" s="2">
        <v>679</v>
      </c>
      <c r="C716" s="77">
        <v>102002074</v>
      </c>
      <c r="D716" s="74" t="s">
        <v>358</v>
      </c>
      <c r="E716" s="74" t="s">
        <v>2147</v>
      </c>
      <c r="F716" s="75">
        <v>4</v>
      </c>
      <c r="G716" s="64" t="s">
        <v>0</v>
      </c>
      <c r="H716" s="101" t="s">
        <v>2145</v>
      </c>
      <c r="I716" s="61" t="s">
        <v>972</v>
      </c>
      <c r="J716" s="63" t="s">
        <v>1917</v>
      </c>
      <c r="K716" s="61" t="s">
        <v>961</v>
      </c>
      <c r="L716" s="61" t="s">
        <v>845</v>
      </c>
      <c r="M716" s="65">
        <f t="shared" si="108"/>
        <v>217906.84</v>
      </c>
      <c r="N716" s="65">
        <f t="shared" si="107"/>
        <v>54476.71</v>
      </c>
      <c r="O716" s="65">
        <v>217906.84</v>
      </c>
      <c r="P716" s="65">
        <v>155910</v>
      </c>
      <c r="Q716" s="65">
        <f t="shared" si="109"/>
        <v>34300.199999999997</v>
      </c>
      <c r="R716" s="65">
        <f t="shared" si="110"/>
        <v>190210.2</v>
      </c>
      <c r="S716" s="272"/>
      <c r="T716" s="64">
        <v>34</v>
      </c>
      <c r="U716" s="277"/>
      <c r="V716" s="38">
        <v>179006</v>
      </c>
      <c r="W716" s="38">
        <f t="shared" si="111"/>
        <v>39381.32</v>
      </c>
      <c r="X716" s="38">
        <f t="shared" si="112"/>
        <v>218387.32</v>
      </c>
    </row>
    <row r="717" spans="1:24" ht="30" customHeight="1" x14ac:dyDescent="0.35">
      <c r="A717" s="56" t="s">
        <v>2954</v>
      </c>
      <c r="B717" s="2">
        <v>680</v>
      </c>
      <c r="C717" s="77">
        <v>10125353</v>
      </c>
      <c r="D717" s="74" t="s">
        <v>332</v>
      </c>
      <c r="E717" s="74" t="s">
        <v>2151</v>
      </c>
      <c r="F717" s="75">
        <v>2</v>
      </c>
      <c r="G717" s="64" t="s">
        <v>0</v>
      </c>
      <c r="H717" s="61">
        <v>42004</v>
      </c>
      <c r="I717" s="61" t="s">
        <v>972</v>
      </c>
      <c r="J717" s="63" t="s">
        <v>1917</v>
      </c>
      <c r="K717" s="61" t="s">
        <v>961</v>
      </c>
      <c r="L717" s="69" t="s">
        <v>2093</v>
      </c>
      <c r="M717" s="70">
        <f t="shared" si="108"/>
        <v>60389.68</v>
      </c>
      <c r="N717" s="70">
        <f t="shared" si="107"/>
        <v>30194.84</v>
      </c>
      <c r="O717" s="70">
        <v>60389.68</v>
      </c>
      <c r="P717" s="65">
        <v>38530</v>
      </c>
      <c r="Q717" s="65">
        <f t="shared" si="109"/>
        <v>8476.6</v>
      </c>
      <c r="R717" s="65">
        <f t="shared" si="110"/>
        <v>47006.6</v>
      </c>
      <c r="S717" s="272"/>
      <c r="T717" s="64">
        <v>34</v>
      </c>
      <c r="U717" s="277"/>
      <c r="V717" s="38">
        <v>44241</v>
      </c>
      <c r="W717" s="38">
        <f t="shared" si="111"/>
        <v>9733.02</v>
      </c>
      <c r="X717" s="38">
        <f t="shared" si="112"/>
        <v>53974.02</v>
      </c>
    </row>
    <row r="718" spans="1:24" ht="38.25" customHeight="1" x14ac:dyDescent="0.35">
      <c r="A718" s="56" t="s">
        <v>2955</v>
      </c>
      <c r="B718" s="2">
        <v>681</v>
      </c>
      <c r="C718" s="77">
        <v>10092284</v>
      </c>
      <c r="D718" s="74" t="s">
        <v>57</v>
      </c>
      <c r="E718" s="103" t="s">
        <v>2150</v>
      </c>
      <c r="F718" s="75">
        <v>1</v>
      </c>
      <c r="G718" s="64" t="s">
        <v>0</v>
      </c>
      <c r="H718" s="61">
        <v>41577</v>
      </c>
      <c r="I718" s="74" t="s">
        <v>1918</v>
      </c>
      <c r="J718" s="63" t="s">
        <v>1917</v>
      </c>
      <c r="K718" s="88" t="s">
        <v>57</v>
      </c>
      <c r="L718" s="61" t="s">
        <v>845</v>
      </c>
      <c r="M718" s="65">
        <f t="shared" si="108"/>
        <v>11233.9</v>
      </c>
      <c r="N718" s="65">
        <f t="shared" si="107"/>
        <v>11233.9</v>
      </c>
      <c r="O718" s="65">
        <v>11233.9</v>
      </c>
      <c r="P718" s="65">
        <v>8480</v>
      </c>
      <c r="Q718" s="65">
        <f t="shared" si="109"/>
        <v>1865.6</v>
      </c>
      <c r="R718" s="65">
        <f t="shared" si="110"/>
        <v>10345.6</v>
      </c>
      <c r="S718" s="272"/>
      <c r="T718" s="64">
        <v>34</v>
      </c>
      <c r="U718" s="277"/>
      <c r="V718" s="38">
        <v>9733</v>
      </c>
      <c r="W718" s="38">
        <f t="shared" si="111"/>
        <v>2141.2600000000002</v>
      </c>
      <c r="X718" s="38">
        <f t="shared" si="112"/>
        <v>11874.26</v>
      </c>
    </row>
    <row r="719" spans="1:24" ht="30" customHeight="1" x14ac:dyDescent="0.35">
      <c r="A719" s="56" t="s">
        <v>2956</v>
      </c>
      <c r="B719" s="2">
        <v>682</v>
      </c>
      <c r="C719" s="77">
        <v>102000816</v>
      </c>
      <c r="D719" s="74" t="s">
        <v>155</v>
      </c>
      <c r="E719" s="103" t="s">
        <v>2150</v>
      </c>
      <c r="F719" s="75">
        <v>1</v>
      </c>
      <c r="G719" s="64" t="s">
        <v>0</v>
      </c>
      <c r="H719" s="61">
        <v>42004</v>
      </c>
      <c r="I719" s="101" t="s">
        <v>1918</v>
      </c>
      <c r="J719" s="63" t="s">
        <v>1917</v>
      </c>
      <c r="K719" s="63" t="s">
        <v>155</v>
      </c>
      <c r="L719" s="61" t="s">
        <v>845</v>
      </c>
      <c r="M719" s="65">
        <f t="shared" si="108"/>
        <v>24692.400000000001</v>
      </c>
      <c r="N719" s="65">
        <f t="shared" si="107"/>
        <v>24692.400000000001</v>
      </c>
      <c r="O719" s="65">
        <v>24692.400000000001</v>
      </c>
      <c r="P719" s="65">
        <v>15760</v>
      </c>
      <c r="Q719" s="65">
        <f t="shared" si="109"/>
        <v>3467.2</v>
      </c>
      <c r="R719" s="65">
        <f t="shared" si="110"/>
        <v>19227.2</v>
      </c>
      <c r="S719" s="272"/>
      <c r="T719" s="64">
        <v>34</v>
      </c>
      <c r="U719" s="277"/>
      <c r="V719" s="38">
        <v>18090</v>
      </c>
      <c r="W719" s="38">
        <f t="shared" si="111"/>
        <v>3979.8</v>
      </c>
      <c r="X719" s="38">
        <f t="shared" si="112"/>
        <v>22069.8</v>
      </c>
    </row>
    <row r="720" spans="1:24" ht="30" customHeight="1" x14ac:dyDescent="0.35">
      <c r="A720" s="56" t="s">
        <v>2957</v>
      </c>
      <c r="B720" s="2">
        <v>683</v>
      </c>
      <c r="C720" s="77">
        <v>102001181</v>
      </c>
      <c r="D720" s="74" t="s">
        <v>158</v>
      </c>
      <c r="E720" s="103" t="s">
        <v>2150</v>
      </c>
      <c r="F720" s="75">
        <v>1</v>
      </c>
      <c r="G720" s="64" t="s">
        <v>0</v>
      </c>
      <c r="H720" s="61">
        <v>42004</v>
      </c>
      <c r="I720" s="101" t="s">
        <v>1918</v>
      </c>
      <c r="J720" s="63" t="s">
        <v>1917</v>
      </c>
      <c r="K720" s="63" t="s">
        <v>158</v>
      </c>
      <c r="L720" s="61" t="s">
        <v>845</v>
      </c>
      <c r="M720" s="65">
        <f t="shared" si="108"/>
        <v>29993.4</v>
      </c>
      <c r="N720" s="65">
        <f t="shared" si="107"/>
        <v>29993.4</v>
      </c>
      <c r="O720" s="65">
        <v>29993.4</v>
      </c>
      <c r="P720" s="65">
        <v>19140</v>
      </c>
      <c r="Q720" s="65">
        <f t="shared" si="109"/>
        <v>4210.8</v>
      </c>
      <c r="R720" s="65">
        <f t="shared" si="110"/>
        <v>23350.799999999999</v>
      </c>
      <c r="S720" s="272"/>
      <c r="T720" s="64">
        <v>34</v>
      </c>
      <c r="U720" s="277"/>
      <c r="V720" s="38">
        <v>21973</v>
      </c>
      <c r="W720" s="38">
        <f t="shared" si="111"/>
        <v>4834.0600000000004</v>
      </c>
      <c r="X720" s="38">
        <f t="shared" si="112"/>
        <v>26807.06</v>
      </c>
    </row>
    <row r="721" spans="1:24" ht="36" customHeight="1" x14ac:dyDescent="0.35">
      <c r="A721" s="56" t="s">
        <v>2958</v>
      </c>
      <c r="B721" s="2">
        <v>684</v>
      </c>
      <c r="C721" s="77">
        <v>102001211</v>
      </c>
      <c r="D721" s="74" t="s">
        <v>159</v>
      </c>
      <c r="E721" s="103" t="s">
        <v>2150</v>
      </c>
      <c r="F721" s="75">
        <v>1</v>
      </c>
      <c r="G721" s="64" t="s">
        <v>0</v>
      </c>
      <c r="H721" s="61">
        <v>42004</v>
      </c>
      <c r="I721" s="101" t="s">
        <v>1918</v>
      </c>
      <c r="J721" s="63" t="s">
        <v>1917</v>
      </c>
      <c r="K721" s="63" t="s">
        <v>159</v>
      </c>
      <c r="L721" s="61" t="s">
        <v>845</v>
      </c>
      <c r="M721" s="65">
        <f t="shared" si="108"/>
        <v>29937.21</v>
      </c>
      <c r="N721" s="65">
        <f t="shared" si="107"/>
        <v>29937.21</v>
      </c>
      <c r="O721" s="65">
        <v>29937.21</v>
      </c>
      <c r="P721" s="65">
        <v>19100</v>
      </c>
      <c r="Q721" s="65">
        <f t="shared" si="109"/>
        <v>4202</v>
      </c>
      <c r="R721" s="65">
        <f t="shared" si="110"/>
        <v>23302</v>
      </c>
      <c r="S721" s="272"/>
      <c r="T721" s="64">
        <v>34</v>
      </c>
      <c r="U721" s="277"/>
      <c r="V721" s="38">
        <v>21932</v>
      </c>
      <c r="W721" s="38">
        <f t="shared" si="111"/>
        <v>4825.04</v>
      </c>
      <c r="X721" s="38">
        <f t="shared" si="112"/>
        <v>26757.040000000001</v>
      </c>
    </row>
    <row r="722" spans="1:24" ht="30" customHeight="1" x14ac:dyDescent="0.35">
      <c r="A722" s="56" t="s">
        <v>2959</v>
      </c>
      <c r="B722" s="2">
        <v>685</v>
      </c>
      <c r="C722" s="77">
        <v>10095548</v>
      </c>
      <c r="D722" s="74" t="s">
        <v>161</v>
      </c>
      <c r="E722" s="103" t="s">
        <v>2150</v>
      </c>
      <c r="F722" s="75">
        <v>2</v>
      </c>
      <c r="G722" s="64" t="s">
        <v>0</v>
      </c>
      <c r="H722" s="61">
        <v>42004</v>
      </c>
      <c r="I722" s="101" t="s">
        <v>1918</v>
      </c>
      <c r="J722" s="63" t="s">
        <v>1917</v>
      </c>
      <c r="K722" s="63" t="s">
        <v>161</v>
      </c>
      <c r="L722" s="61" t="s">
        <v>845</v>
      </c>
      <c r="M722" s="65">
        <f t="shared" si="108"/>
        <v>6955.5</v>
      </c>
      <c r="N722" s="65">
        <f t="shared" si="107"/>
        <v>3477.75</v>
      </c>
      <c r="O722" s="65">
        <v>6955.5</v>
      </c>
      <c r="P722" s="65">
        <v>4440</v>
      </c>
      <c r="Q722" s="65">
        <f t="shared" si="109"/>
        <v>976.8</v>
      </c>
      <c r="R722" s="65">
        <f t="shared" si="110"/>
        <v>5416.8</v>
      </c>
      <c r="S722" s="272"/>
      <c r="T722" s="64">
        <v>34</v>
      </c>
      <c r="U722" s="277"/>
      <c r="V722" s="38">
        <v>5096</v>
      </c>
      <c r="W722" s="38">
        <f t="shared" si="111"/>
        <v>1121.1199999999999</v>
      </c>
      <c r="X722" s="38">
        <f t="shared" si="112"/>
        <v>6217.12</v>
      </c>
    </row>
    <row r="723" spans="1:24" ht="30" customHeight="1" x14ac:dyDescent="0.35">
      <c r="A723" s="56" t="s">
        <v>2960</v>
      </c>
      <c r="B723" s="2">
        <v>686</v>
      </c>
      <c r="C723" s="77">
        <v>102001235</v>
      </c>
      <c r="D723" s="74" t="s">
        <v>162</v>
      </c>
      <c r="E723" s="103" t="s">
        <v>2150</v>
      </c>
      <c r="F723" s="75">
        <v>2</v>
      </c>
      <c r="G723" s="64" t="s">
        <v>0</v>
      </c>
      <c r="H723" s="61">
        <v>42004</v>
      </c>
      <c r="I723" s="101" t="s">
        <v>1918</v>
      </c>
      <c r="J723" s="63" t="s">
        <v>1917</v>
      </c>
      <c r="K723" s="63" t="s">
        <v>162</v>
      </c>
      <c r="L723" s="61" t="s">
        <v>845</v>
      </c>
      <c r="M723" s="65">
        <f t="shared" si="108"/>
        <v>50280.98</v>
      </c>
      <c r="N723" s="65">
        <f t="shared" si="107"/>
        <v>25140.49</v>
      </c>
      <c r="O723" s="65">
        <v>50280.98</v>
      </c>
      <c r="P723" s="65">
        <v>32080</v>
      </c>
      <c r="Q723" s="65">
        <f t="shared" si="109"/>
        <v>7057.6</v>
      </c>
      <c r="R723" s="65">
        <f t="shared" si="110"/>
        <v>39137.599999999999</v>
      </c>
      <c r="S723" s="272"/>
      <c r="T723" s="64">
        <v>34</v>
      </c>
      <c r="U723" s="277"/>
      <c r="V723" s="38">
        <v>36836</v>
      </c>
      <c r="W723" s="38">
        <f t="shared" si="111"/>
        <v>8103.92</v>
      </c>
      <c r="X723" s="38">
        <f t="shared" si="112"/>
        <v>44939.92</v>
      </c>
    </row>
    <row r="724" spans="1:24" ht="45" customHeight="1" x14ac:dyDescent="0.35">
      <c r="A724" s="56" t="s">
        <v>2961</v>
      </c>
      <c r="B724" s="2">
        <v>687</v>
      </c>
      <c r="C724" s="77">
        <v>102001188</v>
      </c>
      <c r="D724" s="74" t="s">
        <v>163</v>
      </c>
      <c r="E724" s="103" t="s">
        <v>2150</v>
      </c>
      <c r="F724" s="75">
        <v>3</v>
      </c>
      <c r="G724" s="64" t="s">
        <v>0</v>
      </c>
      <c r="H724" s="61">
        <v>42004</v>
      </c>
      <c r="I724" s="101" t="s">
        <v>1918</v>
      </c>
      <c r="J724" s="63" t="s">
        <v>1917</v>
      </c>
      <c r="K724" s="63" t="s">
        <v>163</v>
      </c>
      <c r="L724" s="61" t="s">
        <v>845</v>
      </c>
      <c r="M724" s="65">
        <f t="shared" si="108"/>
        <v>64612.89</v>
      </c>
      <c r="N724" s="65">
        <f t="shared" si="107"/>
        <v>21537.63</v>
      </c>
      <c r="O724" s="65">
        <v>64612.89</v>
      </c>
      <c r="P724" s="65">
        <v>41230</v>
      </c>
      <c r="Q724" s="65">
        <f t="shared" si="109"/>
        <v>9070.6</v>
      </c>
      <c r="R724" s="65">
        <f t="shared" si="110"/>
        <v>50300.6</v>
      </c>
      <c r="S724" s="272"/>
      <c r="T724" s="64">
        <v>34</v>
      </c>
      <c r="U724" s="277"/>
      <c r="V724" s="38">
        <v>47335</v>
      </c>
      <c r="W724" s="38">
        <f t="shared" si="111"/>
        <v>10413.700000000001</v>
      </c>
      <c r="X724" s="38">
        <f t="shared" si="112"/>
        <v>57748.7</v>
      </c>
    </row>
    <row r="725" spans="1:24" ht="62.25" customHeight="1" x14ac:dyDescent="0.35">
      <c r="A725" s="56" t="s">
        <v>2962</v>
      </c>
      <c r="B725" s="2">
        <v>688</v>
      </c>
      <c r="C725" s="77">
        <v>10090146</v>
      </c>
      <c r="D725" s="74" t="s">
        <v>172</v>
      </c>
      <c r="E725" s="74" t="s">
        <v>4175</v>
      </c>
      <c r="F725" s="75">
        <v>1</v>
      </c>
      <c r="G725" s="64" t="s">
        <v>0</v>
      </c>
      <c r="H725" s="61">
        <v>42004</v>
      </c>
      <c r="I725" s="61" t="s">
        <v>958</v>
      </c>
      <c r="J725" s="63" t="s">
        <v>1917</v>
      </c>
      <c r="K725" s="88" t="s">
        <v>1957</v>
      </c>
      <c r="L725" s="88" t="s">
        <v>845</v>
      </c>
      <c r="M725" s="76">
        <f t="shared" si="108"/>
        <v>18640</v>
      </c>
      <c r="N725" s="76">
        <f t="shared" si="107"/>
        <v>18640</v>
      </c>
      <c r="O725" s="76">
        <v>18640</v>
      </c>
      <c r="P725" s="65">
        <v>11890</v>
      </c>
      <c r="Q725" s="65">
        <f t="shared" si="109"/>
        <v>2615.8000000000002</v>
      </c>
      <c r="R725" s="65">
        <f t="shared" si="110"/>
        <v>14505.8</v>
      </c>
      <c r="S725" s="272"/>
      <c r="T725" s="64">
        <v>34</v>
      </c>
      <c r="U725" s="277"/>
      <c r="V725" s="38">
        <v>13656</v>
      </c>
      <c r="W725" s="38">
        <f t="shared" si="111"/>
        <v>3004.32</v>
      </c>
      <c r="X725" s="38">
        <f t="shared" si="112"/>
        <v>16660.32</v>
      </c>
    </row>
    <row r="726" spans="1:24" ht="59.25" customHeight="1" x14ac:dyDescent="0.35">
      <c r="A726" s="56" t="s">
        <v>2963</v>
      </c>
      <c r="B726" s="2">
        <v>689</v>
      </c>
      <c r="C726" s="77">
        <v>10106106</v>
      </c>
      <c r="D726" s="74" t="s">
        <v>176</v>
      </c>
      <c r="E726" s="74" t="s">
        <v>4175</v>
      </c>
      <c r="F726" s="75">
        <v>1</v>
      </c>
      <c r="G726" s="64" t="s">
        <v>0</v>
      </c>
      <c r="H726" s="61">
        <v>42004</v>
      </c>
      <c r="I726" s="61" t="s">
        <v>958</v>
      </c>
      <c r="J726" s="63" t="s">
        <v>1917</v>
      </c>
      <c r="K726" s="88" t="s">
        <v>1958</v>
      </c>
      <c r="L726" s="88" t="s">
        <v>845</v>
      </c>
      <c r="M726" s="76">
        <f t="shared" si="108"/>
        <v>16920</v>
      </c>
      <c r="N726" s="76">
        <f t="shared" si="107"/>
        <v>16920</v>
      </c>
      <c r="O726" s="76">
        <v>16920</v>
      </c>
      <c r="P726" s="65">
        <v>10800</v>
      </c>
      <c r="Q726" s="65">
        <f t="shared" si="109"/>
        <v>2376</v>
      </c>
      <c r="R726" s="65">
        <f t="shared" si="110"/>
        <v>13176</v>
      </c>
      <c r="S726" s="272"/>
      <c r="T726" s="64">
        <v>34</v>
      </c>
      <c r="U726" s="277"/>
      <c r="V726" s="38">
        <v>12396</v>
      </c>
      <c r="W726" s="38">
        <f t="shared" si="111"/>
        <v>2727.12</v>
      </c>
      <c r="X726" s="38">
        <f t="shared" si="112"/>
        <v>15123.12</v>
      </c>
    </row>
    <row r="727" spans="1:24" ht="63.75" customHeight="1" x14ac:dyDescent="0.35">
      <c r="A727" s="56" t="s">
        <v>2964</v>
      </c>
      <c r="B727" s="2">
        <v>690</v>
      </c>
      <c r="C727" s="77">
        <v>102001104</v>
      </c>
      <c r="D727" s="74" t="s">
        <v>182</v>
      </c>
      <c r="E727" s="74" t="s">
        <v>4175</v>
      </c>
      <c r="F727" s="75">
        <v>1</v>
      </c>
      <c r="G727" s="64" t="s">
        <v>0</v>
      </c>
      <c r="H727" s="61">
        <v>40543</v>
      </c>
      <c r="I727" s="61" t="s">
        <v>958</v>
      </c>
      <c r="J727" s="63" t="s">
        <v>1917</v>
      </c>
      <c r="K727" s="88" t="s">
        <v>1959</v>
      </c>
      <c r="L727" s="88" t="s">
        <v>845</v>
      </c>
      <c r="M727" s="76">
        <f t="shared" si="108"/>
        <v>33454.92</v>
      </c>
      <c r="N727" s="76">
        <f t="shared" si="107"/>
        <v>33454.92</v>
      </c>
      <c r="O727" s="76">
        <v>33454.92</v>
      </c>
      <c r="P727" s="65">
        <v>23760</v>
      </c>
      <c r="Q727" s="65">
        <f t="shared" si="109"/>
        <v>5227.2</v>
      </c>
      <c r="R727" s="65">
        <f t="shared" si="110"/>
        <v>28987.200000000001</v>
      </c>
      <c r="S727" s="272"/>
      <c r="T727" s="64">
        <v>34</v>
      </c>
      <c r="U727" s="277"/>
      <c r="V727" s="38">
        <v>27276</v>
      </c>
      <c r="W727" s="38">
        <f t="shared" si="111"/>
        <v>6000.72</v>
      </c>
      <c r="X727" s="38">
        <f t="shared" si="112"/>
        <v>33276.720000000001</v>
      </c>
    </row>
    <row r="728" spans="1:24" ht="42" customHeight="1" x14ac:dyDescent="0.35">
      <c r="A728" s="56" t="s">
        <v>2965</v>
      </c>
      <c r="B728" s="2">
        <v>691</v>
      </c>
      <c r="C728" s="77">
        <v>102001505</v>
      </c>
      <c r="D728" s="74" t="s">
        <v>223</v>
      </c>
      <c r="E728" s="74" t="s">
        <v>2156</v>
      </c>
      <c r="F728" s="75">
        <v>1</v>
      </c>
      <c r="G728" s="64" t="s">
        <v>0</v>
      </c>
      <c r="H728" s="61">
        <v>42036</v>
      </c>
      <c r="I728" s="64" t="s">
        <v>2094</v>
      </c>
      <c r="J728" s="63" t="s">
        <v>1917</v>
      </c>
      <c r="K728" s="61" t="s">
        <v>961</v>
      </c>
      <c r="L728" s="88" t="s">
        <v>845</v>
      </c>
      <c r="M728" s="76">
        <f t="shared" si="108"/>
        <v>122717.18</v>
      </c>
      <c r="N728" s="76">
        <f t="shared" si="107"/>
        <v>122717.18</v>
      </c>
      <c r="O728" s="76">
        <v>122717.18</v>
      </c>
      <c r="P728" s="65">
        <v>75110</v>
      </c>
      <c r="Q728" s="65">
        <f t="shared" si="109"/>
        <v>16524.2</v>
      </c>
      <c r="R728" s="65">
        <f t="shared" si="110"/>
        <v>91634.2</v>
      </c>
      <c r="S728" s="272"/>
      <c r="T728" s="64">
        <v>34</v>
      </c>
      <c r="U728" s="277"/>
      <c r="V728" s="38">
        <v>86231</v>
      </c>
      <c r="W728" s="38">
        <f t="shared" si="111"/>
        <v>18970.82</v>
      </c>
      <c r="X728" s="38">
        <f t="shared" si="112"/>
        <v>105201.82</v>
      </c>
    </row>
    <row r="729" spans="1:24" ht="42" customHeight="1" x14ac:dyDescent="0.35">
      <c r="A729" s="56" t="s">
        <v>2966</v>
      </c>
      <c r="B729" s="2">
        <v>692</v>
      </c>
      <c r="C729" s="77">
        <v>10124340</v>
      </c>
      <c r="D729" s="74" t="s">
        <v>229</v>
      </c>
      <c r="E729" s="74" t="s">
        <v>2156</v>
      </c>
      <c r="F729" s="75">
        <v>2</v>
      </c>
      <c r="G729" s="64" t="s">
        <v>0</v>
      </c>
      <c r="H729" s="61">
        <v>42036</v>
      </c>
      <c r="I729" s="61" t="s">
        <v>2094</v>
      </c>
      <c r="J729" s="63" t="s">
        <v>1917</v>
      </c>
      <c r="K729" s="61" t="s">
        <v>961</v>
      </c>
      <c r="L729" s="88" t="s">
        <v>845</v>
      </c>
      <c r="M729" s="76">
        <f t="shared" si="108"/>
        <v>47772.57</v>
      </c>
      <c r="N729" s="76">
        <f t="shared" si="107"/>
        <v>23886.29</v>
      </c>
      <c r="O729" s="76">
        <v>47772.57</v>
      </c>
      <c r="P729" s="65">
        <v>29240</v>
      </c>
      <c r="Q729" s="65">
        <f t="shared" si="109"/>
        <v>6432.8</v>
      </c>
      <c r="R729" s="65">
        <f t="shared" si="110"/>
        <v>35672.800000000003</v>
      </c>
      <c r="S729" s="272"/>
      <c r="T729" s="64">
        <v>34</v>
      </c>
      <c r="U729" s="277"/>
      <c r="V729" s="38">
        <v>33569</v>
      </c>
      <c r="W729" s="38">
        <f t="shared" si="111"/>
        <v>7385.18</v>
      </c>
      <c r="X729" s="38">
        <f t="shared" si="112"/>
        <v>40954.18</v>
      </c>
    </row>
    <row r="730" spans="1:24" ht="42" customHeight="1" x14ac:dyDescent="0.35">
      <c r="A730" s="56" t="s">
        <v>2967</v>
      </c>
      <c r="B730" s="2">
        <v>693</v>
      </c>
      <c r="C730" s="145">
        <v>102001362</v>
      </c>
      <c r="D730" s="106" t="s">
        <v>533</v>
      </c>
      <c r="E730" s="74" t="s">
        <v>2156</v>
      </c>
      <c r="F730" s="75">
        <v>1</v>
      </c>
      <c r="G730" s="64" t="s">
        <v>0</v>
      </c>
      <c r="H730" s="61">
        <v>42036</v>
      </c>
      <c r="I730" s="107" t="s">
        <v>2094</v>
      </c>
      <c r="J730" s="63" t="s">
        <v>1917</v>
      </c>
      <c r="K730" s="108" t="s">
        <v>795</v>
      </c>
      <c r="L730" s="64" t="s">
        <v>845</v>
      </c>
      <c r="M730" s="65">
        <f t="shared" si="108"/>
        <v>458601.12</v>
      </c>
      <c r="N730" s="65">
        <f t="shared" si="107"/>
        <v>458601.12</v>
      </c>
      <c r="O730" s="65">
        <v>458601.12</v>
      </c>
      <c r="P730" s="65">
        <v>280680</v>
      </c>
      <c r="Q730" s="65">
        <f t="shared" si="109"/>
        <v>61749.599999999999</v>
      </c>
      <c r="R730" s="65">
        <f t="shared" si="110"/>
        <v>342429.6</v>
      </c>
      <c r="S730" s="272"/>
      <c r="T730" s="64">
        <v>34</v>
      </c>
      <c r="U730" s="277"/>
      <c r="V730" s="38">
        <v>322250</v>
      </c>
      <c r="W730" s="38">
        <f t="shared" si="111"/>
        <v>70895</v>
      </c>
      <c r="X730" s="38">
        <f t="shared" si="112"/>
        <v>393145</v>
      </c>
    </row>
    <row r="731" spans="1:24" ht="41.25" customHeight="1" x14ac:dyDescent="0.35">
      <c r="A731" s="56" t="s">
        <v>2968</v>
      </c>
      <c r="B731" s="2">
        <v>694</v>
      </c>
      <c r="C731" s="74">
        <v>10145283</v>
      </c>
      <c r="D731" s="74" t="s">
        <v>219</v>
      </c>
      <c r="E731" s="74" t="s">
        <v>2156</v>
      </c>
      <c r="F731" s="127">
        <v>1</v>
      </c>
      <c r="G731" s="128" t="s">
        <v>0</v>
      </c>
      <c r="H731" s="146">
        <v>42036</v>
      </c>
      <c r="I731" s="64" t="s">
        <v>2094</v>
      </c>
      <c r="J731" s="63" t="s">
        <v>2143</v>
      </c>
      <c r="K731" s="63" t="s">
        <v>961</v>
      </c>
      <c r="L731" s="64" t="s">
        <v>845</v>
      </c>
      <c r="M731" s="65">
        <f t="shared" si="108"/>
        <v>41750</v>
      </c>
      <c r="N731" s="65">
        <f t="shared" si="107"/>
        <v>41750</v>
      </c>
      <c r="O731" s="65">
        <v>41750</v>
      </c>
      <c r="P731" s="65">
        <v>29870</v>
      </c>
      <c r="Q731" s="65">
        <f t="shared" si="109"/>
        <v>6571.4</v>
      </c>
      <c r="R731" s="65">
        <f t="shared" si="110"/>
        <v>36441.4</v>
      </c>
      <c r="S731" s="272"/>
      <c r="T731" s="64">
        <v>34</v>
      </c>
      <c r="U731" s="277"/>
      <c r="V731" s="38">
        <v>34297</v>
      </c>
      <c r="W731" s="38">
        <f t="shared" si="111"/>
        <v>7545.34</v>
      </c>
      <c r="X731" s="38">
        <f t="shared" si="112"/>
        <v>41842.339999999997</v>
      </c>
    </row>
    <row r="732" spans="1:24" ht="41.25" customHeight="1" x14ac:dyDescent="0.35">
      <c r="A732" s="56" t="s">
        <v>2969</v>
      </c>
      <c r="B732" s="2">
        <v>695</v>
      </c>
      <c r="C732" s="74">
        <v>10145285</v>
      </c>
      <c r="D732" s="74" t="s">
        <v>220</v>
      </c>
      <c r="E732" s="74" t="s">
        <v>2156</v>
      </c>
      <c r="F732" s="127">
        <v>1</v>
      </c>
      <c r="G732" s="128" t="s">
        <v>0</v>
      </c>
      <c r="H732" s="129">
        <v>42004</v>
      </c>
      <c r="I732" s="64" t="s">
        <v>2094</v>
      </c>
      <c r="J732" s="63" t="s">
        <v>2143</v>
      </c>
      <c r="K732" s="108" t="s">
        <v>815</v>
      </c>
      <c r="L732" s="64" t="s">
        <v>845</v>
      </c>
      <c r="M732" s="65">
        <f t="shared" si="108"/>
        <v>99600</v>
      </c>
      <c r="N732" s="65">
        <f t="shared" si="107"/>
        <v>99600</v>
      </c>
      <c r="O732" s="65">
        <v>99600</v>
      </c>
      <c r="P732" s="65">
        <v>63550</v>
      </c>
      <c r="Q732" s="65">
        <f t="shared" si="109"/>
        <v>13981</v>
      </c>
      <c r="R732" s="65">
        <f t="shared" si="110"/>
        <v>77531</v>
      </c>
      <c r="S732" s="272"/>
      <c r="T732" s="64">
        <v>34</v>
      </c>
      <c r="U732" s="277"/>
      <c r="V732" s="38">
        <v>72967</v>
      </c>
      <c r="W732" s="38">
        <f t="shared" si="111"/>
        <v>16052.74</v>
      </c>
      <c r="X732" s="38">
        <f t="shared" si="112"/>
        <v>89019.74</v>
      </c>
    </row>
    <row r="733" spans="1:24" ht="41.25" customHeight="1" x14ac:dyDescent="0.35">
      <c r="A733" s="56" t="s">
        <v>2970</v>
      </c>
      <c r="B733" s="2">
        <v>696</v>
      </c>
      <c r="C733" s="74">
        <v>10145248</v>
      </c>
      <c r="D733" s="74" t="s">
        <v>218</v>
      </c>
      <c r="E733" s="74" t="s">
        <v>2156</v>
      </c>
      <c r="F733" s="127">
        <v>1</v>
      </c>
      <c r="G733" s="128" t="s">
        <v>0</v>
      </c>
      <c r="H733" s="146">
        <v>42036</v>
      </c>
      <c r="I733" s="64" t="s">
        <v>2094</v>
      </c>
      <c r="J733" s="63" t="s">
        <v>2143</v>
      </c>
      <c r="K733" s="63" t="s">
        <v>961</v>
      </c>
      <c r="L733" s="64" t="s">
        <v>845</v>
      </c>
      <c r="M733" s="65">
        <f t="shared" si="108"/>
        <v>54850</v>
      </c>
      <c r="N733" s="65">
        <f t="shared" si="107"/>
        <v>54850</v>
      </c>
      <c r="O733" s="65">
        <v>54850</v>
      </c>
      <c r="P733" s="65">
        <v>33570</v>
      </c>
      <c r="Q733" s="65">
        <f t="shared" si="109"/>
        <v>7385.4</v>
      </c>
      <c r="R733" s="65">
        <f t="shared" si="110"/>
        <v>40955.4</v>
      </c>
      <c r="S733" s="272"/>
      <c r="T733" s="64">
        <v>34</v>
      </c>
      <c r="U733" s="277"/>
      <c r="V733" s="38">
        <v>38542</v>
      </c>
      <c r="W733" s="38">
        <f t="shared" si="111"/>
        <v>8479.24</v>
      </c>
      <c r="X733" s="38">
        <f t="shared" si="112"/>
        <v>47021.24</v>
      </c>
    </row>
    <row r="734" spans="1:24" ht="42" customHeight="1" x14ac:dyDescent="0.35">
      <c r="A734" s="56" t="s">
        <v>2971</v>
      </c>
      <c r="B734" s="2">
        <v>697</v>
      </c>
      <c r="C734" s="77">
        <v>102001108</v>
      </c>
      <c r="D734" s="74" t="s">
        <v>308</v>
      </c>
      <c r="E734" s="74" t="s">
        <v>2151</v>
      </c>
      <c r="F734" s="75">
        <v>1</v>
      </c>
      <c r="G734" s="64" t="s">
        <v>0</v>
      </c>
      <c r="H734" s="101" t="s">
        <v>494</v>
      </c>
      <c r="I734" s="61" t="s">
        <v>972</v>
      </c>
      <c r="J734" s="63" t="s">
        <v>1917</v>
      </c>
      <c r="K734" s="61" t="s">
        <v>961</v>
      </c>
      <c r="L734" s="61" t="s">
        <v>845</v>
      </c>
      <c r="M734" s="65">
        <f t="shared" si="108"/>
        <v>26399.93</v>
      </c>
      <c r="N734" s="65">
        <f t="shared" ref="N734:N752" si="113">O734/F734</f>
        <v>26399.93</v>
      </c>
      <c r="O734" s="65">
        <v>26399.93</v>
      </c>
      <c r="P734" s="65">
        <v>16850</v>
      </c>
      <c r="Q734" s="65">
        <f t="shared" si="109"/>
        <v>3707</v>
      </c>
      <c r="R734" s="65">
        <f t="shared" si="110"/>
        <v>20557</v>
      </c>
      <c r="S734" s="272"/>
      <c r="T734" s="64">
        <v>34</v>
      </c>
      <c r="U734" s="277"/>
      <c r="V734" s="38">
        <v>19341</v>
      </c>
      <c r="W734" s="38">
        <f t="shared" si="111"/>
        <v>4255.0200000000004</v>
      </c>
      <c r="X734" s="38">
        <f t="shared" si="112"/>
        <v>23596.02</v>
      </c>
    </row>
    <row r="735" spans="1:24" ht="30" customHeight="1" x14ac:dyDescent="0.35">
      <c r="A735" s="56" t="s">
        <v>2972</v>
      </c>
      <c r="B735" s="2">
        <v>698</v>
      </c>
      <c r="C735" s="77">
        <v>102000929</v>
      </c>
      <c r="D735" s="74" t="s">
        <v>342</v>
      </c>
      <c r="E735" s="74" t="s">
        <v>2151</v>
      </c>
      <c r="F735" s="75">
        <v>2</v>
      </c>
      <c r="G735" s="64" t="s">
        <v>0</v>
      </c>
      <c r="H735" s="101" t="s">
        <v>494</v>
      </c>
      <c r="I735" s="101" t="s">
        <v>972</v>
      </c>
      <c r="J735" s="63" t="s">
        <v>1917</v>
      </c>
      <c r="K735" s="61" t="s">
        <v>961</v>
      </c>
      <c r="L735" s="61" t="s">
        <v>845</v>
      </c>
      <c r="M735" s="65">
        <f t="shared" si="108"/>
        <v>78143</v>
      </c>
      <c r="N735" s="65">
        <f t="shared" si="113"/>
        <v>39071.5</v>
      </c>
      <c r="O735" s="65">
        <v>78143</v>
      </c>
      <c r="P735" s="65">
        <v>49860</v>
      </c>
      <c r="Q735" s="65">
        <f t="shared" si="109"/>
        <v>10969.2</v>
      </c>
      <c r="R735" s="65">
        <f t="shared" si="110"/>
        <v>60829.2</v>
      </c>
      <c r="S735" s="272"/>
      <c r="T735" s="64">
        <v>34</v>
      </c>
      <c r="U735" s="277"/>
      <c r="V735" s="38">
        <v>57248</v>
      </c>
      <c r="W735" s="38">
        <f t="shared" si="111"/>
        <v>12594.56</v>
      </c>
      <c r="X735" s="38">
        <f t="shared" si="112"/>
        <v>69842.559999999998</v>
      </c>
    </row>
    <row r="736" spans="1:24" ht="30" customHeight="1" x14ac:dyDescent="0.35">
      <c r="A736" s="56" t="s">
        <v>2973</v>
      </c>
      <c r="B736" s="2">
        <v>699</v>
      </c>
      <c r="C736" s="77">
        <v>102001010</v>
      </c>
      <c r="D736" s="74" t="s">
        <v>344</v>
      </c>
      <c r="E736" s="74" t="s">
        <v>2151</v>
      </c>
      <c r="F736" s="75">
        <v>2</v>
      </c>
      <c r="G736" s="64" t="s">
        <v>0</v>
      </c>
      <c r="H736" s="101" t="s">
        <v>494</v>
      </c>
      <c r="I736" s="61" t="s">
        <v>972</v>
      </c>
      <c r="J736" s="63" t="s">
        <v>1917</v>
      </c>
      <c r="K736" s="61" t="s">
        <v>961</v>
      </c>
      <c r="L736" s="61" t="s">
        <v>845</v>
      </c>
      <c r="M736" s="65">
        <f t="shared" si="108"/>
        <v>78143</v>
      </c>
      <c r="N736" s="65">
        <f t="shared" si="113"/>
        <v>39071.5</v>
      </c>
      <c r="O736" s="65">
        <v>78143</v>
      </c>
      <c r="P736" s="65">
        <v>49860</v>
      </c>
      <c r="Q736" s="65">
        <f t="shared" si="109"/>
        <v>10969.2</v>
      </c>
      <c r="R736" s="65">
        <f t="shared" si="110"/>
        <v>60829.2</v>
      </c>
      <c r="S736" s="272"/>
      <c r="T736" s="64">
        <v>34</v>
      </c>
      <c r="U736" s="277"/>
      <c r="V736" s="38">
        <v>57248</v>
      </c>
      <c r="W736" s="38">
        <f t="shared" si="111"/>
        <v>12594.56</v>
      </c>
      <c r="X736" s="38">
        <f t="shared" si="112"/>
        <v>69842.559999999998</v>
      </c>
    </row>
    <row r="737" spans="1:24" ht="30" customHeight="1" x14ac:dyDescent="0.35">
      <c r="A737" s="56" t="s">
        <v>2974</v>
      </c>
      <c r="B737" s="2">
        <v>700</v>
      </c>
      <c r="C737" s="77">
        <v>102002013</v>
      </c>
      <c r="D737" s="74" t="s">
        <v>265</v>
      </c>
      <c r="E737" s="74" t="s">
        <v>2151</v>
      </c>
      <c r="F737" s="75">
        <v>1</v>
      </c>
      <c r="G737" s="64" t="s">
        <v>0</v>
      </c>
      <c r="H737" s="61">
        <v>39576</v>
      </c>
      <c r="I737" s="101" t="s">
        <v>972</v>
      </c>
      <c r="J737" s="63" t="s">
        <v>1917</v>
      </c>
      <c r="K737" s="61" t="s">
        <v>961</v>
      </c>
      <c r="L737" s="69" t="s">
        <v>2093</v>
      </c>
      <c r="M737" s="70">
        <f t="shared" si="108"/>
        <v>181039.6</v>
      </c>
      <c r="N737" s="70">
        <f t="shared" si="113"/>
        <v>181039.6</v>
      </c>
      <c r="O737" s="70">
        <v>181039.6</v>
      </c>
      <c r="P737" s="65">
        <v>145770</v>
      </c>
      <c r="Q737" s="65">
        <f t="shared" si="109"/>
        <v>32069.4</v>
      </c>
      <c r="R737" s="65">
        <f t="shared" si="110"/>
        <v>177839.4</v>
      </c>
      <c r="S737" s="272"/>
      <c r="T737" s="64">
        <v>34</v>
      </c>
      <c r="U737" s="277"/>
      <c r="V737" s="38">
        <v>167360</v>
      </c>
      <c r="W737" s="38">
        <f t="shared" si="111"/>
        <v>36819.199999999997</v>
      </c>
      <c r="X737" s="38">
        <f t="shared" si="112"/>
        <v>204179.20000000001</v>
      </c>
    </row>
    <row r="738" spans="1:24" ht="26.5" customHeight="1" x14ac:dyDescent="0.35">
      <c r="A738" s="56" t="s">
        <v>2975</v>
      </c>
      <c r="B738" s="2">
        <v>701</v>
      </c>
      <c r="C738" s="77">
        <v>10015023</v>
      </c>
      <c r="D738" s="74" t="s">
        <v>151</v>
      </c>
      <c r="E738" s="103" t="s">
        <v>2150</v>
      </c>
      <c r="F738" s="75">
        <v>1</v>
      </c>
      <c r="G738" s="64" t="s">
        <v>0</v>
      </c>
      <c r="H738" s="61">
        <v>42004</v>
      </c>
      <c r="I738" s="105" t="s">
        <v>1918</v>
      </c>
      <c r="J738" s="63" t="s">
        <v>1917</v>
      </c>
      <c r="K738" s="63" t="s">
        <v>151</v>
      </c>
      <c r="L738" s="61" t="s">
        <v>845</v>
      </c>
      <c r="M738" s="65">
        <f t="shared" si="108"/>
        <v>3450</v>
      </c>
      <c r="N738" s="65">
        <f t="shared" si="113"/>
        <v>3450</v>
      </c>
      <c r="O738" s="65">
        <v>3450</v>
      </c>
      <c r="P738" s="65">
        <v>2200</v>
      </c>
      <c r="Q738" s="65">
        <f t="shared" si="109"/>
        <v>484</v>
      </c>
      <c r="R738" s="65">
        <f t="shared" si="110"/>
        <v>2684</v>
      </c>
      <c r="S738" s="272"/>
      <c r="T738" s="64">
        <v>34</v>
      </c>
      <c r="U738" s="277"/>
      <c r="V738" s="38">
        <v>2527</v>
      </c>
      <c r="W738" s="38">
        <f t="shared" si="111"/>
        <v>555.94000000000005</v>
      </c>
      <c r="X738" s="38">
        <f t="shared" si="112"/>
        <v>3082.94</v>
      </c>
    </row>
    <row r="739" spans="1:24" ht="27" customHeight="1" x14ac:dyDescent="0.35">
      <c r="A739" s="56" t="s">
        <v>2976</v>
      </c>
      <c r="B739" s="2">
        <v>702</v>
      </c>
      <c r="C739" s="77">
        <v>102000847</v>
      </c>
      <c r="D739" s="74" t="s">
        <v>156</v>
      </c>
      <c r="E739" s="103" t="s">
        <v>2150</v>
      </c>
      <c r="F739" s="75">
        <v>1</v>
      </c>
      <c r="G739" s="64" t="s">
        <v>0</v>
      </c>
      <c r="H739" s="61">
        <v>42004</v>
      </c>
      <c r="I739" s="105" t="s">
        <v>1918</v>
      </c>
      <c r="J739" s="63" t="s">
        <v>1917</v>
      </c>
      <c r="K739" s="63" t="s">
        <v>156</v>
      </c>
      <c r="L739" s="61" t="s">
        <v>845</v>
      </c>
      <c r="M739" s="65">
        <f t="shared" si="108"/>
        <v>11254.23</v>
      </c>
      <c r="N739" s="65">
        <f t="shared" si="113"/>
        <v>11254.23</v>
      </c>
      <c r="O739" s="65">
        <v>11254.23</v>
      </c>
      <c r="P739" s="65">
        <v>7180</v>
      </c>
      <c r="Q739" s="65">
        <f t="shared" si="109"/>
        <v>1579.6</v>
      </c>
      <c r="R739" s="65">
        <f t="shared" si="110"/>
        <v>8759.6</v>
      </c>
      <c r="S739" s="272"/>
      <c r="T739" s="64">
        <v>34</v>
      </c>
      <c r="U739" s="277"/>
      <c r="V739" s="38">
        <v>8245</v>
      </c>
      <c r="W739" s="38">
        <f t="shared" si="111"/>
        <v>1813.9</v>
      </c>
      <c r="X739" s="38">
        <f t="shared" si="112"/>
        <v>10058.9</v>
      </c>
    </row>
    <row r="740" spans="1:24" ht="30" customHeight="1" x14ac:dyDescent="0.35">
      <c r="A740" s="56" t="s">
        <v>2977</v>
      </c>
      <c r="B740" s="2">
        <v>703</v>
      </c>
      <c r="C740" s="77">
        <v>10036509</v>
      </c>
      <c r="D740" s="74" t="s">
        <v>160</v>
      </c>
      <c r="E740" s="147" t="s">
        <v>2150</v>
      </c>
      <c r="F740" s="75">
        <v>2</v>
      </c>
      <c r="G740" s="64" t="s">
        <v>0</v>
      </c>
      <c r="H740" s="61">
        <v>42004</v>
      </c>
      <c r="I740" s="105" t="s">
        <v>1918</v>
      </c>
      <c r="J740" s="63" t="s">
        <v>1917</v>
      </c>
      <c r="K740" s="63" t="s">
        <v>160</v>
      </c>
      <c r="L740" s="61" t="s">
        <v>845</v>
      </c>
      <c r="M740" s="65">
        <f t="shared" si="108"/>
        <v>5694.92</v>
      </c>
      <c r="N740" s="65">
        <f t="shared" si="113"/>
        <v>2847.46</v>
      </c>
      <c r="O740" s="65">
        <v>5694.92</v>
      </c>
      <c r="P740" s="65">
        <v>3630</v>
      </c>
      <c r="Q740" s="65">
        <f t="shared" si="109"/>
        <v>798.6</v>
      </c>
      <c r="R740" s="65">
        <f t="shared" si="110"/>
        <v>4428.6000000000004</v>
      </c>
      <c r="S740" s="272"/>
      <c r="T740" s="64">
        <v>34</v>
      </c>
      <c r="U740" s="277"/>
      <c r="V740" s="38">
        <v>4172</v>
      </c>
      <c r="W740" s="38">
        <f t="shared" si="111"/>
        <v>917.84</v>
      </c>
      <c r="X740" s="38">
        <f t="shared" si="112"/>
        <v>5089.84</v>
      </c>
    </row>
    <row r="741" spans="1:24" ht="30" customHeight="1" x14ac:dyDescent="0.35">
      <c r="A741" s="56" t="s">
        <v>2978</v>
      </c>
      <c r="B741" s="2">
        <v>704</v>
      </c>
      <c r="C741" s="77">
        <v>10039602</v>
      </c>
      <c r="D741" s="74" t="s">
        <v>169</v>
      </c>
      <c r="E741" s="74" t="s">
        <v>4175</v>
      </c>
      <c r="F741" s="75">
        <v>1</v>
      </c>
      <c r="G741" s="64" t="s">
        <v>0</v>
      </c>
      <c r="H741" s="61">
        <v>40543</v>
      </c>
      <c r="I741" s="62" t="s">
        <v>958</v>
      </c>
      <c r="J741" s="63" t="s">
        <v>1917</v>
      </c>
      <c r="K741" s="88" t="s">
        <v>169</v>
      </c>
      <c r="L741" s="88" t="s">
        <v>845</v>
      </c>
      <c r="M741" s="148">
        <f t="shared" si="108"/>
        <v>8510.7800000000007</v>
      </c>
      <c r="N741" s="148">
        <f t="shared" si="113"/>
        <v>8510.7800000000007</v>
      </c>
      <c r="O741" s="76">
        <v>8510.7800000000007</v>
      </c>
      <c r="P741" s="65">
        <v>6040</v>
      </c>
      <c r="Q741" s="65">
        <f t="shared" si="109"/>
        <v>1328.8</v>
      </c>
      <c r="R741" s="65">
        <f t="shared" si="110"/>
        <v>7368.8</v>
      </c>
      <c r="S741" s="272"/>
      <c r="T741" s="64">
        <v>34</v>
      </c>
      <c r="U741" s="277"/>
      <c r="V741" s="38">
        <v>6939</v>
      </c>
      <c r="W741" s="38">
        <f t="shared" si="111"/>
        <v>1526.58</v>
      </c>
      <c r="X741" s="38">
        <f t="shared" si="112"/>
        <v>8465.58</v>
      </c>
    </row>
    <row r="742" spans="1:24" ht="37.5" customHeight="1" x14ac:dyDescent="0.35">
      <c r="A742" s="56" t="s">
        <v>2979</v>
      </c>
      <c r="B742" s="2">
        <v>705</v>
      </c>
      <c r="C742" s="77">
        <v>10089936</v>
      </c>
      <c r="D742" s="74" t="s">
        <v>171</v>
      </c>
      <c r="E742" s="74" t="s">
        <v>4175</v>
      </c>
      <c r="F742" s="75">
        <v>1</v>
      </c>
      <c r="G742" s="64" t="s">
        <v>0</v>
      </c>
      <c r="H742" s="61">
        <v>42004</v>
      </c>
      <c r="I742" s="62" t="s">
        <v>958</v>
      </c>
      <c r="J742" s="63" t="s">
        <v>1917</v>
      </c>
      <c r="K742" s="88" t="s">
        <v>171</v>
      </c>
      <c r="L742" s="88" t="s">
        <v>845</v>
      </c>
      <c r="M742" s="76">
        <f t="shared" si="108"/>
        <v>4847.46</v>
      </c>
      <c r="N742" s="76">
        <f t="shared" si="113"/>
        <v>4847.46</v>
      </c>
      <c r="O742" s="76">
        <v>4847.46</v>
      </c>
      <c r="P742" s="65">
        <v>3090</v>
      </c>
      <c r="Q742" s="65">
        <f t="shared" si="109"/>
        <v>679.8</v>
      </c>
      <c r="R742" s="65">
        <f t="shared" si="110"/>
        <v>3769.8</v>
      </c>
      <c r="S742" s="272"/>
      <c r="T742" s="64">
        <v>34</v>
      </c>
      <c r="U742" s="277"/>
      <c r="V742" s="38">
        <v>3551</v>
      </c>
      <c r="W742" s="38">
        <f t="shared" si="111"/>
        <v>781.22</v>
      </c>
      <c r="X742" s="38">
        <f t="shared" si="112"/>
        <v>4332.22</v>
      </c>
    </row>
    <row r="743" spans="1:24" ht="53.5" customHeight="1" x14ac:dyDescent="0.35">
      <c r="A743" s="56" t="s">
        <v>2980</v>
      </c>
      <c r="B743" s="2">
        <v>706</v>
      </c>
      <c r="C743" s="77">
        <v>10096465</v>
      </c>
      <c r="D743" s="74" t="s">
        <v>174</v>
      </c>
      <c r="E743" s="74" t="s">
        <v>4175</v>
      </c>
      <c r="F743" s="75">
        <v>1</v>
      </c>
      <c r="G743" s="64" t="s">
        <v>0</v>
      </c>
      <c r="H743" s="61">
        <v>40178</v>
      </c>
      <c r="I743" s="62" t="s">
        <v>958</v>
      </c>
      <c r="J743" s="63" t="s">
        <v>1917</v>
      </c>
      <c r="K743" s="88" t="s">
        <v>1961</v>
      </c>
      <c r="L743" s="88" t="s">
        <v>845</v>
      </c>
      <c r="M743" s="76">
        <f t="shared" si="108"/>
        <v>15914.97</v>
      </c>
      <c r="N743" s="76">
        <f t="shared" si="113"/>
        <v>15914.97</v>
      </c>
      <c r="O743" s="76">
        <v>15914.97</v>
      </c>
      <c r="P743" s="65">
        <v>12120</v>
      </c>
      <c r="Q743" s="65">
        <f t="shared" si="109"/>
        <v>2666.4</v>
      </c>
      <c r="R743" s="65">
        <f t="shared" si="110"/>
        <v>14786.4</v>
      </c>
      <c r="S743" s="272"/>
      <c r="T743" s="64">
        <v>34</v>
      </c>
      <c r="U743" s="277"/>
      <c r="V743" s="38">
        <v>13914</v>
      </c>
      <c r="W743" s="38">
        <f t="shared" si="111"/>
        <v>3061.08</v>
      </c>
      <c r="X743" s="38">
        <f t="shared" si="112"/>
        <v>16975.080000000002</v>
      </c>
    </row>
    <row r="744" spans="1:24" ht="74.25" customHeight="1" x14ac:dyDescent="0.35">
      <c r="A744" s="56" t="s">
        <v>2981</v>
      </c>
      <c r="B744" s="2">
        <v>707</v>
      </c>
      <c r="C744" s="77">
        <v>10105813</v>
      </c>
      <c r="D744" s="74" t="s">
        <v>175</v>
      </c>
      <c r="E744" s="74" t="s">
        <v>4175</v>
      </c>
      <c r="F744" s="75">
        <v>1</v>
      </c>
      <c r="G744" s="64" t="s">
        <v>0</v>
      </c>
      <c r="H744" s="61">
        <v>42004</v>
      </c>
      <c r="I744" s="62" t="s">
        <v>958</v>
      </c>
      <c r="J744" s="63" t="s">
        <v>1917</v>
      </c>
      <c r="K744" s="88" t="s">
        <v>1962</v>
      </c>
      <c r="L744" s="88" t="s">
        <v>845</v>
      </c>
      <c r="M744" s="76">
        <f t="shared" si="108"/>
        <v>1599.03</v>
      </c>
      <c r="N744" s="76">
        <f t="shared" si="113"/>
        <v>1599.03</v>
      </c>
      <c r="O744" s="76">
        <v>1599.03</v>
      </c>
      <c r="P744" s="65">
        <v>1020</v>
      </c>
      <c r="Q744" s="65">
        <f t="shared" si="109"/>
        <v>224.4</v>
      </c>
      <c r="R744" s="65">
        <f t="shared" si="110"/>
        <v>1244.4000000000001</v>
      </c>
      <c r="S744" s="272"/>
      <c r="T744" s="64">
        <v>34</v>
      </c>
      <c r="U744" s="277"/>
      <c r="V744" s="38">
        <v>1171</v>
      </c>
      <c r="W744" s="38">
        <f t="shared" si="111"/>
        <v>257.62</v>
      </c>
      <c r="X744" s="38">
        <f t="shared" si="112"/>
        <v>1428.62</v>
      </c>
    </row>
    <row r="745" spans="1:24" ht="45.65" customHeight="1" x14ac:dyDescent="0.35">
      <c r="A745" s="56" t="s">
        <v>2982</v>
      </c>
      <c r="B745" s="2">
        <v>708</v>
      </c>
      <c r="C745" s="77">
        <v>10108566</v>
      </c>
      <c r="D745" s="74" t="s">
        <v>177</v>
      </c>
      <c r="E745" s="74" t="s">
        <v>2179</v>
      </c>
      <c r="F745" s="75">
        <v>1</v>
      </c>
      <c r="G745" s="64" t="s">
        <v>0</v>
      </c>
      <c r="H745" s="61">
        <v>42004</v>
      </c>
      <c r="I745" s="62" t="s">
        <v>958</v>
      </c>
      <c r="J745" s="63" t="s">
        <v>1917</v>
      </c>
      <c r="K745" s="88" t="s">
        <v>1963</v>
      </c>
      <c r="L745" s="88" t="s">
        <v>845</v>
      </c>
      <c r="M745" s="76">
        <f t="shared" si="108"/>
        <v>17388.47</v>
      </c>
      <c r="N745" s="76">
        <f t="shared" si="113"/>
        <v>17388.47</v>
      </c>
      <c r="O745" s="76">
        <v>17388.47</v>
      </c>
      <c r="P745" s="65">
        <v>11100</v>
      </c>
      <c r="Q745" s="65">
        <f t="shared" si="109"/>
        <v>2442</v>
      </c>
      <c r="R745" s="65">
        <f t="shared" si="110"/>
        <v>13542</v>
      </c>
      <c r="S745" s="272"/>
      <c r="T745" s="64">
        <v>34</v>
      </c>
      <c r="U745" s="277"/>
      <c r="V745" s="38">
        <v>12739</v>
      </c>
      <c r="W745" s="38">
        <f t="shared" si="111"/>
        <v>2802.58</v>
      </c>
      <c r="X745" s="38">
        <f t="shared" si="112"/>
        <v>15541.58</v>
      </c>
    </row>
    <row r="746" spans="1:24" ht="50.15" customHeight="1" x14ac:dyDescent="0.35">
      <c r="A746" s="56" t="s">
        <v>2983</v>
      </c>
      <c r="B746" s="2">
        <v>709</v>
      </c>
      <c r="C746" s="77">
        <v>10108645</v>
      </c>
      <c r="D746" s="74" t="s">
        <v>178</v>
      </c>
      <c r="E746" s="74" t="s">
        <v>4175</v>
      </c>
      <c r="F746" s="75">
        <v>1</v>
      </c>
      <c r="G746" s="64" t="s">
        <v>0</v>
      </c>
      <c r="H746" s="61">
        <v>40543</v>
      </c>
      <c r="I746" s="62" t="s">
        <v>958</v>
      </c>
      <c r="J746" s="63" t="s">
        <v>1917</v>
      </c>
      <c r="K746" s="88" t="s">
        <v>1964</v>
      </c>
      <c r="L746" s="88" t="s">
        <v>845</v>
      </c>
      <c r="M746" s="76">
        <f t="shared" si="108"/>
        <v>14129.14</v>
      </c>
      <c r="N746" s="76">
        <f t="shared" si="113"/>
        <v>14129.14</v>
      </c>
      <c r="O746" s="76">
        <v>14129.14</v>
      </c>
      <c r="P746" s="65">
        <v>10030</v>
      </c>
      <c r="Q746" s="65">
        <f t="shared" si="109"/>
        <v>2206.6</v>
      </c>
      <c r="R746" s="65">
        <f t="shared" si="110"/>
        <v>12236.6</v>
      </c>
      <c r="S746" s="272"/>
      <c r="T746" s="64">
        <v>34</v>
      </c>
      <c r="U746" s="277"/>
      <c r="V746" s="38">
        <v>11520</v>
      </c>
      <c r="W746" s="38">
        <f t="shared" si="111"/>
        <v>2534.4</v>
      </c>
      <c r="X746" s="38">
        <f t="shared" si="112"/>
        <v>14054.4</v>
      </c>
    </row>
    <row r="747" spans="1:24" ht="60.65" customHeight="1" x14ac:dyDescent="0.35">
      <c r="A747" s="56" t="s">
        <v>2984</v>
      </c>
      <c r="B747" s="2">
        <v>710</v>
      </c>
      <c r="C747" s="77">
        <v>10109852</v>
      </c>
      <c r="D747" s="74" t="s">
        <v>179</v>
      </c>
      <c r="E747" s="74" t="s">
        <v>4179</v>
      </c>
      <c r="F747" s="75">
        <v>1</v>
      </c>
      <c r="G747" s="64" t="s">
        <v>0</v>
      </c>
      <c r="H747" s="61">
        <v>42004</v>
      </c>
      <c r="I747" s="62" t="s">
        <v>958</v>
      </c>
      <c r="J747" s="63" t="s">
        <v>1917</v>
      </c>
      <c r="K747" s="88" t="s">
        <v>1965</v>
      </c>
      <c r="L747" s="88" t="s">
        <v>845</v>
      </c>
      <c r="M747" s="76">
        <f t="shared" si="108"/>
        <v>15669.27</v>
      </c>
      <c r="N747" s="76">
        <f t="shared" si="113"/>
        <v>15669.27</v>
      </c>
      <c r="O747" s="76">
        <v>15669.27</v>
      </c>
      <c r="P747" s="65">
        <v>10000</v>
      </c>
      <c r="Q747" s="65">
        <f t="shared" si="109"/>
        <v>2200</v>
      </c>
      <c r="R747" s="65">
        <f t="shared" si="110"/>
        <v>12200</v>
      </c>
      <c r="S747" s="272"/>
      <c r="T747" s="64">
        <v>34</v>
      </c>
      <c r="U747" s="277"/>
      <c r="V747" s="38">
        <v>11479</v>
      </c>
      <c r="W747" s="38">
        <f t="shared" si="111"/>
        <v>2525.38</v>
      </c>
      <c r="X747" s="38">
        <f t="shared" si="112"/>
        <v>14004.38</v>
      </c>
    </row>
    <row r="748" spans="1:24" ht="57.65" customHeight="1" x14ac:dyDescent="0.35">
      <c r="A748" s="56" t="s">
        <v>2985</v>
      </c>
      <c r="B748" s="2">
        <v>711</v>
      </c>
      <c r="C748" s="77">
        <v>10109852</v>
      </c>
      <c r="D748" s="74" t="s">
        <v>179</v>
      </c>
      <c r="E748" s="74" t="s">
        <v>4175</v>
      </c>
      <c r="F748" s="75">
        <v>1</v>
      </c>
      <c r="G748" s="64" t="s">
        <v>0</v>
      </c>
      <c r="H748" s="61">
        <v>42004</v>
      </c>
      <c r="I748" s="62" t="s">
        <v>958</v>
      </c>
      <c r="J748" s="63" t="s">
        <v>1917</v>
      </c>
      <c r="K748" s="88" t="s">
        <v>1965</v>
      </c>
      <c r="L748" s="88" t="s">
        <v>845</v>
      </c>
      <c r="M748" s="76">
        <f t="shared" si="108"/>
        <v>15669.27</v>
      </c>
      <c r="N748" s="76">
        <f t="shared" si="113"/>
        <v>15669.27</v>
      </c>
      <c r="O748" s="76">
        <v>15669.27</v>
      </c>
      <c r="P748" s="65">
        <v>10000</v>
      </c>
      <c r="Q748" s="65">
        <f t="shared" si="109"/>
        <v>2200</v>
      </c>
      <c r="R748" s="65">
        <f t="shared" si="110"/>
        <v>12200</v>
      </c>
      <c r="S748" s="272"/>
      <c r="T748" s="64">
        <v>34</v>
      </c>
      <c r="U748" s="277"/>
      <c r="V748" s="38">
        <v>11479</v>
      </c>
      <c r="W748" s="38">
        <f t="shared" si="111"/>
        <v>2525.38</v>
      </c>
      <c r="X748" s="38">
        <f t="shared" si="112"/>
        <v>14004.38</v>
      </c>
    </row>
    <row r="749" spans="1:24" ht="40.5" customHeight="1" x14ac:dyDescent="0.35">
      <c r="A749" s="56" t="s">
        <v>2986</v>
      </c>
      <c r="B749" s="2">
        <v>712</v>
      </c>
      <c r="C749" s="77">
        <v>102000749</v>
      </c>
      <c r="D749" s="74" t="s">
        <v>181</v>
      </c>
      <c r="E749" s="74" t="s">
        <v>4175</v>
      </c>
      <c r="F749" s="75">
        <v>1</v>
      </c>
      <c r="G749" s="64" t="s">
        <v>0</v>
      </c>
      <c r="H749" s="61">
        <v>42004</v>
      </c>
      <c r="I749" s="62" t="s">
        <v>958</v>
      </c>
      <c r="J749" s="63" t="s">
        <v>1917</v>
      </c>
      <c r="K749" s="88" t="s">
        <v>1966</v>
      </c>
      <c r="L749" s="88" t="s">
        <v>845</v>
      </c>
      <c r="M749" s="76">
        <f t="shared" si="108"/>
        <v>58800</v>
      </c>
      <c r="N749" s="76">
        <f t="shared" si="113"/>
        <v>58800</v>
      </c>
      <c r="O749" s="76">
        <v>58800</v>
      </c>
      <c r="P749" s="65">
        <v>37520</v>
      </c>
      <c r="Q749" s="65">
        <f t="shared" si="109"/>
        <v>8254.4</v>
      </c>
      <c r="R749" s="65">
        <f t="shared" si="110"/>
        <v>45774.400000000001</v>
      </c>
      <c r="S749" s="272"/>
      <c r="T749" s="64">
        <v>34</v>
      </c>
      <c r="U749" s="277"/>
      <c r="V749" s="38">
        <v>43077</v>
      </c>
      <c r="W749" s="38">
        <f t="shared" si="111"/>
        <v>9476.94</v>
      </c>
      <c r="X749" s="38">
        <f t="shared" si="112"/>
        <v>52553.94</v>
      </c>
    </row>
    <row r="750" spans="1:24" ht="43.5" customHeight="1" x14ac:dyDescent="0.35">
      <c r="A750" s="56" t="s">
        <v>2987</v>
      </c>
      <c r="B750" s="2">
        <v>713</v>
      </c>
      <c r="C750" s="77">
        <v>10095063</v>
      </c>
      <c r="D750" s="74" t="s">
        <v>196</v>
      </c>
      <c r="E750" s="74" t="s">
        <v>4175</v>
      </c>
      <c r="F750" s="75">
        <v>2</v>
      </c>
      <c r="G750" s="64" t="s">
        <v>0</v>
      </c>
      <c r="H750" s="61">
        <v>40543</v>
      </c>
      <c r="I750" s="62" t="s">
        <v>958</v>
      </c>
      <c r="J750" s="63" t="s">
        <v>1917</v>
      </c>
      <c r="K750" s="88" t="s">
        <v>1967</v>
      </c>
      <c r="L750" s="88" t="s">
        <v>845</v>
      </c>
      <c r="M750" s="76">
        <f t="shared" si="108"/>
        <v>28391.9</v>
      </c>
      <c r="N750" s="76">
        <f t="shared" si="113"/>
        <v>14195.95</v>
      </c>
      <c r="O750" s="76">
        <v>28391.9</v>
      </c>
      <c r="P750" s="65">
        <v>20160</v>
      </c>
      <c r="Q750" s="65">
        <f t="shared" si="109"/>
        <v>4435.2</v>
      </c>
      <c r="R750" s="65">
        <f t="shared" si="110"/>
        <v>24595.200000000001</v>
      </c>
      <c r="S750" s="272"/>
      <c r="T750" s="64">
        <v>34</v>
      </c>
      <c r="U750" s="277"/>
      <c r="V750" s="38">
        <v>23148</v>
      </c>
      <c r="W750" s="38">
        <f t="shared" si="111"/>
        <v>5092.5600000000004</v>
      </c>
      <c r="X750" s="38">
        <f t="shared" si="112"/>
        <v>28240.560000000001</v>
      </c>
    </row>
    <row r="751" spans="1:24" ht="69.75" customHeight="1" x14ac:dyDescent="0.35">
      <c r="A751" s="56" t="s">
        <v>2988</v>
      </c>
      <c r="B751" s="2">
        <v>714</v>
      </c>
      <c r="C751" s="77">
        <v>10118646</v>
      </c>
      <c r="D751" s="74" t="s">
        <v>200</v>
      </c>
      <c r="E751" s="74" t="s">
        <v>4175</v>
      </c>
      <c r="F751" s="75">
        <v>2</v>
      </c>
      <c r="G751" s="64" t="s">
        <v>0</v>
      </c>
      <c r="H751" s="61">
        <v>42004</v>
      </c>
      <c r="I751" s="62" t="s">
        <v>958</v>
      </c>
      <c r="J751" s="63" t="s">
        <v>1917</v>
      </c>
      <c r="K751" s="88" t="s">
        <v>1969</v>
      </c>
      <c r="L751" s="88" t="s">
        <v>845</v>
      </c>
      <c r="M751" s="76">
        <f t="shared" ref="M751:M814" si="114">O751</f>
        <v>3160.58</v>
      </c>
      <c r="N751" s="76">
        <f t="shared" si="113"/>
        <v>1580.29</v>
      </c>
      <c r="O751" s="76">
        <v>3160.58</v>
      </c>
      <c r="P751" s="65">
        <v>2020</v>
      </c>
      <c r="Q751" s="65">
        <f t="shared" si="109"/>
        <v>444.4</v>
      </c>
      <c r="R751" s="65">
        <f t="shared" si="110"/>
        <v>2464.4</v>
      </c>
      <c r="S751" s="272"/>
      <c r="T751" s="64">
        <v>34</v>
      </c>
      <c r="U751" s="277"/>
      <c r="V751" s="38">
        <v>2315</v>
      </c>
      <c r="W751" s="38">
        <f t="shared" si="111"/>
        <v>509.3</v>
      </c>
      <c r="X751" s="38">
        <f t="shared" si="112"/>
        <v>2824.3</v>
      </c>
    </row>
    <row r="752" spans="1:24" ht="77.25" customHeight="1" x14ac:dyDescent="0.35">
      <c r="A752" s="56" t="s">
        <v>2989</v>
      </c>
      <c r="B752" s="2">
        <v>715</v>
      </c>
      <c r="C752" s="77">
        <v>10118461</v>
      </c>
      <c r="D752" s="74" t="s">
        <v>208</v>
      </c>
      <c r="E752" s="74" t="s">
        <v>4175</v>
      </c>
      <c r="F752" s="75">
        <v>6</v>
      </c>
      <c r="G752" s="64" t="s">
        <v>0</v>
      </c>
      <c r="H752" s="61">
        <v>42004</v>
      </c>
      <c r="I752" s="62" t="s">
        <v>958</v>
      </c>
      <c r="J752" s="63" t="s">
        <v>1917</v>
      </c>
      <c r="K752" s="88" t="s">
        <v>1970</v>
      </c>
      <c r="L752" s="88" t="s">
        <v>845</v>
      </c>
      <c r="M752" s="76">
        <f t="shared" si="114"/>
        <v>9481.74</v>
      </c>
      <c r="N752" s="76">
        <f t="shared" si="113"/>
        <v>1580.29</v>
      </c>
      <c r="O752" s="76">
        <v>9481.74</v>
      </c>
      <c r="P752" s="65">
        <v>6050</v>
      </c>
      <c r="Q752" s="65">
        <f t="shared" si="109"/>
        <v>1331</v>
      </c>
      <c r="R752" s="65">
        <f t="shared" si="110"/>
        <v>7381</v>
      </c>
      <c r="S752" s="272"/>
      <c r="T752" s="64">
        <v>34</v>
      </c>
      <c r="U752" s="277"/>
      <c r="V752" s="38">
        <v>6946</v>
      </c>
      <c r="W752" s="38">
        <f t="shared" si="111"/>
        <v>1528.12</v>
      </c>
      <c r="X752" s="38">
        <f t="shared" si="112"/>
        <v>8474.1200000000008</v>
      </c>
    </row>
    <row r="753" spans="1:24" ht="59.25" customHeight="1" x14ac:dyDescent="0.35">
      <c r="A753" s="56" t="s">
        <v>4078</v>
      </c>
      <c r="B753" s="2">
        <v>716</v>
      </c>
      <c r="C753" s="77">
        <v>10136834</v>
      </c>
      <c r="D753" s="74" t="s">
        <v>292</v>
      </c>
      <c r="E753" s="74" t="s">
        <v>2147</v>
      </c>
      <c r="F753" s="75">
        <v>1</v>
      </c>
      <c r="G753" s="64" t="s">
        <v>0</v>
      </c>
      <c r="H753" s="101" t="s">
        <v>2145</v>
      </c>
      <c r="I753" s="64" t="s">
        <v>972</v>
      </c>
      <c r="J753" s="63" t="s">
        <v>1917</v>
      </c>
      <c r="K753" s="61" t="s">
        <v>961</v>
      </c>
      <c r="L753" s="61" t="s">
        <v>845</v>
      </c>
      <c r="M753" s="65">
        <f>O753</f>
        <v>49100</v>
      </c>
      <c r="N753" s="65">
        <f>O753/F753</f>
        <v>49100</v>
      </c>
      <c r="O753" s="65">
        <v>49100</v>
      </c>
      <c r="P753" s="65">
        <v>35130</v>
      </c>
      <c r="Q753" s="65">
        <f t="shared" si="109"/>
        <v>7728.6</v>
      </c>
      <c r="R753" s="65">
        <f t="shared" si="110"/>
        <v>42858.6</v>
      </c>
      <c r="S753" s="272"/>
      <c r="T753" s="64">
        <v>34</v>
      </c>
      <c r="U753" s="277"/>
      <c r="V753" s="38">
        <v>40335</v>
      </c>
      <c r="W753" s="38">
        <f t="shared" si="111"/>
        <v>8873.7000000000007</v>
      </c>
      <c r="X753" s="38">
        <f t="shared" si="112"/>
        <v>49208.7</v>
      </c>
    </row>
    <row r="754" spans="1:24" ht="59.25" customHeight="1" x14ac:dyDescent="0.35">
      <c r="A754" s="259" t="s">
        <v>4079</v>
      </c>
      <c r="B754" s="2">
        <v>717</v>
      </c>
      <c r="C754" s="77">
        <v>10145214</v>
      </c>
      <c r="D754" s="74" t="s">
        <v>258</v>
      </c>
      <c r="E754" s="74" t="s">
        <v>686</v>
      </c>
      <c r="F754" s="149">
        <v>1</v>
      </c>
      <c r="G754" s="132" t="s">
        <v>0</v>
      </c>
      <c r="H754" s="150" t="s">
        <v>2145</v>
      </c>
      <c r="I754" s="151" t="s">
        <v>976</v>
      </c>
      <c r="J754" s="152" t="s">
        <v>1917</v>
      </c>
      <c r="K754" s="153" t="s">
        <v>961</v>
      </c>
      <c r="L754" s="154" t="s">
        <v>845</v>
      </c>
      <c r="M754" s="155">
        <f>O754</f>
        <v>59443.14</v>
      </c>
      <c r="N754" s="155">
        <f>O754/F754</f>
        <v>59443.14</v>
      </c>
      <c r="O754" s="155">
        <v>59443.14</v>
      </c>
      <c r="P754" s="65">
        <v>42530</v>
      </c>
      <c r="Q754" s="65">
        <f t="shared" si="109"/>
        <v>9356.6</v>
      </c>
      <c r="R754" s="65">
        <f t="shared" si="110"/>
        <v>51886.6</v>
      </c>
      <c r="S754" s="276"/>
      <c r="T754" s="64">
        <v>34</v>
      </c>
      <c r="U754" s="277"/>
      <c r="V754" s="38">
        <v>48831</v>
      </c>
      <c r="W754" s="38">
        <f t="shared" si="111"/>
        <v>10742.82</v>
      </c>
      <c r="X754" s="38">
        <f t="shared" si="112"/>
        <v>59573.82</v>
      </c>
    </row>
    <row r="755" spans="1:24" ht="15" customHeight="1" x14ac:dyDescent="0.35">
      <c r="A755" s="56"/>
      <c r="B755" s="15"/>
      <c r="C755" s="156"/>
      <c r="D755" s="157"/>
      <c r="E755" s="157"/>
      <c r="F755" s="75"/>
      <c r="G755" s="64"/>
      <c r="H755" s="61"/>
      <c r="I755" s="62"/>
      <c r="J755" s="63"/>
      <c r="K755" s="88"/>
      <c r="L755" s="88"/>
      <c r="M755" s="76"/>
      <c r="N755" s="76"/>
      <c r="O755" s="81">
        <f>SUM(O673:O754)</f>
        <v>5959251.7199999997</v>
      </c>
      <c r="P755" s="81">
        <f>SUM(P673:P754)</f>
        <v>4049920</v>
      </c>
      <c r="Q755" s="81">
        <f>SUM(Q673:Q754)</f>
        <v>890982.40000000002</v>
      </c>
      <c r="R755" s="81">
        <f>SUM(R673:R754)</f>
        <v>4940902.4000000004</v>
      </c>
      <c r="S755" s="72">
        <f>R755/100*10</f>
        <v>494090.23999999999</v>
      </c>
      <c r="T755" s="73">
        <v>34</v>
      </c>
      <c r="U755" s="277"/>
      <c r="V755" s="38"/>
      <c r="W755" s="38"/>
      <c r="X755" s="38"/>
    </row>
    <row r="756" spans="1:24" ht="42.75" customHeight="1" x14ac:dyDescent="0.35">
      <c r="A756" s="56" t="s">
        <v>2990</v>
      </c>
      <c r="B756" s="2">
        <v>718</v>
      </c>
      <c r="C756" s="77">
        <v>10145248</v>
      </c>
      <c r="D756" s="74" t="s">
        <v>218</v>
      </c>
      <c r="E756" s="74" t="s">
        <v>2151</v>
      </c>
      <c r="F756" s="75">
        <v>1</v>
      </c>
      <c r="G756" s="64" t="s">
        <v>0</v>
      </c>
      <c r="H756" s="101">
        <v>2015</v>
      </c>
      <c r="I756" s="61" t="s">
        <v>972</v>
      </c>
      <c r="J756" s="63" t="s">
        <v>1917</v>
      </c>
      <c r="K756" s="61" t="s">
        <v>961</v>
      </c>
      <c r="L756" s="61" t="s">
        <v>845</v>
      </c>
      <c r="M756" s="65">
        <f t="shared" si="114"/>
        <v>54850</v>
      </c>
      <c r="N756" s="65">
        <f t="shared" ref="N756:N819" si="115">O756/F756</f>
        <v>54850</v>
      </c>
      <c r="O756" s="65">
        <v>54850</v>
      </c>
      <c r="P756" s="65">
        <v>30830</v>
      </c>
      <c r="Q756" s="65">
        <f t="shared" si="109"/>
        <v>6782.6</v>
      </c>
      <c r="R756" s="65">
        <f t="shared" si="110"/>
        <v>37612.6</v>
      </c>
      <c r="S756" s="267"/>
      <c r="T756" s="64">
        <v>35</v>
      </c>
      <c r="U756" s="277" t="s">
        <v>2267</v>
      </c>
      <c r="V756" s="38">
        <v>38542</v>
      </c>
      <c r="W756" s="38">
        <f t="shared" si="111"/>
        <v>8479.24</v>
      </c>
      <c r="X756" s="38">
        <f t="shared" si="112"/>
        <v>47021.24</v>
      </c>
    </row>
    <row r="757" spans="1:24" ht="15" customHeight="1" x14ac:dyDescent="0.35">
      <c r="A757" s="56" t="s">
        <v>2991</v>
      </c>
      <c r="B757" s="2">
        <v>719</v>
      </c>
      <c r="C757" s="77">
        <v>10010499</v>
      </c>
      <c r="D757" s="74" t="s">
        <v>280</v>
      </c>
      <c r="E757" s="74" t="s">
        <v>2151</v>
      </c>
      <c r="F757" s="75">
        <v>1</v>
      </c>
      <c r="G757" s="64" t="s">
        <v>0</v>
      </c>
      <c r="H757" s="61">
        <v>42824</v>
      </c>
      <c r="I757" s="64" t="s">
        <v>972</v>
      </c>
      <c r="J757" s="63" t="s">
        <v>1917</v>
      </c>
      <c r="K757" s="61" t="s">
        <v>961</v>
      </c>
      <c r="L757" s="61" t="s">
        <v>845</v>
      </c>
      <c r="M757" s="65">
        <f t="shared" si="114"/>
        <v>7192.54</v>
      </c>
      <c r="N757" s="65">
        <f t="shared" si="115"/>
        <v>7192.54</v>
      </c>
      <c r="O757" s="65">
        <v>7192.54</v>
      </c>
      <c r="P757" s="65">
        <v>3650</v>
      </c>
      <c r="Q757" s="65">
        <f t="shared" si="109"/>
        <v>803</v>
      </c>
      <c r="R757" s="65">
        <f t="shared" si="110"/>
        <v>4453</v>
      </c>
      <c r="S757" s="272"/>
      <c r="T757" s="64">
        <v>35</v>
      </c>
      <c r="U757" s="277"/>
      <c r="V757" s="38">
        <v>4567</v>
      </c>
      <c r="W757" s="38">
        <f t="shared" si="111"/>
        <v>1004.74</v>
      </c>
      <c r="X757" s="38">
        <f t="shared" si="112"/>
        <v>5571.74</v>
      </c>
    </row>
    <row r="758" spans="1:24" ht="15" customHeight="1" x14ac:dyDescent="0.35">
      <c r="A758" s="56" t="s">
        <v>2992</v>
      </c>
      <c r="B758" s="2">
        <v>720</v>
      </c>
      <c r="C758" s="77">
        <v>102000960</v>
      </c>
      <c r="D758" s="74" t="s">
        <v>343</v>
      </c>
      <c r="E758" s="74" t="s">
        <v>2151</v>
      </c>
      <c r="F758" s="75">
        <v>2</v>
      </c>
      <c r="G758" s="64" t="s">
        <v>0</v>
      </c>
      <c r="H758" s="61">
        <v>42004</v>
      </c>
      <c r="I758" s="61" t="s">
        <v>972</v>
      </c>
      <c r="J758" s="63" t="s">
        <v>1917</v>
      </c>
      <c r="K758" s="61" t="s">
        <v>961</v>
      </c>
      <c r="L758" s="61" t="s">
        <v>845</v>
      </c>
      <c r="M758" s="65">
        <f t="shared" si="114"/>
        <v>5472</v>
      </c>
      <c r="N758" s="65">
        <f t="shared" si="115"/>
        <v>2736</v>
      </c>
      <c r="O758" s="65">
        <v>5472</v>
      </c>
      <c r="P758" s="65">
        <v>3210</v>
      </c>
      <c r="Q758" s="65">
        <f t="shared" si="109"/>
        <v>706.2</v>
      </c>
      <c r="R758" s="65">
        <f t="shared" si="110"/>
        <v>3916.2</v>
      </c>
      <c r="S758" s="272"/>
      <c r="T758" s="64">
        <v>35</v>
      </c>
      <c r="U758" s="277"/>
      <c r="V758" s="38">
        <v>4009</v>
      </c>
      <c r="W758" s="38">
        <f t="shared" si="111"/>
        <v>881.98</v>
      </c>
      <c r="X758" s="38">
        <f t="shared" si="112"/>
        <v>4890.9799999999996</v>
      </c>
    </row>
    <row r="759" spans="1:24" ht="15" customHeight="1" x14ac:dyDescent="0.35">
      <c r="A759" s="56" t="s">
        <v>2993</v>
      </c>
      <c r="B759" s="2">
        <v>721</v>
      </c>
      <c r="C759" s="77">
        <v>10038905</v>
      </c>
      <c r="D759" s="74" t="s">
        <v>380</v>
      </c>
      <c r="E759" s="74" t="s">
        <v>2151</v>
      </c>
      <c r="F759" s="75">
        <v>12</v>
      </c>
      <c r="G759" s="64" t="s">
        <v>0</v>
      </c>
      <c r="H759" s="61">
        <v>42824</v>
      </c>
      <c r="I759" s="61" t="s">
        <v>972</v>
      </c>
      <c r="J759" s="63" t="s">
        <v>1917</v>
      </c>
      <c r="K759" s="61" t="s">
        <v>961</v>
      </c>
      <c r="L759" s="61" t="s">
        <v>845</v>
      </c>
      <c r="M759" s="65">
        <f t="shared" si="114"/>
        <v>20348.16</v>
      </c>
      <c r="N759" s="65">
        <f t="shared" si="115"/>
        <v>1695.68</v>
      </c>
      <c r="O759" s="65">
        <v>20348.16</v>
      </c>
      <c r="P759" s="65">
        <v>10340</v>
      </c>
      <c r="Q759" s="65">
        <f t="shared" si="109"/>
        <v>2274.8000000000002</v>
      </c>
      <c r="R759" s="65">
        <f t="shared" si="110"/>
        <v>12614.8</v>
      </c>
      <c r="S759" s="272"/>
      <c r="T759" s="64">
        <v>35</v>
      </c>
      <c r="U759" s="277"/>
      <c r="V759" s="38">
        <v>12919</v>
      </c>
      <c r="W759" s="38">
        <f t="shared" si="111"/>
        <v>2842.18</v>
      </c>
      <c r="X759" s="38">
        <f t="shared" si="112"/>
        <v>15761.18</v>
      </c>
    </row>
    <row r="760" spans="1:24" ht="18" customHeight="1" x14ac:dyDescent="0.35">
      <c r="A760" s="56" t="s">
        <v>2994</v>
      </c>
      <c r="B760" s="2">
        <v>722</v>
      </c>
      <c r="C760" s="77">
        <v>102001141</v>
      </c>
      <c r="D760" s="74" t="s">
        <v>157</v>
      </c>
      <c r="E760" s="103" t="s">
        <v>2150</v>
      </c>
      <c r="F760" s="75">
        <v>1</v>
      </c>
      <c r="G760" s="64" t="s">
        <v>0</v>
      </c>
      <c r="H760" s="61">
        <v>42004</v>
      </c>
      <c r="I760" s="61" t="s">
        <v>1918</v>
      </c>
      <c r="J760" s="63" t="s">
        <v>1917</v>
      </c>
      <c r="K760" s="63" t="s">
        <v>157</v>
      </c>
      <c r="L760" s="61" t="s">
        <v>845</v>
      </c>
      <c r="M760" s="65">
        <f t="shared" si="114"/>
        <v>47564.65</v>
      </c>
      <c r="N760" s="65">
        <f t="shared" si="115"/>
        <v>47564.65</v>
      </c>
      <c r="O760" s="65">
        <v>47564.65</v>
      </c>
      <c r="P760" s="65">
        <v>27880</v>
      </c>
      <c r="Q760" s="65">
        <f t="shared" si="109"/>
        <v>6133.6</v>
      </c>
      <c r="R760" s="65">
        <f t="shared" si="110"/>
        <v>34013.599999999999</v>
      </c>
      <c r="S760" s="272"/>
      <c r="T760" s="64">
        <v>35</v>
      </c>
      <c r="U760" s="277"/>
      <c r="V760" s="38">
        <v>34846</v>
      </c>
      <c r="W760" s="38">
        <f t="shared" si="111"/>
        <v>7666.12</v>
      </c>
      <c r="X760" s="38">
        <f t="shared" si="112"/>
        <v>42512.12</v>
      </c>
    </row>
    <row r="761" spans="1:24" ht="25" customHeight="1" x14ac:dyDescent="0.35">
      <c r="A761" s="56" t="s">
        <v>2995</v>
      </c>
      <c r="B761" s="2">
        <v>723</v>
      </c>
      <c r="C761" s="77">
        <v>10030295</v>
      </c>
      <c r="D761" s="74" t="s">
        <v>211</v>
      </c>
      <c r="E761" s="59" t="s">
        <v>1979</v>
      </c>
      <c r="F761" s="75">
        <v>1</v>
      </c>
      <c r="G761" s="64" t="s">
        <v>0</v>
      </c>
      <c r="H761" s="61">
        <v>38539</v>
      </c>
      <c r="I761" s="61" t="s">
        <v>971</v>
      </c>
      <c r="J761" s="63" t="s">
        <v>1917</v>
      </c>
      <c r="K761" s="88" t="s">
        <v>211</v>
      </c>
      <c r="L761" s="88" t="s">
        <v>845</v>
      </c>
      <c r="M761" s="76">
        <f t="shared" si="114"/>
        <v>11170.87</v>
      </c>
      <c r="N761" s="76">
        <f t="shared" si="115"/>
        <v>11170.87</v>
      </c>
      <c r="O761" s="76">
        <v>11170.87</v>
      </c>
      <c r="P761" s="65">
        <v>6280</v>
      </c>
      <c r="Q761" s="65">
        <f t="shared" si="109"/>
        <v>1381.6</v>
      </c>
      <c r="R761" s="65">
        <f t="shared" si="110"/>
        <v>7661.6</v>
      </c>
      <c r="S761" s="272"/>
      <c r="T761" s="64">
        <v>35</v>
      </c>
      <c r="U761" s="277"/>
      <c r="V761" s="38">
        <v>7850</v>
      </c>
      <c r="W761" s="38">
        <f t="shared" si="111"/>
        <v>1727</v>
      </c>
      <c r="X761" s="38">
        <f t="shared" si="112"/>
        <v>9577</v>
      </c>
    </row>
    <row r="762" spans="1:24" ht="30" customHeight="1" x14ac:dyDescent="0.35">
      <c r="A762" s="56" t="s">
        <v>2996</v>
      </c>
      <c r="B762" s="2">
        <v>724</v>
      </c>
      <c r="C762" s="77">
        <v>10002896</v>
      </c>
      <c r="D762" s="74" t="s">
        <v>239</v>
      </c>
      <c r="E762" s="59" t="s">
        <v>1979</v>
      </c>
      <c r="F762" s="75">
        <v>1</v>
      </c>
      <c r="G762" s="64" t="s">
        <v>0</v>
      </c>
      <c r="H762" s="101">
        <v>2014</v>
      </c>
      <c r="I762" s="61" t="s">
        <v>971</v>
      </c>
      <c r="J762" s="63" t="s">
        <v>1917</v>
      </c>
      <c r="K762" s="115" t="s">
        <v>239</v>
      </c>
      <c r="L762" s="88" t="s">
        <v>845</v>
      </c>
      <c r="M762" s="76">
        <f t="shared" si="114"/>
        <v>4434.91</v>
      </c>
      <c r="N762" s="76">
        <f t="shared" si="115"/>
        <v>4434.91</v>
      </c>
      <c r="O762" s="76">
        <v>4434.91</v>
      </c>
      <c r="P762" s="65">
        <v>2620</v>
      </c>
      <c r="Q762" s="65">
        <f t="shared" ref="Q762:Q825" si="116">P762*0.22</f>
        <v>576.4</v>
      </c>
      <c r="R762" s="65">
        <f t="shared" ref="R762:R825" si="117">P762+Q762</f>
        <v>3196.4</v>
      </c>
      <c r="S762" s="272"/>
      <c r="T762" s="64">
        <v>35</v>
      </c>
      <c r="U762" s="277"/>
      <c r="V762" s="38">
        <v>3270</v>
      </c>
      <c r="W762" s="38">
        <f t="shared" ref="W762:W825" si="118">V762*0.22</f>
        <v>719.4</v>
      </c>
      <c r="X762" s="38">
        <f t="shared" si="112"/>
        <v>3989.4</v>
      </c>
    </row>
    <row r="763" spans="1:24" ht="15" customHeight="1" x14ac:dyDescent="0.35">
      <c r="A763" s="56" t="s">
        <v>2997</v>
      </c>
      <c r="B763" s="2">
        <v>725</v>
      </c>
      <c r="C763" s="77">
        <v>10050438</v>
      </c>
      <c r="D763" s="74" t="s">
        <v>240</v>
      </c>
      <c r="E763" s="59" t="s">
        <v>1979</v>
      </c>
      <c r="F763" s="75">
        <v>1</v>
      </c>
      <c r="G763" s="64" t="s">
        <v>0</v>
      </c>
      <c r="H763" s="101">
        <v>2014</v>
      </c>
      <c r="I763" s="61" t="s">
        <v>971</v>
      </c>
      <c r="J763" s="63" t="s">
        <v>1917</v>
      </c>
      <c r="K763" s="115" t="s">
        <v>240</v>
      </c>
      <c r="L763" s="88" t="s">
        <v>845</v>
      </c>
      <c r="M763" s="76">
        <f t="shared" si="114"/>
        <v>17614.02</v>
      </c>
      <c r="N763" s="76">
        <f t="shared" si="115"/>
        <v>17614.02</v>
      </c>
      <c r="O763" s="76">
        <v>17614.02</v>
      </c>
      <c r="P763" s="65">
        <v>10390</v>
      </c>
      <c r="Q763" s="65">
        <f t="shared" si="116"/>
        <v>2285.8000000000002</v>
      </c>
      <c r="R763" s="65">
        <f t="shared" si="117"/>
        <v>12675.8</v>
      </c>
      <c r="S763" s="272"/>
      <c r="T763" s="64">
        <v>35</v>
      </c>
      <c r="U763" s="277"/>
      <c r="V763" s="38">
        <v>12989</v>
      </c>
      <c r="W763" s="38">
        <f t="shared" si="118"/>
        <v>2857.58</v>
      </c>
      <c r="X763" s="38">
        <f t="shared" si="112"/>
        <v>15846.58</v>
      </c>
    </row>
    <row r="764" spans="1:24" ht="15" customHeight="1" x14ac:dyDescent="0.35">
      <c r="A764" s="56" t="s">
        <v>2998</v>
      </c>
      <c r="B764" s="2">
        <v>726</v>
      </c>
      <c r="C764" s="77">
        <v>10088460</v>
      </c>
      <c r="D764" s="74" t="s">
        <v>241</v>
      </c>
      <c r="E764" s="59" t="s">
        <v>1979</v>
      </c>
      <c r="F764" s="75">
        <v>1</v>
      </c>
      <c r="G764" s="64" t="s">
        <v>0</v>
      </c>
      <c r="H764" s="101">
        <v>2014</v>
      </c>
      <c r="I764" s="61" t="s">
        <v>971</v>
      </c>
      <c r="J764" s="63" t="s">
        <v>1917</v>
      </c>
      <c r="K764" s="115" t="s">
        <v>241</v>
      </c>
      <c r="L764" s="88" t="s">
        <v>845</v>
      </c>
      <c r="M764" s="76">
        <f t="shared" si="114"/>
        <v>1288.5</v>
      </c>
      <c r="N764" s="76">
        <f t="shared" si="115"/>
        <v>1288.5</v>
      </c>
      <c r="O764" s="76">
        <v>1288.5</v>
      </c>
      <c r="P764" s="65">
        <v>760</v>
      </c>
      <c r="Q764" s="65">
        <f t="shared" si="116"/>
        <v>167.2</v>
      </c>
      <c r="R764" s="65">
        <f t="shared" si="117"/>
        <v>927.2</v>
      </c>
      <c r="S764" s="272"/>
      <c r="T764" s="64">
        <v>35</v>
      </c>
      <c r="U764" s="277"/>
      <c r="V764" s="38">
        <v>950</v>
      </c>
      <c r="W764" s="38">
        <f t="shared" si="118"/>
        <v>209</v>
      </c>
      <c r="X764" s="38">
        <f t="shared" ref="X764:X827" si="119">V764+W764</f>
        <v>1159</v>
      </c>
    </row>
    <row r="765" spans="1:24" ht="30" customHeight="1" x14ac:dyDescent="0.35">
      <c r="A765" s="56" t="s">
        <v>2999</v>
      </c>
      <c r="B765" s="2">
        <v>727</v>
      </c>
      <c r="C765" s="77">
        <v>10106282</v>
      </c>
      <c r="D765" s="74" t="s">
        <v>242</v>
      </c>
      <c r="E765" s="59" t="s">
        <v>1979</v>
      </c>
      <c r="F765" s="75">
        <v>1</v>
      </c>
      <c r="G765" s="64" t="s">
        <v>0</v>
      </c>
      <c r="H765" s="101">
        <v>2014</v>
      </c>
      <c r="I765" s="61" t="s">
        <v>971</v>
      </c>
      <c r="J765" s="63" t="s">
        <v>1917</v>
      </c>
      <c r="K765" s="115" t="s">
        <v>242</v>
      </c>
      <c r="L765" s="88" t="s">
        <v>845</v>
      </c>
      <c r="M765" s="76">
        <f t="shared" si="114"/>
        <v>1461.86</v>
      </c>
      <c r="N765" s="76">
        <f t="shared" si="115"/>
        <v>1461.86</v>
      </c>
      <c r="O765" s="76">
        <v>1461.86</v>
      </c>
      <c r="P765" s="65">
        <v>860</v>
      </c>
      <c r="Q765" s="65">
        <f t="shared" si="116"/>
        <v>189.2</v>
      </c>
      <c r="R765" s="65">
        <f t="shared" si="117"/>
        <v>1049.2</v>
      </c>
      <c r="S765" s="272"/>
      <c r="T765" s="64">
        <v>35</v>
      </c>
      <c r="U765" s="277"/>
      <c r="V765" s="38">
        <v>1078</v>
      </c>
      <c r="W765" s="38">
        <f t="shared" si="118"/>
        <v>237.16</v>
      </c>
      <c r="X765" s="38">
        <f t="shared" si="119"/>
        <v>1315.16</v>
      </c>
    </row>
    <row r="766" spans="1:24" ht="30" customHeight="1" x14ac:dyDescent="0.35">
      <c r="A766" s="56" t="s">
        <v>3000</v>
      </c>
      <c r="B766" s="2">
        <v>728</v>
      </c>
      <c r="C766" s="77">
        <v>10124230</v>
      </c>
      <c r="D766" s="74" t="s">
        <v>245</v>
      </c>
      <c r="E766" s="59" t="s">
        <v>1979</v>
      </c>
      <c r="F766" s="75">
        <v>1</v>
      </c>
      <c r="G766" s="64" t="s">
        <v>0</v>
      </c>
      <c r="H766" s="101">
        <v>2014</v>
      </c>
      <c r="I766" s="61" t="s">
        <v>971</v>
      </c>
      <c r="J766" s="63" t="s">
        <v>1917</v>
      </c>
      <c r="K766" s="115" t="s">
        <v>245</v>
      </c>
      <c r="L766" s="88" t="s">
        <v>845</v>
      </c>
      <c r="M766" s="76">
        <f t="shared" si="114"/>
        <v>25800</v>
      </c>
      <c r="N766" s="76">
        <f t="shared" si="115"/>
        <v>25800</v>
      </c>
      <c r="O766" s="76">
        <v>25800</v>
      </c>
      <c r="P766" s="65">
        <v>15220</v>
      </c>
      <c r="Q766" s="65">
        <f t="shared" si="116"/>
        <v>3348.4</v>
      </c>
      <c r="R766" s="65">
        <f t="shared" si="117"/>
        <v>18568.400000000001</v>
      </c>
      <c r="S766" s="272"/>
      <c r="T766" s="64">
        <v>35</v>
      </c>
      <c r="U766" s="277"/>
      <c r="V766" s="38">
        <v>19026</v>
      </c>
      <c r="W766" s="38">
        <f t="shared" si="118"/>
        <v>4185.72</v>
      </c>
      <c r="X766" s="38">
        <f t="shared" si="119"/>
        <v>23211.72</v>
      </c>
    </row>
    <row r="767" spans="1:24" ht="30.75" customHeight="1" x14ac:dyDescent="0.35">
      <c r="A767" s="56" t="s">
        <v>3001</v>
      </c>
      <c r="B767" s="2">
        <v>729</v>
      </c>
      <c r="C767" s="77">
        <v>10131233</v>
      </c>
      <c r="D767" s="74" t="s">
        <v>246</v>
      </c>
      <c r="E767" s="59" t="s">
        <v>1979</v>
      </c>
      <c r="F767" s="75">
        <v>1</v>
      </c>
      <c r="G767" s="64" t="s">
        <v>0</v>
      </c>
      <c r="H767" s="101">
        <v>2014</v>
      </c>
      <c r="I767" s="61" t="s">
        <v>971</v>
      </c>
      <c r="J767" s="63" t="s">
        <v>1917</v>
      </c>
      <c r="K767" s="115" t="s">
        <v>246</v>
      </c>
      <c r="L767" s="88" t="s">
        <v>845</v>
      </c>
      <c r="M767" s="76">
        <f t="shared" si="114"/>
        <v>3470.25</v>
      </c>
      <c r="N767" s="76">
        <f t="shared" si="115"/>
        <v>3470.25</v>
      </c>
      <c r="O767" s="76">
        <v>3470.25</v>
      </c>
      <c r="P767" s="65">
        <v>2050</v>
      </c>
      <c r="Q767" s="65">
        <f t="shared" si="116"/>
        <v>451</v>
      </c>
      <c r="R767" s="65">
        <f t="shared" si="117"/>
        <v>2501</v>
      </c>
      <c r="S767" s="272"/>
      <c r="T767" s="64">
        <v>35</v>
      </c>
      <c r="U767" s="277"/>
      <c r="V767" s="38">
        <v>2559</v>
      </c>
      <c r="W767" s="38">
        <f t="shared" si="118"/>
        <v>562.98</v>
      </c>
      <c r="X767" s="38">
        <f t="shared" si="119"/>
        <v>3121.98</v>
      </c>
    </row>
    <row r="768" spans="1:24" ht="30" customHeight="1" x14ac:dyDescent="0.35">
      <c r="A768" s="56" t="s">
        <v>3002</v>
      </c>
      <c r="B768" s="2">
        <v>730</v>
      </c>
      <c r="C768" s="77">
        <v>102000584</v>
      </c>
      <c r="D768" s="74" t="s">
        <v>248</v>
      </c>
      <c r="E768" s="59" t="s">
        <v>1979</v>
      </c>
      <c r="F768" s="75">
        <v>1</v>
      </c>
      <c r="G768" s="64" t="s">
        <v>0</v>
      </c>
      <c r="H768" s="101">
        <v>2014</v>
      </c>
      <c r="I768" s="61" t="s">
        <v>971</v>
      </c>
      <c r="J768" s="63" t="s">
        <v>1917</v>
      </c>
      <c r="K768" s="115" t="s">
        <v>248</v>
      </c>
      <c r="L768" s="88" t="s">
        <v>845</v>
      </c>
      <c r="M768" s="76">
        <f t="shared" si="114"/>
        <v>64867.78</v>
      </c>
      <c r="N768" s="76">
        <f t="shared" si="115"/>
        <v>64867.78</v>
      </c>
      <c r="O768" s="76">
        <v>64867.78</v>
      </c>
      <c r="P768" s="65">
        <v>38270</v>
      </c>
      <c r="Q768" s="65">
        <f t="shared" si="116"/>
        <v>8419.4</v>
      </c>
      <c r="R768" s="65">
        <f t="shared" si="117"/>
        <v>46689.4</v>
      </c>
      <c r="S768" s="272"/>
      <c r="T768" s="64">
        <v>35</v>
      </c>
      <c r="U768" s="277"/>
      <c r="V768" s="38">
        <v>47836</v>
      </c>
      <c r="W768" s="38">
        <f t="shared" si="118"/>
        <v>10523.92</v>
      </c>
      <c r="X768" s="38">
        <f t="shared" si="119"/>
        <v>58359.92</v>
      </c>
    </row>
    <row r="769" spans="1:24" ht="60" customHeight="1" x14ac:dyDescent="0.35">
      <c r="A769" s="56" t="s">
        <v>3003</v>
      </c>
      <c r="B769" s="2">
        <v>731</v>
      </c>
      <c r="C769" s="77">
        <v>10105925</v>
      </c>
      <c r="D769" s="74" t="s">
        <v>252</v>
      </c>
      <c r="E769" s="59" t="s">
        <v>1979</v>
      </c>
      <c r="F769" s="75">
        <v>3</v>
      </c>
      <c r="G769" s="64" t="s">
        <v>0</v>
      </c>
      <c r="H769" s="101">
        <v>2014</v>
      </c>
      <c r="I769" s="61" t="s">
        <v>971</v>
      </c>
      <c r="J769" s="101" t="s">
        <v>959</v>
      </c>
      <c r="K769" s="115" t="s">
        <v>252</v>
      </c>
      <c r="L769" s="88" t="s">
        <v>845</v>
      </c>
      <c r="M769" s="76">
        <f t="shared" si="114"/>
        <v>17324.97</v>
      </c>
      <c r="N769" s="76">
        <f t="shared" si="115"/>
        <v>5774.99</v>
      </c>
      <c r="O769" s="76">
        <v>17324.97</v>
      </c>
      <c r="P769" s="65">
        <v>10220</v>
      </c>
      <c r="Q769" s="65">
        <f t="shared" si="116"/>
        <v>2248.4</v>
      </c>
      <c r="R769" s="65">
        <f t="shared" si="117"/>
        <v>12468.4</v>
      </c>
      <c r="S769" s="272"/>
      <c r="T769" s="64">
        <v>35</v>
      </c>
      <c r="U769" s="277"/>
      <c r="V769" s="38">
        <v>12776</v>
      </c>
      <c r="W769" s="38">
        <f t="shared" si="118"/>
        <v>2810.72</v>
      </c>
      <c r="X769" s="38">
        <f t="shared" si="119"/>
        <v>15586.72</v>
      </c>
    </row>
    <row r="770" spans="1:24" ht="45" customHeight="1" x14ac:dyDescent="0.35">
      <c r="A770" s="56" t="s">
        <v>3004</v>
      </c>
      <c r="B770" s="2">
        <v>732</v>
      </c>
      <c r="C770" s="77">
        <v>10090267</v>
      </c>
      <c r="D770" s="74" t="s">
        <v>83</v>
      </c>
      <c r="E770" s="59" t="s">
        <v>1979</v>
      </c>
      <c r="F770" s="75">
        <v>9</v>
      </c>
      <c r="G770" s="64" t="s">
        <v>0</v>
      </c>
      <c r="H770" s="61">
        <v>42004</v>
      </c>
      <c r="I770" s="61" t="s">
        <v>971</v>
      </c>
      <c r="J770" s="61" t="s">
        <v>2226</v>
      </c>
      <c r="K770" s="88" t="s">
        <v>83</v>
      </c>
      <c r="L770" s="88" t="s">
        <v>845</v>
      </c>
      <c r="M770" s="76">
        <f t="shared" si="114"/>
        <v>38279.99</v>
      </c>
      <c r="N770" s="76">
        <f t="shared" si="115"/>
        <v>4253.33</v>
      </c>
      <c r="O770" s="76">
        <v>38279.99</v>
      </c>
      <c r="P770" s="65">
        <v>22440</v>
      </c>
      <c r="Q770" s="65">
        <f t="shared" si="116"/>
        <v>4936.8</v>
      </c>
      <c r="R770" s="65">
        <f t="shared" si="117"/>
        <v>27376.799999999999</v>
      </c>
      <c r="S770" s="272"/>
      <c r="T770" s="64">
        <v>35</v>
      </c>
      <c r="U770" s="277"/>
      <c r="V770" s="38">
        <v>28044</v>
      </c>
      <c r="W770" s="38">
        <f t="shared" si="118"/>
        <v>6169.68</v>
      </c>
      <c r="X770" s="38">
        <f t="shared" si="119"/>
        <v>34213.68</v>
      </c>
    </row>
    <row r="771" spans="1:24" ht="60" customHeight="1" x14ac:dyDescent="0.35">
      <c r="A771" s="56" t="s">
        <v>3005</v>
      </c>
      <c r="B771" s="2">
        <v>733</v>
      </c>
      <c r="C771" s="77">
        <v>10131131</v>
      </c>
      <c r="D771" s="74" t="s">
        <v>255</v>
      </c>
      <c r="E771" s="59" t="s">
        <v>1979</v>
      </c>
      <c r="F771" s="75">
        <v>5</v>
      </c>
      <c r="G771" s="64" t="s">
        <v>0</v>
      </c>
      <c r="H771" s="64">
        <v>2014</v>
      </c>
      <c r="I771" s="61" t="s">
        <v>971</v>
      </c>
      <c r="J771" s="61" t="s">
        <v>959</v>
      </c>
      <c r="K771" s="88" t="s">
        <v>255</v>
      </c>
      <c r="L771" s="88" t="s">
        <v>845</v>
      </c>
      <c r="M771" s="76">
        <f t="shared" si="114"/>
        <v>12695.8</v>
      </c>
      <c r="N771" s="76">
        <f t="shared" si="115"/>
        <v>2539.16</v>
      </c>
      <c r="O771" s="76">
        <v>12695.8</v>
      </c>
      <c r="P771" s="65">
        <v>7490</v>
      </c>
      <c r="Q771" s="65">
        <f t="shared" si="116"/>
        <v>1647.8</v>
      </c>
      <c r="R771" s="65">
        <f t="shared" si="117"/>
        <v>9137.7999999999993</v>
      </c>
      <c r="S771" s="272"/>
      <c r="T771" s="64">
        <v>35</v>
      </c>
      <c r="U771" s="277"/>
      <c r="V771" s="38">
        <v>9362</v>
      </c>
      <c r="W771" s="38">
        <f t="shared" si="118"/>
        <v>2059.64</v>
      </c>
      <c r="X771" s="38">
        <f t="shared" si="119"/>
        <v>11421.64</v>
      </c>
    </row>
    <row r="772" spans="1:24" ht="36.75" customHeight="1" x14ac:dyDescent="0.35">
      <c r="A772" s="56" t="s">
        <v>3006</v>
      </c>
      <c r="B772" s="2">
        <v>734</v>
      </c>
      <c r="C772" s="89">
        <v>10108564</v>
      </c>
      <c r="D772" s="90" t="s">
        <v>253</v>
      </c>
      <c r="E772" s="59" t="s">
        <v>1979</v>
      </c>
      <c r="F772" s="75">
        <v>4</v>
      </c>
      <c r="G772" s="64" t="s">
        <v>0</v>
      </c>
      <c r="H772" s="64">
        <v>2016</v>
      </c>
      <c r="I772" s="105" t="s">
        <v>971</v>
      </c>
      <c r="J772" s="63" t="s">
        <v>1917</v>
      </c>
      <c r="K772" s="108" t="s">
        <v>253</v>
      </c>
      <c r="L772" s="88" t="s">
        <v>845</v>
      </c>
      <c r="M772" s="76">
        <f t="shared" si="114"/>
        <v>153096.32000000001</v>
      </c>
      <c r="N772" s="76">
        <f t="shared" si="115"/>
        <v>38274.080000000002</v>
      </c>
      <c r="O772" s="76">
        <v>153096.32000000001</v>
      </c>
      <c r="P772" s="65">
        <v>79060</v>
      </c>
      <c r="Q772" s="65">
        <f t="shared" si="116"/>
        <v>17393.2</v>
      </c>
      <c r="R772" s="65">
        <f t="shared" si="117"/>
        <v>96453.2</v>
      </c>
      <c r="S772" s="272"/>
      <c r="T772" s="64">
        <v>35</v>
      </c>
      <c r="U772" s="277"/>
      <c r="V772" s="38">
        <v>98821</v>
      </c>
      <c r="W772" s="38">
        <f t="shared" si="118"/>
        <v>21740.62</v>
      </c>
      <c r="X772" s="38">
        <f t="shared" si="119"/>
        <v>120561.62</v>
      </c>
    </row>
    <row r="773" spans="1:24" ht="45" customHeight="1" x14ac:dyDescent="0.35">
      <c r="A773" s="56" t="s">
        <v>3007</v>
      </c>
      <c r="B773" s="2">
        <v>735</v>
      </c>
      <c r="C773" s="89">
        <v>10108565</v>
      </c>
      <c r="D773" s="90" t="s">
        <v>244</v>
      </c>
      <c r="E773" s="59" t="s">
        <v>1979</v>
      </c>
      <c r="F773" s="75">
        <v>1</v>
      </c>
      <c r="G773" s="64" t="s">
        <v>0</v>
      </c>
      <c r="H773" s="64">
        <v>2016</v>
      </c>
      <c r="I773" s="105" t="s">
        <v>971</v>
      </c>
      <c r="J773" s="63" t="s">
        <v>1917</v>
      </c>
      <c r="K773" s="108" t="s">
        <v>244</v>
      </c>
      <c r="L773" s="88" t="s">
        <v>845</v>
      </c>
      <c r="M773" s="76">
        <f t="shared" si="114"/>
        <v>41914.949999999997</v>
      </c>
      <c r="N773" s="76">
        <f t="shared" si="115"/>
        <v>41914.949999999997</v>
      </c>
      <c r="O773" s="76">
        <v>41914.949999999997</v>
      </c>
      <c r="P773" s="65">
        <v>21640</v>
      </c>
      <c r="Q773" s="65">
        <f t="shared" si="116"/>
        <v>4760.8</v>
      </c>
      <c r="R773" s="65">
        <f t="shared" si="117"/>
        <v>26400.799999999999</v>
      </c>
      <c r="S773" s="272"/>
      <c r="T773" s="64">
        <v>35</v>
      </c>
      <c r="U773" s="277"/>
      <c r="V773" s="38">
        <v>27055</v>
      </c>
      <c r="W773" s="38">
        <f t="shared" si="118"/>
        <v>5952.1</v>
      </c>
      <c r="X773" s="38">
        <f t="shared" si="119"/>
        <v>33007.1</v>
      </c>
    </row>
    <row r="774" spans="1:24" ht="44.25" customHeight="1" x14ac:dyDescent="0.35">
      <c r="A774" s="56" t="s">
        <v>3008</v>
      </c>
      <c r="B774" s="2">
        <v>736</v>
      </c>
      <c r="C774" s="89">
        <v>10145223</v>
      </c>
      <c r="D774" s="90" t="s">
        <v>247</v>
      </c>
      <c r="E774" s="59" t="s">
        <v>1979</v>
      </c>
      <c r="F774" s="75">
        <v>1</v>
      </c>
      <c r="G774" s="64" t="s">
        <v>0</v>
      </c>
      <c r="H774" s="61">
        <v>42004</v>
      </c>
      <c r="I774" s="105" t="s">
        <v>971</v>
      </c>
      <c r="J774" s="63" t="s">
        <v>1917</v>
      </c>
      <c r="K774" s="108" t="s">
        <v>247</v>
      </c>
      <c r="L774" s="88" t="s">
        <v>845</v>
      </c>
      <c r="M774" s="76">
        <f t="shared" si="114"/>
        <v>169900</v>
      </c>
      <c r="N774" s="76">
        <f t="shared" si="115"/>
        <v>169900</v>
      </c>
      <c r="O774" s="76">
        <v>169900</v>
      </c>
      <c r="P774" s="65">
        <v>99570</v>
      </c>
      <c r="Q774" s="65">
        <f t="shared" si="116"/>
        <v>21905.4</v>
      </c>
      <c r="R774" s="65">
        <f t="shared" si="117"/>
        <v>121475.4</v>
      </c>
      <c r="S774" s="272"/>
      <c r="T774" s="64">
        <v>35</v>
      </c>
      <c r="U774" s="277"/>
      <c r="V774" s="38">
        <v>124469</v>
      </c>
      <c r="W774" s="38">
        <f t="shared" si="118"/>
        <v>27383.18</v>
      </c>
      <c r="X774" s="38">
        <f t="shared" si="119"/>
        <v>151852.18</v>
      </c>
    </row>
    <row r="775" spans="1:24" ht="48" customHeight="1" x14ac:dyDescent="0.35">
      <c r="A775" s="56" t="s">
        <v>3009</v>
      </c>
      <c r="B775" s="2">
        <v>737</v>
      </c>
      <c r="C775" s="89">
        <v>10145264</v>
      </c>
      <c r="D775" s="90" t="s">
        <v>250</v>
      </c>
      <c r="E775" s="59" t="s">
        <v>1979</v>
      </c>
      <c r="F775" s="75">
        <v>2</v>
      </c>
      <c r="G775" s="64" t="s">
        <v>0</v>
      </c>
      <c r="H775" s="64">
        <v>2014</v>
      </c>
      <c r="I775" s="105" t="s">
        <v>971</v>
      </c>
      <c r="J775" s="63" t="s">
        <v>1917</v>
      </c>
      <c r="K775" s="108" t="s">
        <v>250</v>
      </c>
      <c r="L775" s="88" t="s">
        <v>845</v>
      </c>
      <c r="M775" s="76">
        <f t="shared" si="114"/>
        <v>24800</v>
      </c>
      <c r="N775" s="76">
        <f t="shared" si="115"/>
        <v>12400</v>
      </c>
      <c r="O775" s="76">
        <v>24800</v>
      </c>
      <c r="P775" s="65">
        <v>14630</v>
      </c>
      <c r="Q775" s="65">
        <f t="shared" si="116"/>
        <v>3218.6</v>
      </c>
      <c r="R775" s="65">
        <f t="shared" si="117"/>
        <v>17848.599999999999</v>
      </c>
      <c r="S775" s="272"/>
      <c r="T775" s="64">
        <v>35</v>
      </c>
      <c r="U775" s="277"/>
      <c r="V775" s="38">
        <v>18289</v>
      </c>
      <c r="W775" s="38">
        <f t="shared" si="118"/>
        <v>4023.58</v>
      </c>
      <c r="X775" s="38">
        <f t="shared" si="119"/>
        <v>22312.58</v>
      </c>
    </row>
    <row r="776" spans="1:24" ht="30" customHeight="1" x14ac:dyDescent="0.35">
      <c r="A776" s="56" t="s">
        <v>3010</v>
      </c>
      <c r="B776" s="2">
        <v>738</v>
      </c>
      <c r="C776" s="89">
        <v>10127605</v>
      </c>
      <c r="D776" s="90" t="s">
        <v>249</v>
      </c>
      <c r="E776" s="59" t="s">
        <v>1979</v>
      </c>
      <c r="F776" s="75">
        <v>2</v>
      </c>
      <c r="G776" s="64" t="s">
        <v>0</v>
      </c>
      <c r="H776" s="61">
        <v>42004</v>
      </c>
      <c r="I776" s="105" t="s">
        <v>971</v>
      </c>
      <c r="J776" s="63" t="s">
        <v>1917</v>
      </c>
      <c r="K776" s="108" t="s">
        <v>249</v>
      </c>
      <c r="L776" s="88" t="s">
        <v>845</v>
      </c>
      <c r="M776" s="76">
        <f t="shared" si="114"/>
        <v>71978.789999999994</v>
      </c>
      <c r="N776" s="76">
        <f t="shared" si="115"/>
        <v>35989.4</v>
      </c>
      <c r="O776" s="76">
        <v>71978.789999999994</v>
      </c>
      <c r="P776" s="65">
        <v>42190</v>
      </c>
      <c r="Q776" s="65">
        <f t="shared" si="116"/>
        <v>9281.7999999999993</v>
      </c>
      <c r="R776" s="65">
        <f t="shared" si="117"/>
        <v>51471.8</v>
      </c>
      <c r="S776" s="272"/>
      <c r="T776" s="64">
        <v>35</v>
      </c>
      <c r="U776" s="277"/>
      <c r="V776" s="38">
        <v>52732</v>
      </c>
      <c r="W776" s="38">
        <f t="shared" si="118"/>
        <v>11601.04</v>
      </c>
      <c r="X776" s="38">
        <f t="shared" si="119"/>
        <v>64333.04</v>
      </c>
    </row>
    <row r="777" spans="1:24" ht="46.5" customHeight="1" x14ac:dyDescent="0.35">
      <c r="A777" s="56" t="s">
        <v>3011</v>
      </c>
      <c r="B777" s="2">
        <v>739</v>
      </c>
      <c r="C777" s="89">
        <v>10124228</v>
      </c>
      <c r="D777" s="90" t="s">
        <v>622</v>
      </c>
      <c r="E777" s="59" t="s">
        <v>1979</v>
      </c>
      <c r="F777" s="75">
        <v>1</v>
      </c>
      <c r="G777" s="64" t="s">
        <v>0</v>
      </c>
      <c r="H777" s="64">
        <v>2014</v>
      </c>
      <c r="I777" s="105" t="s">
        <v>971</v>
      </c>
      <c r="J777" s="63" t="s">
        <v>1917</v>
      </c>
      <c r="K777" s="108" t="s">
        <v>622</v>
      </c>
      <c r="L777" s="88" t="s">
        <v>845</v>
      </c>
      <c r="M777" s="76">
        <f t="shared" si="114"/>
        <v>27552</v>
      </c>
      <c r="N777" s="76">
        <f t="shared" si="115"/>
        <v>27552</v>
      </c>
      <c r="O777" s="76">
        <v>27552</v>
      </c>
      <c r="P777" s="65">
        <v>16250</v>
      </c>
      <c r="Q777" s="65">
        <f t="shared" si="116"/>
        <v>3575</v>
      </c>
      <c r="R777" s="65">
        <f t="shared" si="117"/>
        <v>19825</v>
      </c>
      <c r="S777" s="272"/>
      <c r="T777" s="64">
        <v>35</v>
      </c>
      <c r="U777" s="277"/>
      <c r="V777" s="38">
        <v>20318</v>
      </c>
      <c r="W777" s="38">
        <f t="shared" si="118"/>
        <v>4469.96</v>
      </c>
      <c r="X777" s="38">
        <f t="shared" si="119"/>
        <v>24787.96</v>
      </c>
    </row>
    <row r="778" spans="1:24" ht="45.75" customHeight="1" x14ac:dyDescent="0.35">
      <c r="A778" s="56" t="s">
        <v>3012</v>
      </c>
      <c r="B778" s="2">
        <v>740</v>
      </c>
      <c r="C778" s="89">
        <v>102001450</v>
      </c>
      <c r="D778" s="90" t="s">
        <v>613</v>
      </c>
      <c r="E778" s="59" t="s">
        <v>1979</v>
      </c>
      <c r="F778" s="75">
        <v>1</v>
      </c>
      <c r="G778" s="64" t="s">
        <v>0</v>
      </c>
      <c r="H778" s="64">
        <v>2014</v>
      </c>
      <c r="I778" s="105" t="s">
        <v>971</v>
      </c>
      <c r="J778" s="63" t="s">
        <v>1917</v>
      </c>
      <c r="K778" s="108" t="s">
        <v>613</v>
      </c>
      <c r="L778" s="88" t="s">
        <v>845</v>
      </c>
      <c r="M778" s="148">
        <f t="shared" si="114"/>
        <v>51979.199999999997</v>
      </c>
      <c r="N778" s="148">
        <f t="shared" si="115"/>
        <v>51979.199999999997</v>
      </c>
      <c r="O778" s="76">
        <v>51979.199999999997</v>
      </c>
      <c r="P778" s="65">
        <v>30670</v>
      </c>
      <c r="Q778" s="65">
        <f t="shared" si="116"/>
        <v>6747.4</v>
      </c>
      <c r="R778" s="65">
        <f t="shared" si="117"/>
        <v>37417.4</v>
      </c>
      <c r="S778" s="272"/>
      <c r="T778" s="64">
        <v>35</v>
      </c>
      <c r="U778" s="277"/>
      <c r="V778" s="38">
        <v>38332</v>
      </c>
      <c r="W778" s="38">
        <f t="shared" si="118"/>
        <v>8433.0400000000009</v>
      </c>
      <c r="X778" s="38">
        <f t="shared" si="119"/>
        <v>46765.04</v>
      </c>
    </row>
    <row r="779" spans="1:24" ht="30" customHeight="1" x14ac:dyDescent="0.35">
      <c r="A779" s="56" t="s">
        <v>3013</v>
      </c>
      <c r="B779" s="2">
        <v>741</v>
      </c>
      <c r="C779" s="89">
        <v>10018626</v>
      </c>
      <c r="D779" s="90" t="s">
        <v>534</v>
      </c>
      <c r="E779" s="74" t="s">
        <v>2184</v>
      </c>
      <c r="F779" s="75">
        <v>1</v>
      </c>
      <c r="G779" s="64" t="s">
        <v>0</v>
      </c>
      <c r="H779" s="61">
        <v>42004</v>
      </c>
      <c r="I779" s="107" t="s">
        <v>976</v>
      </c>
      <c r="J779" s="63" t="s">
        <v>1917</v>
      </c>
      <c r="K779" s="108" t="s">
        <v>702</v>
      </c>
      <c r="L779" s="64" t="s">
        <v>845</v>
      </c>
      <c r="M779" s="65">
        <f t="shared" si="114"/>
        <v>1068.58</v>
      </c>
      <c r="N779" s="65">
        <f t="shared" si="115"/>
        <v>1068.58</v>
      </c>
      <c r="O779" s="65">
        <v>1068.58</v>
      </c>
      <c r="P779" s="65">
        <v>630</v>
      </c>
      <c r="Q779" s="65">
        <f t="shared" si="116"/>
        <v>138.6</v>
      </c>
      <c r="R779" s="65">
        <f t="shared" si="117"/>
        <v>768.6</v>
      </c>
      <c r="S779" s="272"/>
      <c r="T779" s="64">
        <v>35</v>
      </c>
      <c r="U779" s="277"/>
      <c r="V779" s="38">
        <v>783</v>
      </c>
      <c r="W779" s="38">
        <f t="shared" si="118"/>
        <v>172.26</v>
      </c>
      <c r="X779" s="38">
        <f t="shared" si="119"/>
        <v>955.26</v>
      </c>
    </row>
    <row r="780" spans="1:24" ht="15" customHeight="1" x14ac:dyDescent="0.35">
      <c r="A780" s="56" t="s">
        <v>3014</v>
      </c>
      <c r="B780" s="2">
        <v>742</v>
      </c>
      <c r="C780" s="89">
        <v>10018627</v>
      </c>
      <c r="D780" s="90" t="s">
        <v>535</v>
      </c>
      <c r="E780" s="74" t="s">
        <v>2184</v>
      </c>
      <c r="F780" s="75">
        <v>1</v>
      </c>
      <c r="G780" s="64" t="s">
        <v>0</v>
      </c>
      <c r="H780" s="61">
        <v>42004</v>
      </c>
      <c r="I780" s="107" t="s">
        <v>976</v>
      </c>
      <c r="J780" s="63" t="s">
        <v>1917</v>
      </c>
      <c r="K780" s="108" t="s">
        <v>703</v>
      </c>
      <c r="L780" s="64" t="s">
        <v>845</v>
      </c>
      <c r="M780" s="65">
        <f t="shared" si="114"/>
        <v>2787.64</v>
      </c>
      <c r="N780" s="65">
        <f t="shared" si="115"/>
        <v>2787.64</v>
      </c>
      <c r="O780" s="65">
        <v>2787.64</v>
      </c>
      <c r="P780" s="65">
        <v>1630</v>
      </c>
      <c r="Q780" s="65">
        <f t="shared" si="116"/>
        <v>358.6</v>
      </c>
      <c r="R780" s="65">
        <f t="shared" si="117"/>
        <v>1988.6</v>
      </c>
      <c r="S780" s="272"/>
      <c r="T780" s="64">
        <v>35</v>
      </c>
      <c r="U780" s="277"/>
      <c r="V780" s="38">
        <v>2042</v>
      </c>
      <c r="W780" s="38">
        <f t="shared" si="118"/>
        <v>449.24</v>
      </c>
      <c r="X780" s="38">
        <f t="shared" si="119"/>
        <v>2491.2399999999998</v>
      </c>
    </row>
    <row r="781" spans="1:24" ht="15" customHeight="1" x14ac:dyDescent="0.35">
      <c r="A781" s="56" t="s">
        <v>3015</v>
      </c>
      <c r="B781" s="2">
        <v>743</v>
      </c>
      <c r="C781" s="89">
        <v>10094504</v>
      </c>
      <c r="D781" s="90" t="s">
        <v>536</v>
      </c>
      <c r="E781" s="74" t="s">
        <v>2184</v>
      </c>
      <c r="F781" s="91">
        <v>2</v>
      </c>
      <c r="G781" s="64" t="s">
        <v>0</v>
      </c>
      <c r="H781" s="61">
        <v>42004</v>
      </c>
      <c r="I781" s="107" t="s">
        <v>976</v>
      </c>
      <c r="J781" s="63" t="s">
        <v>1917</v>
      </c>
      <c r="K781" s="108" t="s">
        <v>704</v>
      </c>
      <c r="L781" s="64" t="s">
        <v>845</v>
      </c>
      <c r="M781" s="65">
        <f t="shared" si="114"/>
        <v>15844.1</v>
      </c>
      <c r="N781" s="65">
        <f t="shared" si="115"/>
        <v>7922.05</v>
      </c>
      <c r="O781" s="65">
        <v>15844.1</v>
      </c>
      <c r="P781" s="65">
        <v>9290</v>
      </c>
      <c r="Q781" s="65">
        <f t="shared" si="116"/>
        <v>2043.8</v>
      </c>
      <c r="R781" s="65">
        <f t="shared" si="117"/>
        <v>11333.8</v>
      </c>
      <c r="S781" s="272"/>
      <c r="T781" s="64">
        <v>35</v>
      </c>
      <c r="U781" s="277"/>
      <c r="V781" s="38">
        <v>11607</v>
      </c>
      <c r="W781" s="38">
        <f t="shared" si="118"/>
        <v>2553.54</v>
      </c>
      <c r="X781" s="38">
        <f t="shared" si="119"/>
        <v>14160.54</v>
      </c>
    </row>
    <row r="782" spans="1:24" ht="30" customHeight="1" x14ac:dyDescent="0.35">
      <c r="A782" s="56" t="s">
        <v>3016</v>
      </c>
      <c r="B782" s="2">
        <v>744</v>
      </c>
      <c r="C782" s="89">
        <v>10104861</v>
      </c>
      <c r="D782" s="90" t="s">
        <v>538</v>
      </c>
      <c r="E782" s="74" t="s">
        <v>2184</v>
      </c>
      <c r="F782" s="75">
        <v>1</v>
      </c>
      <c r="G782" s="64" t="s">
        <v>0</v>
      </c>
      <c r="H782" s="61">
        <v>42004</v>
      </c>
      <c r="I782" s="107" t="s">
        <v>976</v>
      </c>
      <c r="J782" s="63" t="s">
        <v>1917</v>
      </c>
      <c r="K782" s="108" t="s">
        <v>705</v>
      </c>
      <c r="L782" s="64" t="s">
        <v>845</v>
      </c>
      <c r="M782" s="65">
        <f t="shared" si="114"/>
        <v>10225.64</v>
      </c>
      <c r="N782" s="65">
        <f t="shared" si="115"/>
        <v>10225.64</v>
      </c>
      <c r="O782" s="65">
        <v>10225.64</v>
      </c>
      <c r="P782" s="65">
        <v>5990</v>
      </c>
      <c r="Q782" s="65">
        <f t="shared" si="116"/>
        <v>1317.8</v>
      </c>
      <c r="R782" s="65">
        <f t="shared" si="117"/>
        <v>7307.8</v>
      </c>
      <c r="S782" s="272"/>
      <c r="T782" s="64">
        <v>35</v>
      </c>
      <c r="U782" s="277"/>
      <c r="V782" s="38">
        <v>7491</v>
      </c>
      <c r="W782" s="38">
        <f t="shared" si="118"/>
        <v>1648.02</v>
      </c>
      <c r="X782" s="38">
        <f t="shared" si="119"/>
        <v>9139.02</v>
      </c>
    </row>
    <row r="783" spans="1:24" ht="15" customHeight="1" x14ac:dyDescent="0.35">
      <c r="A783" s="56" t="s">
        <v>3017</v>
      </c>
      <c r="B783" s="2">
        <v>745</v>
      </c>
      <c r="C783" s="89">
        <v>102000958</v>
      </c>
      <c r="D783" s="106" t="s">
        <v>539</v>
      </c>
      <c r="E783" s="74" t="s">
        <v>2184</v>
      </c>
      <c r="F783" s="75">
        <v>1</v>
      </c>
      <c r="G783" s="64" t="s">
        <v>0</v>
      </c>
      <c r="H783" s="61">
        <v>42004</v>
      </c>
      <c r="I783" s="107" t="s">
        <v>976</v>
      </c>
      <c r="J783" s="63" t="s">
        <v>1917</v>
      </c>
      <c r="K783" s="108" t="s">
        <v>706</v>
      </c>
      <c r="L783" s="64" t="s">
        <v>845</v>
      </c>
      <c r="M783" s="65">
        <f t="shared" si="114"/>
        <v>24027.53</v>
      </c>
      <c r="N783" s="65">
        <f t="shared" si="115"/>
        <v>24027.53</v>
      </c>
      <c r="O783" s="65">
        <v>24027.53</v>
      </c>
      <c r="P783" s="65">
        <v>14080</v>
      </c>
      <c r="Q783" s="65">
        <f t="shared" si="116"/>
        <v>3097.6</v>
      </c>
      <c r="R783" s="65">
        <f t="shared" si="117"/>
        <v>17177.599999999999</v>
      </c>
      <c r="S783" s="272"/>
      <c r="T783" s="64">
        <v>35</v>
      </c>
      <c r="U783" s="277"/>
      <c r="V783" s="38">
        <v>17603</v>
      </c>
      <c r="W783" s="38">
        <f t="shared" si="118"/>
        <v>3872.66</v>
      </c>
      <c r="X783" s="38">
        <f t="shared" si="119"/>
        <v>21475.66</v>
      </c>
    </row>
    <row r="784" spans="1:24" ht="15" customHeight="1" x14ac:dyDescent="0.35">
      <c r="A784" s="56" t="s">
        <v>3018</v>
      </c>
      <c r="B784" s="2">
        <v>746</v>
      </c>
      <c r="C784" s="89">
        <v>102001376</v>
      </c>
      <c r="D784" s="106" t="s">
        <v>540</v>
      </c>
      <c r="E784" s="74" t="s">
        <v>2184</v>
      </c>
      <c r="F784" s="75">
        <v>1</v>
      </c>
      <c r="G784" s="64" t="s">
        <v>0</v>
      </c>
      <c r="H784" s="61">
        <v>42004</v>
      </c>
      <c r="I784" s="107" t="s">
        <v>976</v>
      </c>
      <c r="J784" s="63" t="s">
        <v>1917</v>
      </c>
      <c r="K784" s="108" t="s">
        <v>707</v>
      </c>
      <c r="L784" s="64" t="s">
        <v>845</v>
      </c>
      <c r="M784" s="65">
        <f t="shared" si="114"/>
        <v>25563.85</v>
      </c>
      <c r="N784" s="65">
        <f t="shared" si="115"/>
        <v>25563.85</v>
      </c>
      <c r="O784" s="65">
        <v>25563.85</v>
      </c>
      <c r="P784" s="65">
        <v>14980</v>
      </c>
      <c r="Q784" s="65">
        <f t="shared" si="116"/>
        <v>3295.6</v>
      </c>
      <c r="R784" s="65">
        <f t="shared" si="117"/>
        <v>18275.599999999999</v>
      </c>
      <c r="S784" s="272"/>
      <c r="T784" s="64">
        <v>35</v>
      </c>
      <c r="U784" s="277"/>
      <c r="V784" s="38">
        <v>18728</v>
      </c>
      <c r="W784" s="38">
        <f t="shared" si="118"/>
        <v>4120.16</v>
      </c>
      <c r="X784" s="38">
        <f t="shared" si="119"/>
        <v>22848.16</v>
      </c>
    </row>
    <row r="785" spans="1:24" ht="15" customHeight="1" x14ac:dyDescent="0.35">
      <c r="A785" s="56" t="s">
        <v>3019</v>
      </c>
      <c r="B785" s="2">
        <v>747</v>
      </c>
      <c r="C785" s="89">
        <v>10104853</v>
      </c>
      <c r="D785" s="90" t="s">
        <v>541</v>
      </c>
      <c r="E785" s="74" t="s">
        <v>2184</v>
      </c>
      <c r="F785" s="75">
        <v>1</v>
      </c>
      <c r="G785" s="64" t="s">
        <v>0</v>
      </c>
      <c r="H785" s="61">
        <v>42004</v>
      </c>
      <c r="I785" s="107" t="s">
        <v>976</v>
      </c>
      <c r="J785" s="63" t="s">
        <v>1917</v>
      </c>
      <c r="K785" s="108" t="s">
        <v>549</v>
      </c>
      <c r="L785" s="64" t="s">
        <v>845</v>
      </c>
      <c r="M785" s="65">
        <f t="shared" si="114"/>
        <v>9460.86</v>
      </c>
      <c r="N785" s="65">
        <f t="shared" si="115"/>
        <v>9460.86</v>
      </c>
      <c r="O785" s="65">
        <v>9460.86</v>
      </c>
      <c r="P785" s="65">
        <v>5540</v>
      </c>
      <c r="Q785" s="65">
        <f t="shared" si="116"/>
        <v>1218.8</v>
      </c>
      <c r="R785" s="65">
        <f t="shared" si="117"/>
        <v>6758.8</v>
      </c>
      <c r="S785" s="272"/>
      <c r="T785" s="64">
        <v>35</v>
      </c>
      <c r="U785" s="277"/>
      <c r="V785" s="38">
        <v>6931</v>
      </c>
      <c r="W785" s="38">
        <f t="shared" si="118"/>
        <v>1524.82</v>
      </c>
      <c r="X785" s="38">
        <f t="shared" si="119"/>
        <v>8455.82</v>
      </c>
    </row>
    <row r="786" spans="1:24" ht="15" customHeight="1" x14ac:dyDescent="0.35">
      <c r="A786" s="56" t="s">
        <v>3020</v>
      </c>
      <c r="B786" s="2">
        <v>748</v>
      </c>
      <c r="C786" s="89">
        <v>102000877</v>
      </c>
      <c r="D786" s="106" t="s">
        <v>542</v>
      </c>
      <c r="E786" s="74" t="s">
        <v>2184</v>
      </c>
      <c r="F786" s="91">
        <v>2</v>
      </c>
      <c r="G786" s="64" t="s">
        <v>0</v>
      </c>
      <c r="H786" s="61">
        <v>42004</v>
      </c>
      <c r="I786" s="107" t="s">
        <v>976</v>
      </c>
      <c r="J786" s="63" t="s">
        <v>1917</v>
      </c>
      <c r="K786" s="108" t="s">
        <v>708</v>
      </c>
      <c r="L786" s="64" t="s">
        <v>845</v>
      </c>
      <c r="M786" s="65">
        <f t="shared" si="114"/>
        <v>47773.47</v>
      </c>
      <c r="N786" s="65">
        <f t="shared" si="115"/>
        <v>23886.74</v>
      </c>
      <c r="O786" s="65">
        <v>47773.47</v>
      </c>
      <c r="P786" s="65">
        <v>28000</v>
      </c>
      <c r="Q786" s="65">
        <f t="shared" si="116"/>
        <v>6160</v>
      </c>
      <c r="R786" s="65">
        <f t="shared" si="117"/>
        <v>34160</v>
      </c>
      <c r="S786" s="272"/>
      <c r="T786" s="64">
        <v>35</v>
      </c>
      <c r="U786" s="277"/>
      <c r="V786" s="38">
        <v>34999</v>
      </c>
      <c r="W786" s="38">
        <f t="shared" si="118"/>
        <v>7699.78</v>
      </c>
      <c r="X786" s="38">
        <f t="shared" si="119"/>
        <v>42698.78</v>
      </c>
    </row>
    <row r="787" spans="1:24" ht="15" customHeight="1" x14ac:dyDescent="0.35">
      <c r="A787" s="56" t="s">
        <v>3021</v>
      </c>
      <c r="B787" s="2">
        <v>749</v>
      </c>
      <c r="C787" s="89">
        <v>102001319</v>
      </c>
      <c r="D787" s="106" t="s">
        <v>543</v>
      </c>
      <c r="E787" s="74" t="s">
        <v>2184</v>
      </c>
      <c r="F787" s="91">
        <v>5</v>
      </c>
      <c r="G787" s="64" t="s">
        <v>0</v>
      </c>
      <c r="H787" s="61">
        <v>42004</v>
      </c>
      <c r="I787" s="107" t="s">
        <v>976</v>
      </c>
      <c r="J787" s="63" t="s">
        <v>1917</v>
      </c>
      <c r="K787" s="108" t="s">
        <v>709</v>
      </c>
      <c r="L787" s="64" t="s">
        <v>845</v>
      </c>
      <c r="M787" s="65">
        <f t="shared" si="114"/>
        <v>460715</v>
      </c>
      <c r="N787" s="65">
        <f t="shared" si="115"/>
        <v>92143</v>
      </c>
      <c r="O787" s="65">
        <v>460715</v>
      </c>
      <c r="P787" s="65">
        <v>270020</v>
      </c>
      <c r="Q787" s="65">
        <f t="shared" si="116"/>
        <v>59404.4</v>
      </c>
      <c r="R787" s="65">
        <f t="shared" si="117"/>
        <v>329424.40000000002</v>
      </c>
      <c r="S787" s="272"/>
      <c r="T787" s="64">
        <v>35</v>
      </c>
      <c r="U787" s="277"/>
      <c r="V787" s="38">
        <v>337520</v>
      </c>
      <c r="W787" s="38">
        <f t="shared" si="118"/>
        <v>74254.399999999994</v>
      </c>
      <c r="X787" s="38">
        <f t="shared" si="119"/>
        <v>411774.4</v>
      </c>
    </row>
    <row r="788" spans="1:24" ht="30" customHeight="1" x14ac:dyDescent="0.35">
      <c r="A788" s="56" t="s">
        <v>3022</v>
      </c>
      <c r="B788" s="2">
        <v>750</v>
      </c>
      <c r="C788" s="89">
        <v>102001427</v>
      </c>
      <c r="D788" s="106" t="s">
        <v>545</v>
      </c>
      <c r="E788" s="74" t="s">
        <v>2184</v>
      </c>
      <c r="F788" s="75">
        <v>1</v>
      </c>
      <c r="G788" s="64" t="s">
        <v>0</v>
      </c>
      <c r="H788" s="61">
        <v>42004</v>
      </c>
      <c r="I788" s="107" t="s">
        <v>976</v>
      </c>
      <c r="J788" s="63" t="s">
        <v>1917</v>
      </c>
      <c r="K788" s="108" t="s">
        <v>710</v>
      </c>
      <c r="L788" s="64" t="s">
        <v>845</v>
      </c>
      <c r="M788" s="65">
        <f t="shared" si="114"/>
        <v>485806</v>
      </c>
      <c r="N788" s="65">
        <f t="shared" si="115"/>
        <v>485806</v>
      </c>
      <c r="O788" s="65">
        <v>485806</v>
      </c>
      <c r="P788" s="65">
        <v>284720</v>
      </c>
      <c r="Q788" s="65">
        <f t="shared" si="116"/>
        <v>62638.400000000001</v>
      </c>
      <c r="R788" s="65">
        <f t="shared" si="117"/>
        <v>347358.4</v>
      </c>
      <c r="S788" s="272"/>
      <c r="T788" s="64">
        <v>35</v>
      </c>
      <c r="U788" s="277"/>
      <c r="V788" s="38">
        <v>355901</v>
      </c>
      <c r="W788" s="38">
        <f t="shared" si="118"/>
        <v>78298.22</v>
      </c>
      <c r="X788" s="38">
        <f t="shared" si="119"/>
        <v>434199.22</v>
      </c>
    </row>
    <row r="789" spans="1:24" ht="30" customHeight="1" x14ac:dyDescent="0.35">
      <c r="A789" s="56" t="s">
        <v>3023</v>
      </c>
      <c r="B789" s="2">
        <v>751</v>
      </c>
      <c r="C789" s="89">
        <v>102001388</v>
      </c>
      <c r="D789" s="106" t="s">
        <v>546</v>
      </c>
      <c r="E789" s="74" t="s">
        <v>2184</v>
      </c>
      <c r="F789" s="75">
        <v>1</v>
      </c>
      <c r="G789" s="64" t="s">
        <v>0</v>
      </c>
      <c r="H789" s="61">
        <v>42004</v>
      </c>
      <c r="I789" s="107" t="s">
        <v>976</v>
      </c>
      <c r="J789" s="63" t="s">
        <v>1917</v>
      </c>
      <c r="K789" s="108" t="s">
        <v>711</v>
      </c>
      <c r="L789" s="64" t="s">
        <v>845</v>
      </c>
      <c r="M789" s="65">
        <f t="shared" si="114"/>
        <v>485806</v>
      </c>
      <c r="N789" s="65">
        <f t="shared" si="115"/>
        <v>485806</v>
      </c>
      <c r="O789" s="65">
        <v>485806</v>
      </c>
      <c r="P789" s="65">
        <v>284720</v>
      </c>
      <c r="Q789" s="65">
        <f t="shared" si="116"/>
        <v>62638.400000000001</v>
      </c>
      <c r="R789" s="65">
        <f t="shared" si="117"/>
        <v>347358.4</v>
      </c>
      <c r="S789" s="272"/>
      <c r="T789" s="64">
        <v>35</v>
      </c>
      <c r="U789" s="277"/>
      <c r="V789" s="38">
        <v>355901</v>
      </c>
      <c r="W789" s="38">
        <f t="shared" si="118"/>
        <v>78298.22</v>
      </c>
      <c r="X789" s="38">
        <f t="shared" si="119"/>
        <v>434199.22</v>
      </c>
    </row>
    <row r="790" spans="1:24" ht="15" customHeight="1" x14ac:dyDescent="0.35">
      <c r="A790" s="56" t="s">
        <v>3024</v>
      </c>
      <c r="B790" s="2">
        <v>752</v>
      </c>
      <c r="C790" s="89">
        <v>10148140</v>
      </c>
      <c r="D790" s="90" t="s">
        <v>547</v>
      </c>
      <c r="E790" s="74" t="s">
        <v>2184</v>
      </c>
      <c r="F790" s="91">
        <v>2</v>
      </c>
      <c r="G790" s="64" t="s">
        <v>0</v>
      </c>
      <c r="H790" s="61">
        <v>42004</v>
      </c>
      <c r="I790" s="107" t="s">
        <v>976</v>
      </c>
      <c r="J790" s="63" t="s">
        <v>1917</v>
      </c>
      <c r="K790" s="108" t="s">
        <v>712</v>
      </c>
      <c r="L790" s="64" t="s">
        <v>845</v>
      </c>
      <c r="M790" s="65">
        <f t="shared" si="114"/>
        <v>6446</v>
      </c>
      <c r="N790" s="65">
        <f t="shared" si="115"/>
        <v>3223</v>
      </c>
      <c r="O790" s="65">
        <v>6446</v>
      </c>
      <c r="P790" s="65">
        <v>3900</v>
      </c>
      <c r="Q790" s="65">
        <f t="shared" si="116"/>
        <v>858</v>
      </c>
      <c r="R790" s="65">
        <f t="shared" si="117"/>
        <v>4758</v>
      </c>
      <c r="S790" s="272"/>
      <c r="T790" s="64">
        <v>35</v>
      </c>
      <c r="U790" s="277"/>
      <c r="V790" s="38">
        <v>4870</v>
      </c>
      <c r="W790" s="38">
        <f t="shared" si="118"/>
        <v>1071.4000000000001</v>
      </c>
      <c r="X790" s="38">
        <f t="shared" si="119"/>
        <v>5941.4</v>
      </c>
    </row>
    <row r="791" spans="1:24" ht="15" customHeight="1" x14ac:dyDescent="0.35">
      <c r="A791" s="56" t="s">
        <v>3026</v>
      </c>
      <c r="B791" s="2">
        <v>753</v>
      </c>
      <c r="C791" s="89">
        <v>102001004</v>
      </c>
      <c r="D791" s="106" t="s">
        <v>553</v>
      </c>
      <c r="E791" s="74" t="s">
        <v>2184</v>
      </c>
      <c r="F791" s="75">
        <v>1</v>
      </c>
      <c r="G791" s="64" t="s">
        <v>0</v>
      </c>
      <c r="H791" s="61">
        <v>42004</v>
      </c>
      <c r="I791" s="107" t="s">
        <v>976</v>
      </c>
      <c r="J791" s="63" t="s">
        <v>1917</v>
      </c>
      <c r="K791" s="108" t="s">
        <v>717</v>
      </c>
      <c r="L791" s="64" t="s">
        <v>845</v>
      </c>
      <c r="M791" s="65">
        <f t="shared" si="114"/>
        <v>20993.49</v>
      </c>
      <c r="N791" s="65">
        <f t="shared" si="115"/>
        <v>20993.49</v>
      </c>
      <c r="O791" s="65">
        <v>20993.49</v>
      </c>
      <c r="P791" s="65">
        <v>12300</v>
      </c>
      <c r="Q791" s="65">
        <f t="shared" si="116"/>
        <v>2706</v>
      </c>
      <c r="R791" s="65">
        <f t="shared" si="117"/>
        <v>15006</v>
      </c>
      <c r="S791" s="272"/>
      <c r="T791" s="64">
        <v>35</v>
      </c>
      <c r="U791" s="277"/>
      <c r="V791" s="38">
        <v>15380</v>
      </c>
      <c r="W791" s="38">
        <f t="shared" si="118"/>
        <v>3383.6</v>
      </c>
      <c r="X791" s="38">
        <f t="shared" si="119"/>
        <v>18763.599999999999</v>
      </c>
    </row>
    <row r="792" spans="1:24" ht="15" customHeight="1" x14ac:dyDescent="0.35">
      <c r="A792" s="56" t="s">
        <v>3027</v>
      </c>
      <c r="B792" s="2">
        <v>754</v>
      </c>
      <c r="C792" s="89">
        <v>10037693</v>
      </c>
      <c r="D792" s="90" t="s">
        <v>554</v>
      </c>
      <c r="E792" s="74" t="s">
        <v>2184</v>
      </c>
      <c r="F792" s="75">
        <v>1</v>
      </c>
      <c r="G792" s="64" t="s">
        <v>0</v>
      </c>
      <c r="H792" s="61">
        <v>42004</v>
      </c>
      <c r="I792" s="107" t="s">
        <v>976</v>
      </c>
      <c r="J792" s="63" t="s">
        <v>1917</v>
      </c>
      <c r="K792" s="108" t="s">
        <v>718</v>
      </c>
      <c r="L792" s="64" t="s">
        <v>845</v>
      </c>
      <c r="M792" s="65">
        <f t="shared" si="114"/>
        <v>17990.95</v>
      </c>
      <c r="N792" s="65">
        <f t="shared" si="115"/>
        <v>17990.95</v>
      </c>
      <c r="O792" s="65">
        <v>17990.95</v>
      </c>
      <c r="P792" s="65">
        <v>10540</v>
      </c>
      <c r="Q792" s="65">
        <f t="shared" si="116"/>
        <v>2318.8000000000002</v>
      </c>
      <c r="R792" s="65">
        <f t="shared" si="117"/>
        <v>12858.8</v>
      </c>
      <c r="S792" s="272"/>
      <c r="T792" s="64">
        <v>35</v>
      </c>
      <c r="U792" s="277"/>
      <c r="V792" s="38">
        <v>13180</v>
      </c>
      <c r="W792" s="38">
        <f t="shared" si="118"/>
        <v>2899.6</v>
      </c>
      <c r="X792" s="38">
        <f t="shared" si="119"/>
        <v>16079.6</v>
      </c>
    </row>
    <row r="793" spans="1:24" ht="15" customHeight="1" x14ac:dyDescent="0.35">
      <c r="A793" s="56" t="s">
        <v>3028</v>
      </c>
      <c r="B793" s="2">
        <v>755</v>
      </c>
      <c r="C793" s="89">
        <v>102001097</v>
      </c>
      <c r="D793" s="106" t="s">
        <v>556</v>
      </c>
      <c r="E793" s="74" t="s">
        <v>2184</v>
      </c>
      <c r="F793" s="75">
        <v>1</v>
      </c>
      <c r="G793" s="64" t="s">
        <v>0</v>
      </c>
      <c r="H793" s="61">
        <v>42004</v>
      </c>
      <c r="I793" s="107" t="s">
        <v>976</v>
      </c>
      <c r="J793" s="63" t="s">
        <v>1917</v>
      </c>
      <c r="K793" s="108" t="s">
        <v>719</v>
      </c>
      <c r="L793" s="64" t="s">
        <v>845</v>
      </c>
      <c r="M793" s="65">
        <f t="shared" si="114"/>
        <v>51407.25</v>
      </c>
      <c r="N793" s="65">
        <f t="shared" si="115"/>
        <v>51407.25</v>
      </c>
      <c r="O793" s="65">
        <v>51407.25</v>
      </c>
      <c r="P793" s="65">
        <v>30130</v>
      </c>
      <c r="Q793" s="65">
        <f t="shared" si="116"/>
        <v>6628.6</v>
      </c>
      <c r="R793" s="65">
        <f t="shared" si="117"/>
        <v>36758.6</v>
      </c>
      <c r="S793" s="272"/>
      <c r="T793" s="64">
        <v>35</v>
      </c>
      <c r="U793" s="277"/>
      <c r="V793" s="38">
        <v>37661</v>
      </c>
      <c r="W793" s="38">
        <f t="shared" si="118"/>
        <v>8285.42</v>
      </c>
      <c r="X793" s="38">
        <f t="shared" si="119"/>
        <v>45946.42</v>
      </c>
    </row>
    <row r="794" spans="1:24" ht="15" customHeight="1" x14ac:dyDescent="0.35">
      <c r="A794" s="56" t="s">
        <v>3029</v>
      </c>
      <c r="B794" s="2">
        <v>756</v>
      </c>
      <c r="C794" s="89">
        <v>10019533</v>
      </c>
      <c r="D794" s="90" t="s">
        <v>557</v>
      </c>
      <c r="E794" s="74" t="s">
        <v>2184</v>
      </c>
      <c r="F794" s="75">
        <v>1</v>
      </c>
      <c r="G794" s="64" t="s">
        <v>0</v>
      </c>
      <c r="H794" s="61">
        <v>42004</v>
      </c>
      <c r="I794" s="107" t="s">
        <v>976</v>
      </c>
      <c r="J794" s="63" t="s">
        <v>1917</v>
      </c>
      <c r="K794" s="108" t="s">
        <v>720</v>
      </c>
      <c r="L794" s="64" t="s">
        <v>845</v>
      </c>
      <c r="M794" s="65">
        <f t="shared" si="114"/>
        <v>28112.71</v>
      </c>
      <c r="N794" s="65">
        <f t="shared" si="115"/>
        <v>28112.71</v>
      </c>
      <c r="O794" s="65">
        <v>28112.71</v>
      </c>
      <c r="P794" s="65">
        <v>16480</v>
      </c>
      <c r="Q794" s="65">
        <f t="shared" si="116"/>
        <v>3625.6</v>
      </c>
      <c r="R794" s="65">
        <f t="shared" si="117"/>
        <v>20105.599999999999</v>
      </c>
      <c r="S794" s="272"/>
      <c r="T794" s="64">
        <v>35</v>
      </c>
      <c r="U794" s="277"/>
      <c r="V794" s="38">
        <v>20595</v>
      </c>
      <c r="W794" s="38">
        <f t="shared" si="118"/>
        <v>4530.8999999999996</v>
      </c>
      <c r="X794" s="38">
        <f t="shared" si="119"/>
        <v>25125.9</v>
      </c>
    </row>
    <row r="795" spans="1:24" ht="15" customHeight="1" x14ac:dyDescent="0.35">
      <c r="A795" s="56" t="s">
        <v>3030</v>
      </c>
      <c r="B795" s="2">
        <v>757</v>
      </c>
      <c r="C795" s="89">
        <v>102002093</v>
      </c>
      <c r="D795" s="106" t="s">
        <v>558</v>
      </c>
      <c r="E795" s="74" t="s">
        <v>2184</v>
      </c>
      <c r="F795" s="75">
        <v>1</v>
      </c>
      <c r="G795" s="64" t="s">
        <v>0</v>
      </c>
      <c r="H795" s="61">
        <v>42004</v>
      </c>
      <c r="I795" s="107" t="s">
        <v>976</v>
      </c>
      <c r="J795" s="63" t="s">
        <v>1917</v>
      </c>
      <c r="K795" s="108" t="s">
        <v>721</v>
      </c>
      <c r="L795" s="64" t="s">
        <v>845</v>
      </c>
      <c r="M795" s="65">
        <f t="shared" si="114"/>
        <v>24059.88</v>
      </c>
      <c r="N795" s="65">
        <f t="shared" si="115"/>
        <v>24059.88</v>
      </c>
      <c r="O795" s="65">
        <v>24059.88</v>
      </c>
      <c r="P795" s="65">
        <v>14100</v>
      </c>
      <c r="Q795" s="65">
        <f t="shared" si="116"/>
        <v>3102</v>
      </c>
      <c r="R795" s="65">
        <f t="shared" si="117"/>
        <v>17202</v>
      </c>
      <c r="S795" s="272"/>
      <c r="T795" s="64">
        <v>35</v>
      </c>
      <c r="U795" s="277"/>
      <c r="V795" s="38">
        <v>17626</v>
      </c>
      <c r="W795" s="38">
        <f t="shared" si="118"/>
        <v>3877.72</v>
      </c>
      <c r="X795" s="38">
        <f t="shared" si="119"/>
        <v>21503.72</v>
      </c>
    </row>
    <row r="796" spans="1:24" ht="15" customHeight="1" x14ac:dyDescent="0.35">
      <c r="A796" s="56" t="s">
        <v>3031</v>
      </c>
      <c r="B796" s="2">
        <v>758</v>
      </c>
      <c r="C796" s="89">
        <v>102000896</v>
      </c>
      <c r="D796" s="106" t="s">
        <v>561</v>
      </c>
      <c r="E796" s="74" t="s">
        <v>2184</v>
      </c>
      <c r="F796" s="75">
        <v>1</v>
      </c>
      <c r="G796" s="64" t="s">
        <v>0</v>
      </c>
      <c r="H796" s="61">
        <v>42004</v>
      </c>
      <c r="I796" s="107" t="s">
        <v>976</v>
      </c>
      <c r="J796" s="63" t="s">
        <v>1917</v>
      </c>
      <c r="K796" s="108" t="s">
        <v>722</v>
      </c>
      <c r="L796" s="64" t="s">
        <v>845</v>
      </c>
      <c r="M796" s="65">
        <f t="shared" si="114"/>
        <v>24059.88</v>
      </c>
      <c r="N796" s="65">
        <f t="shared" si="115"/>
        <v>24059.88</v>
      </c>
      <c r="O796" s="65">
        <v>24059.88</v>
      </c>
      <c r="P796" s="65">
        <v>14100</v>
      </c>
      <c r="Q796" s="65">
        <f t="shared" si="116"/>
        <v>3102</v>
      </c>
      <c r="R796" s="65">
        <f t="shared" si="117"/>
        <v>17202</v>
      </c>
      <c r="S796" s="272"/>
      <c r="T796" s="64">
        <v>35</v>
      </c>
      <c r="U796" s="277"/>
      <c r="V796" s="38">
        <v>17626</v>
      </c>
      <c r="W796" s="38">
        <f t="shared" si="118"/>
        <v>3877.72</v>
      </c>
      <c r="X796" s="38">
        <f t="shared" si="119"/>
        <v>21503.72</v>
      </c>
    </row>
    <row r="797" spans="1:24" ht="15" customHeight="1" x14ac:dyDescent="0.35">
      <c r="A797" s="56" t="s">
        <v>3032</v>
      </c>
      <c r="B797" s="2">
        <v>759</v>
      </c>
      <c r="C797" s="89">
        <v>10100827</v>
      </c>
      <c r="D797" s="90" t="s">
        <v>562</v>
      </c>
      <c r="E797" s="74" t="s">
        <v>2184</v>
      </c>
      <c r="F797" s="75">
        <v>1</v>
      </c>
      <c r="G797" s="64" t="s">
        <v>0</v>
      </c>
      <c r="H797" s="61">
        <v>42004</v>
      </c>
      <c r="I797" s="107" t="s">
        <v>976</v>
      </c>
      <c r="J797" s="63" t="s">
        <v>1917</v>
      </c>
      <c r="K797" s="108" t="s">
        <v>723</v>
      </c>
      <c r="L797" s="64" t="s">
        <v>845</v>
      </c>
      <c r="M797" s="65">
        <f t="shared" si="114"/>
        <v>14502.88</v>
      </c>
      <c r="N797" s="65">
        <f t="shared" si="115"/>
        <v>14502.88</v>
      </c>
      <c r="O797" s="65">
        <v>14502.88</v>
      </c>
      <c r="P797" s="65">
        <v>8500</v>
      </c>
      <c r="Q797" s="65">
        <f t="shared" si="116"/>
        <v>1870</v>
      </c>
      <c r="R797" s="65">
        <f t="shared" si="117"/>
        <v>10370</v>
      </c>
      <c r="S797" s="272"/>
      <c r="T797" s="64">
        <v>35</v>
      </c>
      <c r="U797" s="277"/>
      <c r="V797" s="38">
        <v>10625</v>
      </c>
      <c r="W797" s="38">
        <f t="shared" si="118"/>
        <v>2337.5</v>
      </c>
      <c r="X797" s="38">
        <f t="shared" si="119"/>
        <v>12962.5</v>
      </c>
    </row>
    <row r="798" spans="1:24" ht="15" customHeight="1" x14ac:dyDescent="0.35">
      <c r="A798" s="56" t="s">
        <v>3033</v>
      </c>
      <c r="B798" s="2">
        <v>760</v>
      </c>
      <c r="C798" s="89">
        <v>10030434</v>
      </c>
      <c r="D798" s="90" t="s">
        <v>563</v>
      </c>
      <c r="E798" s="74" t="s">
        <v>2184</v>
      </c>
      <c r="F798" s="75">
        <v>1</v>
      </c>
      <c r="G798" s="64" t="s">
        <v>0</v>
      </c>
      <c r="H798" s="61">
        <v>42004</v>
      </c>
      <c r="I798" s="107" t="s">
        <v>976</v>
      </c>
      <c r="J798" s="63" t="s">
        <v>1917</v>
      </c>
      <c r="K798" s="108" t="s">
        <v>724</v>
      </c>
      <c r="L798" s="64" t="s">
        <v>845</v>
      </c>
      <c r="M798" s="65">
        <f t="shared" si="114"/>
        <v>18298.16</v>
      </c>
      <c r="N798" s="65">
        <f t="shared" si="115"/>
        <v>18298.16</v>
      </c>
      <c r="O798" s="65">
        <v>18298.16</v>
      </c>
      <c r="P798" s="65">
        <v>10720</v>
      </c>
      <c r="Q798" s="65">
        <f t="shared" si="116"/>
        <v>2358.4</v>
      </c>
      <c r="R798" s="65">
        <f t="shared" si="117"/>
        <v>13078.4</v>
      </c>
      <c r="S798" s="272"/>
      <c r="T798" s="64">
        <v>35</v>
      </c>
      <c r="U798" s="277"/>
      <c r="V798" s="38">
        <v>13405</v>
      </c>
      <c r="W798" s="38">
        <f t="shared" si="118"/>
        <v>2949.1</v>
      </c>
      <c r="X798" s="38">
        <f t="shared" si="119"/>
        <v>16354.1</v>
      </c>
    </row>
    <row r="799" spans="1:24" ht="15" customHeight="1" x14ac:dyDescent="0.35">
      <c r="A799" s="56" t="s">
        <v>3034</v>
      </c>
      <c r="B799" s="2">
        <v>761</v>
      </c>
      <c r="C799" s="89">
        <v>10027367</v>
      </c>
      <c r="D799" s="90" t="s">
        <v>564</v>
      </c>
      <c r="E799" s="74" t="s">
        <v>2184</v>
      </c>
      <c r="F799" s="75">
        <v>1</v>
      </c>
      <c r="G799" s="64" t="s">
        <v>0</v>
      </c>
      <c r="H799" s="61">
        <v>42004</v>
      </c>
      <c r="I799" s="107" t="s">
        <v>976</v>
      </c>
      <c r="J799" s="63" t="s">
        <v>1917</v>
      </c>
      <c r="K799" s="108" t="s">
        <v>725</v>
      </c>
      <c r="L799" s="64" t="s">
        <v>845</v>
      </c>
      <c r="M799" s="65">
        <f t="shared" si="114"/>
        <v>1589.49</v>
      </c>
      <c r="N799" s="65">
        <f t="shared" si="115"/>
        <v>1589.49</v>
      </c>
      <c r="O799" s="65">
        <v>1589.49</v>
      </c>
      <c r="P799" s="65">
        <v>930</v>
      </c>
      <c r="Q799" s="65">
        <f t="shared" si="116"/>
        <v>204.6</v>
      </c>
      <c r="R799" s="65">
        <f t="shared" si="117"/>
        <v>1134.5999999999999</v>
      </c>
      <c r="S799" s="272"/>
      <c r="T799" s="64">
        <v>35</v>
      </c>
      <c r="U799" s="277"/>
      <c r="V799" s="38">
        <v>1164</v>
      </c>
      <c r="W799" s="38">
        <f t="shared" si="118"/>
        <v>256.08</v>
      </c>
      <c r="X799" s="38">
        <f t="shared" si="119"/>
        <v>1420.08</v>
      </c>
    </row>
    <row r="800" spans="1:24" ht="15" customHeight="1" x14ac:dyDescent="0.35">
      <c r="A800" s="56" t="s">
        <v>3035</v>
      </c>
      <c r="B800" s="2">
        <v>762</v>
      </c>
      <c r="C800" s="89">
        <v>102001222</v>
      </c>
      <c r="D800" s="106" t="s">
        <v>565</v>
      </c>
      <c r="E800" s="74" t="s">
        <v>2184</v>
      </c>
      <c r="F800" s="75">
        <v>1</v>
      </c>
      <c r="G800" s="64" t="s">
        <v>0</v>
      </c>
      <c r="H800" s="61">
        <v>42004</v>
      </c>
      <c r="I800" s="107" t="s">
        <v>976</v>
      </c>
      <c r="J800" s="63" t="s">
        <v>1917</v>
      </c>
      <c r="K800" s="108" t="s">
        <v>726</v>
      </c>
      <c r="L800" s="64" t="s">
        <v>845</v>
      </c>
      <c r="M800" s="65">
        <f t="shared" si="114"/>
        <v>23550</v>
      </c>
      <c r="N800" s="65">
        <f t="shared" si="115"/>
        <v>23550</v>
      </c>
      <c r="O800" s="65">
        <v>23550</v>
      </c>
      <c r="P800" s="65">
        <v>13800</v>
      </c>
      <c r="Q800" s="65">
        <f t="shared" si="116"/>
        <v>3036</v>
      </c>
      <c r="R800" s="65">
        <f t="shared" si="117"/>
        <v>16836</v>
      </c>
      <c r="S800" s="272"/>
      <c r="T800" s="64">
        <v>35</v>
      </c>
      <c r="U800" s="277"/>
      <c r="V800" s="38">
        <v>17253</v>
      </c>
      <c r="W800" s="38">
        <f t="shared" si="118"/>
        <v>3795.66</v>
      </c>
      <c r="X800" s="38">
        <f t="shared" si="119"/>
        <v>21048.66</v>
      </c>
    </row>
    <row r="801" spans="1:24" ht="15" customHeight="1" x14ac:dyDescent="0.35">
      <c r="A801" s="56" t="s">
        <v>3036</v>
      </c>
      <c r="B801" s="2">
        <v>763</v>
      </c>
      <c r="C801" s="89">
        <v>10138528</v>
      </c>
      <c r="D801" s="90" t="s">
        <v>566</v>
      </c>
      <c r="E801" s="74" t="s">
        <v>2184</v>
      </c>
      <c r="F801" s="75">
        <v>1</v>
      </c>
      <c r="G801" s="64" t="s">
        <v>0</v>
      </c>
      <c r="H801" s="61">
        <v>42004</v>
      </c>
      <c r="I801" s="107" t="s">
        <v>976</v>
      </c>
      <c r="J801" s="63" t="s">
        <v>1917</v>
      </c>
      <c r="K801" s="108" t="s">
        <v>727</v>
      </c>
      <c r="L801" s="64" t="s">
        <v>845</v>
      </c>
      <c r="M801" s="65">
        <f t="shared" si="114"/>
        <v>25711.16</v>
      </c>
      <c r="N801" s="65">
        <f t="shared" si="115"/>
        <v>25711.16</v>
      </c>
      <c r="O801" s="65">
        <v>25711.16</v>
      </c>
      <c r="P801" s="65">
        <v>15070</v>
      </c>
      <c r="Q801" s="65">
        <f t="shared" si="116"/>
        <v>3315.4</v>
      </c>
      <c r="R801" s="65">
        <f t="shared" si="117"/>
        <v>18385.400000000001</v>
      </c>
      <c r="S801" s="272"/>
      <c r="T801" s="64">
        <v>35</v>
      </c>
      <c r="U801" s="277"/>
      <c r="V801" s="38">
        <v>18836</v>
      </c>
      <c r="W801" s="38">
        <f t="shared" si="118"/>
        <v>4143.92</v>
      </c>
      <c r="X801" s="38">
        <f t="shared" si="119"/>
        <v>22979.919999999998</v>
      </c>
    </row>
    <row r="802" spans="1:24" ht="15" customHeight="1" x14ac:dyDescent="0.35">
      <c r="A802" s="56" t="s">
        <v>3037</v>
      </c>
      <c r="B802" s="2">
        <v>764</v>
      </c>
      <c r="C802" s="89">
        <v>102002120</v>
      </c>
      <c r="D802" s="106" t="s">
        <v>567</v>
      </c>
      <c r="E802" s="74" t="s">
        <v>2184</v>
      </c>
      <c r="F802" s="75">
        <v>1</v>
      </c>
      <c r="G802" s="64" t="s">
        <v>0</v>
      </c>
      <c r="H802" s="61">
        <v>42004</v>
      </c>
      <c r="I802" s="107" t="s">
        <v>976</v>
      </c>
      <c r="J802" s="63" t="s">
        <v>1917</v>
      </c>
      <c r="K802" s="108" t="s">
        <v>728</v>
      </c>
      <c r="L802" s="64" t="s">
        <v>845</v>
      </c>
      <c r="M802" s="65">
        <f t="shared" si="114"/>
        <v>20710.41</v>
      </c>
      <c r="N802" s="65">
        <f t="shared" si="115"/>
        <v>20710.41</v>
      </c>
      <c r="O802" s="65">
        <v>20710.41</v>
      </c>
      <c r="P802" s="65">
        <v>12140</v>
      </c>
      <c r="Q802" s="65">
        <f t="shared" si="116"/>
        <v>2670.8</v>
      </c>
      <c r="R802" s="65">
        <f t="shared" si="117"/>
        <v>14810.8</v>
      </c>
      <c r="S802" s="272"/>
      <c r="T802" s="64">
        <v>35</v>
      </c>
      <c r="U802" s="277"/>
      <c r="V802" s="38">
        <v>15172</v>
      </c>
      <c r="W802" s="38">
        <f t="shared" si="118"/>
        <v>3337.84</v>
      </c>
      <c r="X802" s="38">
        <f t="shared" si="119"/>
        <v>18509.84</v>
      </c>
    </row>
    <row r="803" spans="1:24" ht="15" customHeight="1" x14ac:dyDescent="0.35">
      <c r="A803" s="56" t="s">
        <v>3038</v>
      </c>
      <c r="B803" s="2">
        <v>765</v>
      </c>
      <c r="C803" s="89">
        <v>10019529</v>
      </c>
      <c r="D803" s="90" t="s">
        <v>568</v>
      </c>
      <c r="E803" s="74" t="s">
        <v>2184</v>
      </c>
      <c r="F803" s="75">
        <v>1</v>
      </c>
      <c r="G803" s="64" t="s">
        <v>0</v>
      </c>
      <c r="H803" s="61">
        <v>42004</v>
      </c>
      <c r="I803" s="107" t="s">
        <v>976</v>
      </c>
      <c r="J803" s="63" t="s">
        <v>1917</v>
      </c>
      <c r="K803" s="108" t="s">
        <v>729</v>
      </c>
      <c r="L803" s="64" t="s">
        <v>845</v>
      </c>
      <c r="M803" s="65">
        <f t="shared" si="114"/>
        <v>22039.05</v>
      </c>
      <c r="N803" s="65">
        <f t="shared" si="115"/>
        <v>22039.05</v>
      </c>
      <c r="O803" s="65">
        <v>22039.05</v>
      </c>
      <c r="P803" s="65">
        <v>12920</v>
      </c>
      <c r="Q803" s="65">
        <f t="shared" si="116"/>
        <v>2842.4</v>
      </c>
      <c r="R803" s="65">
        <f t="shared" si="117"/>
        <v>15762.4</v>
      </c>
      <c r="S803" s="272"/>
      <c r="T803" s="64">
        <v>35</v>
      </c>
      <c r="U803" s="277"/>
      <c r="V803" s="38">
        <v>16146</v>
      </c>
      <c r="W803" s="38">
        <f t="shared" si="118"/>
        <v>3552.12</v>
      </c>
      <c r="X803" s="38">
        <f t="shared" si="119"/>
        <v>19698.12</v>
      </c>
    </row>
    <row r="804" spans="1:24" ht="15" customHeight="1" x14ac:dyDescent="0.35">
      <c r="A804" s="56" t="s">
        <v>3039</v>
      </c>
      <c r="B804" s="2">
        <v>766</v>
      </c>
      <c r="C804" s="89">
        <v>102002066</v>
      </c>
      <c r="D804" s="106" t="s">
        <v>569</v>
      </c>
      <c r="E804" s="74" t="s">
        <v>2184</v>
      </c>
      <c r="F804" s="75">
        <v>1</v>
      </c>
      <c r="G804" s="64" t="s">
        <v>0</v>
      </c>
      <c r="H804" s="61">
        <v>42004</v>
      </c>
      <c r="I804" s="107" t="s">
        <v>976</v>
      </c>
      <c r="J804" s="63" t="s">
        <v>1917</v>
      </c>
      <c r="K804" s="108" t="s">
        <v>730</v>
      </c>
      <c r="L804" s="64" t="s">
        <v>845</v>
      </c>
      <c r="M804" s="65">
        <f t="shared" si="114"/>
        <v>25070.01</v>
      </c>
      <c r="N804" s="65">
        <f t="shared" si="115"/>
        <v>25070.01</v>
      </c>
      <c r="O804" s="65">
        <v>25070.01</v>
      </c>
      <c r="P804" s="65">
        <v>14690</v>
      </c>
      <c r="Q804" s="65">
        <f t="shared" si="116"/>
        <v>3231.8</v>
      </c>
      <c r="R804" s="65">
        <f t="shared" si="117"/>
        <v>17921.8</v>
      </c>
      <c r="S804" s="272"/>
      <c r="T804" s="64">
        <v>35</v>
      </c>
      <c r="U804" s="277"/>
      <c r="V804" s="38">
        <v>18366</v>
      </c>
      <c r="W804" s="38">
        <f t="shared" si="118"/>
        <v>4040.52</v>
      </c>
      <c r="X804" s="38">
        <f t="shared" si="119"/>
        <v>22406.52</v>
      </c>
    </row>
    <row r="805" spans="1:24" ht="15" customHeight="1" x14ac:dyDescent="0.35">
      <c r="A805" s="56" t="s">
        <v>3040</v>
      </c>
      <c r="B805" s="2">
        <v>767</v>
      </c>
      <c r="C805" s="89">
        <v>102001563</v>
      </c>
      <c r="D805" s="106" t="s">
        <v>570</v>
      </c>
      <c r="E805" s="74" t="s">
        <v>2184</v>
      </c>
      <c r="F805" s="75">
        <v>1</v>
      </c>
      <c r="G805" s="64" t="s">
        <v>0</v>
      </c>
      <c r="H805" s="61">
        <v>42004</v>
      </c>
      <c r="I805" s="107" t="s">
        <v>976</v>
      </c>
      <c r="J805" s="63" t="s">
        <v>1917</v>
      </c>
      <c r="K805" s="108" t="s">
        <v>731</v>
      </c>
      <c r="L805" s="64" t="s">
        <v>845</v>
      </c>
      <c r="M805" s="65">
        <f t="shared" si="114"/>
        <v>28520.03</v>
      </c>
      <c r="N805" s="65">
        <f t="shared" si="115"/>
        <v>28520.03</v>
      </c>
      <c r="O805" s="65">
        <v>28520.03</v>
      </c>
      <c r="P805" s="65">
        <v>16720</v>
      </c>
      <c r="Q805" s="65">
        <f t="shared" si="116"/>
        <v>3678.4</v>
      </c>
      <c r="R805" s="65">
        <f t="shared" si="117"/>
        <v>20398.400000000001</v>
      </c>
      <c r="S805" s="272"/>
      <c r="T805" s="64">
        <v>35</v>
      </c>
      <c r="U805" s="277"/>
      <c r="V805" s="38">
        <v>20894</v>
      </c>
      <c r="W805" s="38">
        <f t="shared" si="118"/>
        <v>4596.68</v>
      </c>
      <c r="X805" s="38">
        <f t="shared" si="119"/>
        <v>25490.68</v>
      </c>
    </row>
    <row r="806" spans="1:24" ht="15" customHeight="1" x14ac:dyDescent="0.35">
      <c r="A806" s="56" t="s">
        <v>3041</v>
      </c>
      <c r="B806" s="2">
        <v>768</v>
      </c>
      <c r="C806" s="89">
        <v>10019531</v>
      </c>
      <c r="D806" s="90" t="s">
        <v>571</v>
      </c>
      <c r="E806" s="74" t="s">
        <v>2184</v>
      </c>
      <c r="F806" s="75">
        <v>1</v>
      </c>
      <c r="G806" s="64" t="s">
        <v>0</v>
      </c>
      <c r="H806" s="61">
        <v>42004</v>
      </c>
      <c r="I806" s="107" t="s">
        <v>976</v>
      </c>
      <c r="J806" s="63" t="s">
        <v>1917</v>
      </c>
      <c r="K806" s="108" t="s">
        <v>732</v>
      </c>
      <c r="L806" s="64" t="s">
        <v>845</v>
      </c>
      <c r="M806" s="65">
        <f t="shared" si="114"/>
        <v>28112.71</v>
      </c>
      <c r="N806" s="65">
        <f t="shared" si="115"/>
        <v>28112.71</v>
      </c>
      <c r="O806" s="65">
        <v>28112.71</v>
      </c>
      <c r="P806" s="65">
        <v>19610</v>
      </c>
      <c r="Q806" s="65">
        <f t="shared" si="116"/>
        <v>4314.2</v>
      </c>
      <c r="R806" s="65">
        <f t="shared" si="117"/>
        <v>23924.2</v>
      </c>
      <c r="S806" s="272"/>
      <c r="T806" s="64">
        <v>35</v>
      </c>
      <c r="U806" s="277"/>
      <c r="V806" s="38">
        <v>24517</v>
      </c>
      <c r="W806" s="38">
        <f t="shared" si="118"/>
        <v>5393.74</v>
      </c>
      <c r="X806" s="38">
        <f t="shared" si="119"/>
        <v>29910.74</v>
      </c>
    </row>
    <row r="807" spans="1:24" ht="15" customHeight="1" x14ac:dyDescent="0.35">
      <c r="A807" s="56" t="s">
        <v>3042</v>
      </c>
      <c r="B807" s="2">
        <v>769</v>
      </c>
      <c r="C807" s="89">
        <v>102002133</v>
      </c>
      <c r="D807" s="106" t="s">
        <v>572</v>
      </c>
      <c r="E807" s="74" t="s">
        <v>2184</v>
      </c>
      <c r="F807" s="75">
        <v>1</v>
      </c>
      <c r="G807" s="64" t="s">
        <v>0</v>
      </c>
      <c r="H807" s="61">
        <v>42004</v>
      </c>
      <c r="I807" s="107" t="s">
        <v>976</v>
      </c>
      <c r="J807" s="63" t="s">
        <v>1917</v>
      </c>
      <c r="K807" s="108" t="s">
        <v>733</v>
      </c>
      <c r="L807" s="64" t="s">
        <v>845</v>
      </c>
      <c r="M807" s="65">
        <f t="shared" si="114"/>
        <v>33173</v>
      </c>
      <c r="N807" s="65">
        <f t="shared" si="115"/>
        <v>33173</v>
      </c>
      <c r="O807" s="65">
        <v>33173</v>
      </c>
      <c r="P807" s="65">
        <v>19440</v>
      </c>
      <c r="Q807" s="65">
        <f t="shared" si="116"/>
        <v>4276.8</v>
      </c>
      <c r="R807" s="65">
        <f t="shared" si="117"/>
        <v>23716.799999999999</v>
      </c>
      <c r="S807" s="272"/>
      <c r="T807" s="64">
        <v>35</v>
      </c>
      <c r="U807" s="277"/>
      <c r="V807" s="38">
        <v>24303</v>
      </c>
      <c r="W807" s="38">
        <f t="shared" si="118"/>
        <v>5346.66</v>
      </c>
      <c r="X807" s="38">
        <f t="shared" si="119"/>
        <v>29649.66</v>
      </c>
    </row>
    <row r="808" spans="1:24" ht="15" customHeight="1" x14ac:dyDescent="0.35">
      <c r="A808" s="56" t="s">
        <v>3043</v>
      </c>
      <c r="B808" s="2">
        <v>770</v>
      </c>
      <c r="C808" s="89">
        <v>102000955</v>
      </c>
      <c r="D808" s="106" t="s">
        <v>573</v>
      </c>
      <c r="E808" s="74" t="s">
        <v>2184</v>
      </c>
      <c r="F808" s="75">
        <v>1</v>
      </c>
      <c r="G808" s="64" t="s">
        <v>0</v>
      </c>
      <c r="H808" s="61">
        <v>42004</v>
      </c>
      <c r="I808" s="107" t="s">
        <v>976</v>
      </c>
      <c r="J808" s="63" t="s">
        <v>1917</v>
      </c>
      <c r="K808" s="108" t="s">
        <v>734</v>
      </c>
      <c r="L808" s="64" t="s">
        <v>845</v>
      </c>
      <c r="M808" s="65">
        <f t="shared" si="114"/>
        <v>28234.65</v>
      </c>
      <c r="N808" s="65">
        <f t="shared" si="115"/>
        <v>28234.65</v>
      </c>
      <c r="O808" s="65">
        <v>28234.65</v>
      </c>
      <c r="P808" s="65">
        <v>16550</v>
      </c>
      <c r="Q808" s="65">
        <f t="shared" si="116"/>
        <v>3641</v>
      </c>
      <c r="R808" s="65">
        <f t="shared" si="117"/>
        <v>20191</v>
      </c>
      <c r="S808" s="272"/>
      <c r="T808" s="64">
        <v>35</v>
      </c>
      <c r="U808" s="277"/>
      <c r="V808" s="38">
        <v>20685</v>
      </c>
      <c r="W808" s="38">
        <f t="shared" si="118"/>
        <v>4550.7</v>
      </c>
      <c r="X808" s="38">
        <f t="shared" si="119"/>
        <v>25235.7</v>
      </c>
    </row>
    <row r="809" spans="1:24" ht="15" customHeight="1" x14ac:dyDescent="0.35">
      <c r="A809" s="56" t="s">
        <v>3044</v>
      </c>
      <c r="B809" s="2">
        <v>771</v>
      </c>
      <c r="C809" s="89">
        <v>10019749</v>
      </c>
      <c r="D809" s="90" t="s">
        <v>574</v>
      </c>
      <c r="E809" s="74" t="s">
        <v>2184</v>
      </c>
      <c r="F809" s="75">
        <v>1</v>
      </c>
      <c r="G809" s="64" t="s">
        <v>0</v>
      </c>
      <c r="H809" s="61">
        <v>42004</v>
      </c>
      <c r="I809" s="107" t="s">
        <v>976</v>
      </c>
      <c r="J809" s="63" t="s">
        <v>1917</v>
      </c>
      <c r="K809" s="108" t="s">
        <v>735</v>
      </c>
      <c r="L809" s="64" t="s">
        <v>845</v>
      </c>
      <c r="M809" s="65">
        <f t="shared" si="114"/>
        <v>3537.8</v>
      </c>
      <c r="N809" s="65">
        <f t="shared" si="115"/>
        <v>3537.8</v>
      </c>
      <c r="O809" s="65">
        <v>3537.8</v>
      </c>
      <c r="P809" s="65">
        <v>2070</v>
      </c>
      <c r="Q809" s="65">
        <f t="shared" si="116"/>
        <v>455.4</v>
      </c>
      <c r="R809" s="65">
        <f t="shared" si="117"/>
        <v>2525.4</v>
      </c>
      <c r="S809" s="272"/>
      <c r="T809" s="64">
        <v>35</v>
      </c>
      <c r="U809" s="277"/>
      <c r="V809" s="38">
        <v>2592</v>
      </c>
      <c r="W809" s="38">
        <f t="shared" si="118"/>
        <v>570.24</v>
      </c>
      <c r="X809" s="38">
        <f t="shared" si="119"/>
        <v>3162.24</v>
      </c>
    </row>
    <row r="810" spans="1:24" ht="15" customHeight="1" x14ac:dyDescent="0.35">
      <c r="A810" s="56" t="s">
        <v>3045</v>
      </c>
      <c r="B810" s="2">
        <v>772</v>
      </c>
      <c r="C810" s="89">
        <v>10019780</v>
      </c>
      <c r="D810" s="90" t="s">
        <v>575</v>
      </c>
      <c r="E810" s="74" t="s">
        <v>2184</v>
      </c>
      <c r="F810" s="75">
        <v>1</v>
      </c>
      <c r="G810" s="64" t="s">
        <v>0</v>
      </c>
      <c r="H810" s="61">
        <v>42004</v>
      </c>
      <c r="I810" s="107" t="s">
        <v>976</v>
      </c>
      <c r="J810" s="63" t="s">
        <v>1917</v>
      </c>
      <c r="K810" s="108" t="s">
        <v>736</v>
      </c>
      <c r="L810" s="64" t="s">
        <v>845</v>
      </c>
      <c r="M810" s="65">
        <f t="shared" si="114"/>
        <v>23209.14</v>
      </c>
      <c r="N810" s="65">
        <f t="shared" si="115"/>
        <v>23209.14</v>
      </c>
      <c r="O810" s="65">
        <v>23209.14</v>
      </c>
      <c r="P810" s="65">
        <v>13600</v>
      </c>
      <c r="Q810" s="65">
        <f t="shared" si="116"/>
        <v>2992</v>
      </c>
      <c r="R810" s="65">
        <f t="shared" si="117"/>
        <v>16592</v>
      </c>
      <c r="S810" s="272"/>
      <c r="T810" s="64">
        <v>35</v>
      </c>
      <c r="U810" s="277"/>
      <c r="V810" s="38">
        <v>17003</v>
      </c>
      <c r="W810" s="38">
        <f t="shared" si="118"/>
        <v>3740.66</v>
      </c>
      <c r="X810" s="38">
        <f t="shared" si="119"/>
        <v>20743.66</v>
      </c>
    </row>
    <row r="811" spans="1:24" ht="15" customHeight="1" x14ac:dyDescent="0.35">
      <c r="A811" s="56" t="s">
        <v>3046</v>
      </c>
      <c r="B811" s="2">
        <v>773</v>
      </c>
      <c r="C811" s="89">
        <v>102002013</v>
      </c>
      <c r="D811" s="106" t="s">
        <v>265</v>
      </c>
      <c r="E811" s="74" t="s">
        <v>2184</v>
      </c>
      <c r="F811" s="75">
        <v>1</v>
      </c>
      <c r="G811" s="64" t="s">
        <v>0</v>
      </c>
      <c r="H811" s="61">
        <v>42004</v>
      </c>
      <c r="I811" s="107" t="s">
        <v>976</v>
      </c>
      <c r="J811" s="63" t="s">
        <v>1917</v>
      </c>
      <c r="K811" s="108" t="s">
        <v>744</v>
      </c>
      <c r="L811" s="64" t="s">
        <v>845</v>
      </c>
      <c r="M811" s="65">
        <f t="shared" si="114"/>
        <v>181039.6</v>
      </c>
      <c r="N811" s="65">
        <f t="shared" si="115"/>
        <v>181039.6</v>
      </c>
      <c r="O811" s="65">
        <v>181039.6</v>
      </c>
      <c r="P811" s="65">
        <v>133890</v>
      </c>
      <c r="Q811" s="65">
        <f t="shared" si="116"/>
        <v>29455.8</v>
      </c>
      <c r="R811" s="65">
        <f t="shared" si="117"/>
        <v>163345.79999999999</v>
      </c>
      <c r="S811" s="272"/>
      <c r="T811" s="64">
        <v>35</v>
      </c>
      <c r="U811" s="277"/>
      <c r="V811" s="38">
        <v>167360</v>
      </c>
      <c r="W811" s="38">
        <f t="shared" si="118"/>
        <v>36819.199999999997</v>
      </c>
      <c r="X811" s="38">
        <f t="shared" si="119"/>
        <v>204179.20000000001</v>
      </c>
    </row>
    <row r="812" spans="1:24" ht="29.25" customHeight="1" x14ac:dyDescent="0.35">
      <c r="A812" s="56" t="s">
        <v>3047</v>
      </c>
      <c r="B812" s="2">
        <v>774</v>
      </c>
      <c r="C812" s="89">
        <v>10094501</v>
      </c>
      <c r="D812" s="90" t="s">
        <v>601</v>
      </c>
      <c r="E812" s="74" t="s">
        <v>2184</v>
      </c>
      <c r="F812" s="75">
        <v>1</v>
      </c>
      <c r="G812" s="64" t="s">
        <v>0</v>
      </c>
      <c r="H812" s="61">
        <v>42004</v>
      </c>
      <c r="I812" s="107" t="s">
        <v>976</v>
      </c>
      <c r="J812" s="63" t="s">
        <v>1917</v>
      </c>
      <c r="K812" s="108" t="s">
        <v>749</v>
      </c>
      <c r="L812" s="64" t="s">
        <v>845</v>
      </c>
      <c r="M812" s="65">
        <f t="shared" si="114"/>
        <v>8001.04</v>
      </c>
      <c r="N812" s="65">
        <f t="shared" si="115"/>
        <v>8001.04</v>
      </c>
      <c r="O812" s="65">
        <v>8001.04</v>
      </c>
      <c r="P812" s="65">
        <v>4690</v>
      </c>
      <c r="Q812" s="65">
        <f t="shared" si="116"/>
        <v>1031.8</v>
      </c>
      <c r="R812" s="65">
        <f t="shared" si="117"/>
        <v>5721.8</v>
      </c>
      <c r="S812" s="272"/>
      <c r="T812" s="64">
        <v>35</v>
      </c>
      <c r="U812" s="277"/>
      <c r="V812" s="38">
        <v>5862</v>
      </c>
      <c r="W812" s="38">
        <f t="shared" si="118"/>
        <v>1289.6400000000001</v>
      </c>
      <c r="X812" s="38">
        <f t="shared" si="119"/>
        <v>7151.64</v>
      </c>
    </row>
    <row r="813" spans="1:24" ht="15" customHeight="1" x14ac:dyDescent="0.35">
      <c r="A813" s="56" t="s">
        <v>3048</v>
      </c>
      <c r="B813" s="2">
        <v>775</v>
      </c>
      <c r="C813" s="89">
        <v>10102236</v>
      </c>
      <c r="D813" s="90" t="s">
        <v>602</v>
      </c>
      <c r="E813" s="74" t="s">
        <v>2184</v>
      </c>
      <c r="F813" s="75">
        <v>1</v>
      </c>
      <c r="G813" s="64" t="s">
        <v>0</v>
      </c>
      <c r="H813" s="61">
        <v>42004</v>
      </c>
      <c r="I813" s="107" t="s">
        <v>976</v>
      </c>
      <c r="J813" s="63" t="s">
        <v>1917</v>
      </c>
      <c r="K813" s="108" t="s">
        <v>750</v>
      </c>
      <c r="L813" s="64" t="s">
        <v>845</v>
      </c>
      <c r="M813" s="65">
        <f t="shared" si="114"/>
        <v>7125.77</v>
      </c>
      <c r="N813" s="65">
        <f t="shared" si="115"/>
        <v>7125.77</v>
      </c>
      <c r="O813" s="65">
        <v>7125.77</v>
      </c>
      <c r="P813" s="65">
        <v>4180</v>
      </c>
      <c r="Q813" s="65">
        <f t="shared" si="116"/>
        <v>919.6</v>
      </c>
      <c r="R813" s="65">
        <f t="shared" si="117"/>
        <v>5099.6000000000004</v>
      </c>
      <c r="S813" s="272"/>
      <c r="T813" s="64">
        <v>35</v>
      </c>
      <c r="U813" s="277"/>
      <c r="V813" s="38">
        <v>5220</v>
      </c>
      <c r="W813" s="38">
        <f t="shared" si="118"/>
        <v>1148.4000000000001</v>
      </c>
      <c r="X813" s="38">
        <f t="shared" si="119"/>
        <v>6368.4</v>
      </c>
    </row>
    <row r="814" spans="1:24" ht="34" customHeight="1" x14ac:dyDescent="0.35">
      <c r="A814" s="56" t="s">
        <v>3049</v>
      </c>
      <c r="B814" s="2">
        <v>776</v>
      </c>
      <c r="C814" s="89">
        <v>102001493</v>
      </c>
      <c r="D814" s="106" t="s">
        <v>606</v>
      </c>
      <c r="E814" s="74" t="s">
        <v>2184</v>
      </c>
      <c r="F814" s="75">
        <v>1</v>
      </c>
      <c r="G814" s="64" t="s">
        <v>0</v>
      </c>
      <c r="H814" s="61">
        <v>42004</v>
      </c>
      <c r="I814" s="107" t="s">
        <v>976</v>
      </c>
      <c r="J814" s="63" t="s">
        <v>1917</v>
      </c>
      <c r="K814" s="108" t="s">
        <v>256</v>
      </c>
      <c r="L814" s="64" t="s">
        <v>845</v>
      </c>
      <c r="M814" s="155">
        <f t="shared" si="114"/>
        <v>50308.08</v>
      </c>
      <c r="N814" s="155">
        <f t="shared" si="115"/>
        <v>50308.08</v>
      </c>
      <c r="O814" s="65">
        <v>50308.08</v>
      </c>
      <c r="P814" s="65">
        <v>29480</v>
      </c>
      <c r="Q814" s="65">
        <f t="shared" si="116"/>
        <v>6485.6</v>
      </c>
      <c r="R814" s="65">
        <f t="shared" si="117"/>
        <v>35965.599999999999</v>
      </c>
      <c r="S814" s="272"/>
      <c r="T814" s="64">
        <v>35</v>
      </c>
      <c r="U814" s="277"/>
      <c r="V814" s="38">
        <v>36856</v>
      </c>
      <c r="W814" s="38">
        <f t="shared" si="118"/>
        <v>8108.32</v>
      </c>
      <c r="X814" s="38">
        <f t="shared" si="119"/>
        <v>44964.32</v>
      </c>
    </row>
    <row r="815" spans="1:24" ht="21" customHeight="1" x14ac:dyDescent="0.35">
      <c r="A815" s="56" t="s">
        <v>3050</v>
      </c>
      <c r="B815" s="2">
        <v>777</v>
      </c>
      <c r="C815" s="89">
        <v>10148146</v>
      </c>
      <c r="D815" s="90" t="s">
        <v>609</v>
      </c>
      <c r="E815" s="74" t="s">
        <v>2184</v>
      </c>
      <c r="F815" s="91">
        <v>2</v>
      </c>
      <c r="G815" s="64" t="s">
        <v>0</v>
      </c>
      <c r="H815" s="61">
        <v>42004</v>
      </c>
      <c r="I815" s="107" t="s">
        <v>976</v>
      </c>
      <c r="J815" s="63" t="s">
        <v>1917</v>
      </c>
      <c r="K815" s="108" t="s">
        <v>755</v>
      </c>
      <c r="L815" s="64" t="s">
        <v>845</v>
      </c>
      <c r="M815" s="65">
        <f t="shared" ref="M815:M874" si="120">O815</f>
        <v>68630</v>
      </c>
      <c r="N815" s="65">
        <f t="shared" si="115"/>
        <v>34315</v>
      </c>
      <c r="O815" s="65">
        <v>68630</v>
      </c>
      <c r="P815" s="65">
        <v>41480</v>
      </c>
      <c r="Q815" s="65">
        <f t="shared" si="116"/>
        <v>9125.6</v>
      </c>
      <c r="R815" s="65">
        <f t="shared" si="117"/>
        <v>50605.599999999999</v>
      </c>
      <c r="S815" s="272"/>
      <c r="T815" s="64">
        <v>35</v>
      </c>
      <c r="U815" s="277"/>
      <c r="V815" s="38">
        <v>51849</v>
      </c>
      <c r="W815" s="38">
        <f t="shared" si="118"/>
        <v>11406.78</v>
      </c>
      <c r="X815" s="38">
        <f t="shared" si="119"/>
        <v>63255.78</v>
      </c>
    </row>
    <row r="816" spans="1:24" ht="15" customHeight="1" x14ac:dyDescent="0.35">
      <c r="A816" s="56" t="s">
        <v>3051</v>
      </c>
      <c r="B816" s="2">
        <v>778</v>
      </c>
      <c r="C816" s="89">
        <v>10148160</v>
      </c>
      <c r="D816" s="90" t="s">
        <v>610</v>
      </c>
      <c r="E816" s="74" t="s">
        <v>2184</v>
      </c>
      <c r="F816" s="91">
        <v>2</v>
      </c>
      <c r="G816" s="64" t="s">
        <v>0</v>
      </c>
      <c r="H816" s="61">
        <v>42004</v>
      </c>
      <c r="I816" s="107" t="s">
        <v>976</v>
      </c>
      <c r="J816" s="63" t="s">
        <v>1917</v>
      </c>
      <c r="K816" s="108" t="s">
        <v>756</v>
      </c>
      <c r="L816" s="64" t="s">
        <v>845</v>
      </c>
      <c r="M816" s="65">
        <f t="shared" si="120"/>
        <v>17478</v>
      </c>
      <c r="N816" s="65">
        <f t="shared" si="115"/>
        <v>8739</v>
      </c>
      <c r="O816" s="65">
        <v>17478</v>
      </c>
      <c r="P816" s="65">
        <v>10560</v>
      </c>
      <c r="Q816" s="65">
        <f t="shared" si="116"/>
        <v>2323.1999999999998</v>
      </c>
      <c r="R816" s="65">
        <f t="shared" si="117"/>
        <v>12883.2</v>
      </c>
      <c r="S816" s="272"/>
      <c r="T816" s="64">
        <v>35</v>
      </c>
      <c r="U816" s="277"/>
      <c r="V816" s="38">
        <v>13204</v>
      </c>
      <c r="W816" s="38">
        <f t="shared" si="118"/>
        <v>2904.88</v>
      </c>
      <c r="X816" s="38">
        <f t="shared" si="119"/>
        <v>16108.88</v>
      </c>
    </row>
    <row r="817" spans="1:24" ht="15" customHeight="1" x14ac:dyDescent="0.35">
      <c r="A817" s="56" t="s">
        <v>3052</v>
      </c>
      <c r="B817" s="2">
        <v>779</v>
      </c>
      <c r="C817" s="89">
        <v>10131839</v>
      </c>
      <c r="D817" s="90" t="s">
        <v>67</v>
      </c>
      <c r="E817" s="74" t="s">
        <v>2184</v>
      </c>
      <c r="F817" s="91">
        <v>3</v>
      </c>
      <c r="G817" s="64" t="s">
        <v>0</v>
      </c>
      <c r="H817" s="61">
        <v>42004</v>
      </c>
      <c r="I817" s="107" t="s">
        <v>976</v>
      </c>
      <c r="J817" s="63" t="s">
        <v>1917</v>
      </c>
      <c r="K817" s="108" t="s">
        <v>762</v>
      </c>
      <c r="L817" s="64" t="s">
        <v>845</v>
      </c>
      <c r="M817" s="65">
        <f t="shared" si="120"/>
        <v>72666</v>
      </c>
      <c r="N817" s="65">
        <f t="shared" si="115"/>
        <v>24222</v>
      </c>
      <c r="O817" s="65">
        <v>72666</v>
      </c>
      <c r="P817" s="65">
        <v>43920</v>
      </c>
      <c r="Q817" s="65">
        <f t="shared" si="116"/>
        <v>9662.4</v>
      </c>
      <c r="R817" s="65">
        <f t="shared" si="117"/>
        <v>53582.400000000001</v>
      </c>
      <c r="S817" s="272"/>
      <c r="T817" s="64">
        <v>35</v>
      </c>
      <c r="U817" s="277"/>
      <c r="V817" s="38">
        <v>54898</v>
      </c>
      <c r="W817" s="38">
        <f t="shared" si="118"/>
        <v>12077.56</v>
      </c>
      <c r="X817" s="38">
        <f t="shared" si="119"/>
        <v>66975.56</v>
      </c>
    </row>
    <row r="818" spans="1:24" ht="15" customHeight="1" x14ac:dyDescent="0.35">
      <c r="A818" s="56" t="s">
        <v>3053</v>
      </c>
      <c r="B818" s="2">
        <v>780</v>
      </c>
      <c r="C818" s="89">
        <v>10109950</v>
      </c>
      <c r="D818" s="90" t="s">
        <v>619</v>
      </c>
      <c r="E818" s="74" t="s">
        <v>2184</v>
      </c>
      <c r="F818" s="75">
        <v>1</v>
      </c>
      <c r="G818" s="64" t="s">
        <v>0</v>
      </c>
      <c r="H818" s="61">
        <v>42004</v>
      </c>
      <c r="I818" s="107" t="s">
        <v>976</v>
      </c>
      <c r="J818" s="63" t="s">
        <v>1917</v>
      </c>
      <c r="K818" s="108" t="s">
        <v>763</v>
      </c>
      <c r="L818" s="64" t="s">
        <v>845</v>
      </c>
      <c r="M818" s="65">
        <f t="shared" si="120"/>
        <v>8342.27</v>
      </c>
      <c r="N818" s="65">
        <f t="shared" si="115"/>
        <v>8342.27</v>
      </c>
      <c r="O818" s="65">
        <v>8342.27</v>
      </c>
      <c r="P818" s="65">
        <v>4890</v>
      </c>
      <c r="Q818" s="65">
        <f t="shared" si="116"/>
        <v>1075.8</v>
      </c>
      <c r="R818" s="65">
        <f t="shared" si="117"/>
        <v>5965.8</v>
      </c>
      <c r="S818" s="272"/>
      <c r="T818" s="64">
        <v>35</v>
      </c>
      <c r="U818" s="277"/>
      <c r="V818" s="38">
        <v>6112</v>
      </c>
      <c r="W818" s="38">
        <f t="shared" si="118"/>
        <v>1344.64</v>
      </c>
      <c r="X818" s="38">
        <f t="shared" si="119"/>
        <v>7456.64</v>
      </c>
    </row>
    <row r="819" spans="1:24" ht="29.15" customHeight="1" x14ac:dyDescent="0.35">
      <c r="A819" s="56" t="s">
        <v>3054</v>
      </c>
      <c r="B819" s="2">
        <v>781</v>
      </c>
      <c r="C819" s="89">
        <v>10109933</v>
      </c>
      <c r="D819" s="90" t="s">
        <v>620</v>
      </c>
      <c r="E819" s="74" t="s">
        <v>2184</v>
      </c>
      <c r="F819" s="75">
        <v>1</v>
      </c>
      <c r="G819" s="64" t="s">
        <v>0</v>
      </c>
      <c r="H819" s="61">
        <v>42004</v>
      </c>
      <c r="I819" s="107" t="s">
        <v>976</v>
      </c>
      <c r="J819" s="63" t="s">
        <v>1917</v>
      </c>
      <c r="K819" s="108" t="s">
        <v>596</v>
      </c>
      <c r="L819" s="64" t="s">
        <v>845</v>
      </c>
      <c r="M819" s="65">
        <f t="shared" si="120"/>
        <v>10765.73</v>
      </c>
      <c r="N819" s="65">
        <f t="shared" si="115"/>
        <v>10765.73</v>
      </c>
      <c r="O819" s="65">
        <v>10765.73</v>
      </c>
      <c r="P819" s="65">
        <v>6310</v>
      </c>
      <c r="Q819" s="65">
        <f t="shared" si="116"/>
        <v>1388.2</v>
      </c>
      <c r="R819" s="65">
        <f t="shared" si="117"/>
        <v>7698.2</v>
      </c>
      <c r="S819" s="272"/>
      <c r="T819" s="64">
        <v>35</v>
      </c>
      <c r="U819" s="277"/>
      <c r="V819" s="38">
        <v>7887</v>
      </c>
      <c r="W819" s="38">
        <f t="shared" si="118"/>
        <v>1735.14</v>
      </c>
      <c r="X819" s="38">
        <f t="shared" si="119"/>
        <v>9622.14</v>
      </c>
    </row>
    <row r="820" spans="1:24" ht="29.5" customHeight="1" x14ac:dyDescent="0.35">
      <c r="A820" s="56" t="s">
        <v>3055</v>
      </c>
      <c r="B820" s="2">
        <v>782</v>
      </c>
      <c r="C820" s="89">
        <v>102001460</v>
      </c>
      <c r="D820" s="106" t="s">
        <v>621</v>
      </c>
      <c r="E820" s="74" t="s">
        <v>2184</v>
      </c>
      <c r="F820" s="75">
        <v>1</v>
      </c>
      <c r="G820" s="64" t="s">
        <v>0</v>
      </c>
      <c r="H820" s="61">
        <v>42004</v>
      </c>
      <c r="I820" s="107" t="s">
        <v>976</v>
      </c>
      <c r="J820" s="63" t="s">
        <v>1917</v>
      </c>
      <c r="K820" s="108" t="s">
        <v>597</v>
      </c>
      <c r="L820" s="64" t="s">
        <v>845</v>
      </c>
      <c r="M820" s="65">
        <f t="shared" si="120"/>
        <v>24653.98</v>
      </c>
      <c r="N820" s="65">
        <f t="shared" ref="N820:N874" si="121">O820/F820</f>
        <v>24653.98</v>
      </c>
      <c r="O820" s="65">
        <v>24653.98</v>
      </c>
      <c r="P820" s="65">
        <v>14450</v>
      </c>
      <c r="Q820" s="65">
        <f t="shared" si="116"/>
        <v>3179</v>
      </c>
      <c r="R820" s="65">
        <f t="shared" si="117"/>
        <v>17629</v>
      </c>
      <c r="S820" s="272"/>
      <c r="T820" s="64">
        <v>35</v>
      </c>
      <c r="U820" s="277"/>
      <c r="V820" s="38">
        <v>18062</v>
      </c>
      <c r="W820" s="38">
        <f t="shared" si="118"/>
        <v>3973.64</v>
      </c>
      <c r="X820" s="38">
        <f t="shared" si="119"/>
        <v>22035.64</v>
      </c>
    </row>
    <row r="821" spans="1:24" ht="28.5" customHeight="1" x14ac:dyDescent="0.35">
      <c r="A821" s="56" t="s">
        <v>3056</v>
      </c>
      <c r="B821" s="2">
        <v>783</v>
      </c>
      <c r="C821" s="89">
        <v>10110093</v>
      </c>
      <c r="D821" s="90" t="s">
        <v>624</v>
      </c>
      <c r="E821" s="74" t="s">
        <v>2184</v>
      </c>
      <c r="F821" s="75">
        <v>1</v>
      </c>
      <c r="G821" s="64" t="s">
        <v>0</v>
      </c>
      <c r="H821" s="61">
        <v>42004</v>
      </c>
      <c r="I821" s="107" t="s">
        <v>976</v>
      </c>
      <c r="J821" s="63" t="s">
        <v>1917</v>
      </c>
      <c r="K821" s="108" t="s">
        <v>598</v>
      </c>
      <c r="L821" s="64" t="s">
        <v>845</v>
      </c>
      <c r="M821" s="65">
        <f t="shared" si="120"/>
        <v>13006.18</v>
      </c>
      <c r="N821" s="65">
        <f t="shared" si="121"/>
        <v>13006.18</v>
      </c>
      <c r="O821" s="65">
        <v>13006.18</v>
      </c>
      <c r="P821" s="65">
        <v>7620</v>
      </c>
      <c r="Q821" s="65">
        <f t="shared" si="116"/>
        <v>1676.4</v>
      </c>
      <c r="R821" s="65">
        <f t="shared" si="117"/>
        <v>9296.4</v>
      </c>
      <c r="S821" s="272"/>
      <c r="T821" s="64">
        <v>35</v>
      </c>
      <c r="U821" s="277"/>
      <c r="V821" s="38">
        <v>9528</v>
      </c>
      <c r="W821" s="38">
        <f t="shared" si="118"/>
        <v>2096.16</v>
      </c>
      <c r="X821" s="38">
        <f t="shared" si="119"/>
        <v>11624.16</v>
      </c>
    </row>
    <row r="822" spans="1:24" ht="15" customHeight="1" x14ac:dyDescent="0.35">
      <c r="A822" s="56" t="s">
        <v>3057</v>
      </c>
      <c r="B822" s="2">
        <v>784</v>
      </c>
      <c r="C822" s="89">
        <v>10021462</v>
      </c>
      <c r="D822" s="90" t="s">
        <v>642</v>
      </c>
      <c r="E822" s="74" t="s">
        <v>2184</v>
      </c>
      <c r="F822" s="91">
        <v>2</v>
      </c>
      <c r="G822" s="64" t="s">
        <v>0</v>
      </c>
      <c r="H822" s="61">
        <v>42004</v>
      </c>
      <c r="I822" s="107" t="s">
        <v>976</v>
      </c>
      <c r="J822" s="63" t="s">
        <v>1917</v>
      </c>
      <c r="K822" s="108" t="s">
        <v>773</v>
      </c>
      <c r="L822" s="64" t="s">
        <v>845</v>
      </c>
      <c r="M822" s="65">
        <f t="shared" si="120"/>
        <v>3799.99</v>
      </c>
      <c r="N822" s="65">
        <f t="shared" si="121"/>
        <v>1900</v>
      </c>
      <c r="O822" s="65">
        <v>3799.99</v>
      </c>
      <c r="P822" s="65">
        <v>2230</v>
      </c>
      <c r="Q822" s="65">
        <f t="shared" si="116"/>
        <v>490.6</v>
      </c>
      <c r="R822" s="65">
        <f t="shared" si="117"/>
        <v>2720.6</v>
      </c>
      <c r="S822" s="272"/>
      <c r="T822" s="64">
        <v>35</v>
      </c>
      <c r="U822" s="277"/>
      <c r="V822" s="38">
        <v>2784</v>
      </c>
      <c r="W822" s="38">
        <f t="shared" si="118"/>
        <v>612.48</v>
      </c>
      <c r="X822" s="38">
        <f t="shared" si="119"/>
        <v>3396.48</v>
      </c>
    </row>
    <row r="823" spans="1:24" ht="15" customHeight="1" x14ac:dyDescent="0.35">
      <c r="A823" s="56" t="s">
        <v>3058</v>
      </c>
      <c r="B823" s="2">
        <v>785</v>
      </c>
      <c r="C823" s="89">
        <v>10016882</v>
      </c>
      <c r="D823" s="90" t="s">
        <v>645</v>
      </c>
      <c r="E823" s="74" t="s">
        <v>2184</v>
      </c>
      <c r="F823" s="75">
        <v>1</v>
      </c>
      <c r="G823" s="64" t="s">
        <v>0</v>
      </c>
      <c r="H823" s="61">
        <v>42004</v>
      </c>
      <c r="I823" s="107" t="s">
        <v>976</v>
      </c>
      <c r="J823" s="63" t="s">
        <v>1917</v>
      </c>
      <c r="K823" s="108" t="s">
        <v>774</v>
      </c>
      <c r="L823" s="64" t="s">
        <v>845</v>
      </c>
      <c r="M823" s="65">
        <f t="shared" si="120"/>
        <v>9515.7999999999993</v>
      </c>
      <c r="N823" s="65">
        <f t="shared" si="121"/>
        <v>9515.7999999999993</v>
      </c>
      <c r="O823" s="65">
        <v>9515.7999999999993</v>
      </c>
      <c r="P823" s="65">
        <v>5580</v>
      </c>
      <c r="Q823" s="65">
        <f t="shared" si="116"/>
        <v>1227.5999999999999</v>
      </c>
      <c r="R823" s="65">
        <f t="shared" si="117"/>
        <v>6807.6</v>
      </c>
      <c r="S823" s="272"/>
      <c r="T823" s="64">
        <v>35</v>
      </c>
      <c r="U823" s="277"/>
      <c r="V823" s="38">
        <v>6971</v>
      </c>
      <c r="W823" s="38">
        <f t="shared" si="118"/>
        <v>1533.62</v>
      </c>
      <c r="X823" s="38">
        <f t="shared" si="119"/>
        <v>8504.6200000000008</v>
      </c>
    </row>
    <row r="824" spans="1:24" ht="15" customHeight="1" x14ac:dyDescent="0.35">
      <c r="A824" s="56" t="s">
        <v>3059</v>
      </c>
      <c r="B824" s="2">
        <v>786</v>
      </c>
      <c r="C824" s="89">
        <v>10123484</v>
      </c>
      <c r="D824" s="90" t="s">
        <v>655</v>
      </c>
      <c r="E824" s="74" t="s">
        <v>2184</v>
      </c>
      <c r="F824" s="75">
        <v>1</v>
      </c>
      <c r="G824" s="64" t="s">
        <v>0</v>
      </c>
      <c r="H824" s="61">
        <v>42004</v>
      </c>
      <c r="I824" s="107" t="s">
        <v>976</v>
      </c>
      <c r="J824" s="63" t="s">
        <v>1917</v>
      </c>
      <c r="K824" s="108" t="s">
        <v>776</v>
      </c>
      <c r="L824" s="64" t="s">
        <v>845</v>
      </c>
      <c r="M824" s="65">
        <f t="shared" si="120"/>
        <v>25648</v>
      </c>
      <c r="N824" s="65">
        <f t="shared" si="121"/>
        <v>25648</v>
      </c>
      <c r="O824" s="65">
        <v>25648</v>
      </c>
      <c r="P824" s="65">
        <v>15030</v>
      </c>
      <c r="Q824" s="65">
        <f t="shared" si="116"/>
        <v>3306.6</v>
      </c>
      <c r="R824" s="65">
        <f t="shared" si="117"/>
        <v>18336.599999999999</v>
      </c>
      <c r="S824" s="272"/>
      <c r="T824" s="64">
        <v>35</v>
      </c>
      <c r="U824" s="277"/>
      <c r="V824" s="38">
        <v>18790</v>
      </c>
      <c r="W824" s="38">
        <f t="shared" si="118"/>
        <v>4133.8</v>
      </c>
      <c r="X824" s="38">
        <f t="shared" si="119"/>
        <v>22923.8</v>
      </c>
    </row>
    <row r="825" spans="1:24" ht="15" customHeight="1" x14ac:dyDescent="0.35">
      <c r="A825" s="56" t="s">
        <v>3060</v>
      </c>
      <c r="B825" s="2">
        <v>787</v>
      </c>
      <c r="C825" s="89">
        <v>10123496</v>
      </c>
      <c r="D825" s="90" t="s">
        <v>25</v>
      </c>
      <c r="E825" s="74" t="s">
        <v>2184</v>
      </c>
      <c r="F825" s="75">
        <v>1</v>
      </c>
      <c r="G825" s="64" t="s">
        <v>0</v>
      </c>
      <c r="H825" s="61">
        <v>42004</v>
      </c>
      <c r="I825" s="107" t="s">
        <v>976</v>
      </c>
      <c r="J825" s="63" t="s">
        <v>1917</v>
      </c>
      <c r="K825" s="108" t="s">
        <v>777</v>
      </c>
      <c r="L825" s="64" t="s">
        <v>845</v>
      </c>
      <c r="M825" s="65">
        <f t="shared" si="120"/>
        <v>25648</v>
      </c>
      <c r="N825" s="65">
        <f t="shared" si="121"/>
        <v>25648</v>
      </c>
      <c r="O825" s="65">
        <v>25648</v>
      </c>
      <c r="P825" s="65">
        <v>15030</v>
      </c>
      <c r="Q825" s="65">
        <f t="shared" si="116"/>
        <v>3306.6</v>
      </c>
      <c r="R825" s="65">
        <f t="shared" si="117"/>
        <v>18336.599999999999</v>
      </c>
      <c r="S825" s="272"/>
      <c r="T825" s="64">
        <v>35</v>
      </c>
      <c r="U825" s="277"/>
      <c r="V825" s="38">
        <v>18790</v>
      </c>
      <c r="W825" s="38">
        <f t="shared" si="118"/>
        <v>4133.8</v>
      </c>
      <c r="X825" s="38">
        <f t="shared" si="119"/>
        <v>22923.8</v>
      </c>
    </row>
    <row r="826" spans="1:24" ht="15" customHeight="1" x14ac:dyDescent="0.35">
      <c r="A826" s="56" t="s">
        <v>3061</v>
      </c>
      <c r="B826" s="2">
        <v>788</v>
      </c>
      <c r="C826" s="89">
        <v>10097014</v>
      </c>
      <c r="D826" s="90" t="s">
        <v>657</v>
      </c>
      <c r="E826" s="74" t="s">
        <v>2184</v>
      </c>
      <c r="F826" s="75">
        <v>1</v>
      </c>
      <c r="G826" s="64" t="s">
        <v>0</v>
      </c>
      <c r="H826" s="61">
        <v>42004</v>
      </c>
      <c r="I826" s="107" t="s">
        <v>976</v>
      </c>
      <c r="J826" s="63" t="s">
        <v>1917</v>
      </c>
      <c r="K826" s="108" t="s">
        <v>780</v>
      </c>
      <c r="L826" s="64" t="s">
        <v>845</v>
      </c>
      <c r="M826" s="65">
        <f t="shared" si="120"/>
        <v>10883</v>
      </c>
      <c r="N826" s="65">
        <f t="shared" si="121"/>
        <v>10883</v>
      </c>
      <c r="O826" s="65">
        <v>10883</v>
      </c>
      <c r="P826" s="65">
        <v>7590</v>
      </c>
      <c r="Q826" s="65">
        <f t="shared" ref="Q826:Q889" si="122">P826*0.22</f>
        <v>1669.8</v>
      </c>
      <c r="R826" s="65">
        <f t="shared" ref="R826:R889" si="123">P826+Q826</f>
        <v>9259.7999999999993</v>
      </c>
      <c r="S826" s="272"/>
      <c r="T826" s="64">
        <v>35</v>
      </c>
      <c r="U826" s="277"/>
      <c r="V826" s="38">
        <v>9491</v>
      </c>
      <c r="W826" s="38">
        <f t="shared" ref="W826:W889" si="124">V826*0.22</f>
        <v>2088.02</v>
      </c>
      <c r="X826" s="38">
        <f t="shared" si="119"/>
        <v>11579.02</v>
      </c>
    </row>
    <row r="827" spans="1:24" ht="15" customHeight="1" x14ac:dyDescent="0.35">
      <c r="A827" s="56" t="s">
        <v>3062</v>
      </c>
      <c r="B827" s="2">
        <v>789</v>
      </c>
      <c r="C827" s="89">
        <v>10019858</v>
      </c>
      <c r="D827" s="90" t="s">
        <v>664</v>
      </c>
      <c r="E827" s="74" t="s">
        <v>2184</v>
      </c>
      <c r="F827" s="75">
        <v>1</v>
      </c>
      <c r="G827" s="64" t="s">
        <v>0</v>
      </c>
      <c r="H827" s="61">
        <v>42004</v>
      </c>
      <c r="I827" s="107" t="s">
        <v>976</v>
      </c>
      <c r="J827" s="63" t="s">
        <v>1917</v>
      </c>
      <c r="K827" s="108" t="s">
        <v>784</v>
      </c>
      <c r="L827" s="64" t="s">
        <v>845</v>
      </c>
      <c r="M827" s="65">
        <f t="shared" si="120"/>
        <v>2418.89</v>
      </c>
      <c r="N827" s="65">
        <f t="shared" si="121"/>
        <v>2418.89</v>
      </c>
      <c r="O827" s="65">
        <v>2418.89</v>
      </c>
      <c r="P827" s="65">
        <v>1420</v>
      </c>
      <c r="Q827" s="65">
        <f t="shared" si="122"/>
        <v>312.39999999999998</v>
      </c>
      <c r="R827" s="65">
        <f t="shared" si="123"/>
        <v>1732.4</v>
      </c>
      <c r="S827" s="272"/>
      <c r="T827" s="64">
        <v>35</v>
      </c>
      <c r="U827" s="277"/>
      <c r="V827" s="38">
        <v>1772</v>
      </c>
      <c r="W827" s="38">
        <f t="shared" si="124"/>
        <v>389.84</v>
      </c>
      <c r="X827" s="38">
        <f t="shared" si="119"/>
        <v>2161.84</v>
      </c>
    </row>
    <row r="828" spans="1:24" ht="15" customHeight="1" x14ac:dyDescent="0.35">
      <c r="A828" s="56" t="s">
        <v>3063</v>
      </c>
      <c r="B828" s="2">
        <v>790</v>
      </c>
      <c r="C828" s="89">
        <v>10019863</v>
      </c>
      <c r="D828" s="90" t="s">
        <v>665</v>
      </c>
      <c r="E828" s="74" t="s">
        <v>2184</v>
      </c>
      <c r="F828" s="75">
        <v>1</v>
      </c>
      <c r="G828" s="64" t="s">
        <v>0</v>
      </c>
      <c r="H828" s="61">
        <v>42004</v>
      </c>
      <c r="I828" s="107" t="s">
        <v>976</v>
      </c>
      <c r="J828" s="63" t="s">
        <v>1917</v>
      </c>
      <c r="K828" s="108" t="s">
        <v>785</v>
      </c>
      <c r="L828" s="64" t="s">
        <v>845</v>
      </c>
      <c r="M828" s="65">
        <f t="shared" si="120"/>
        <v>2418.89</v>
      </c>
      <c r="N828" s="65">
        <f t="shared" si="121"/>
        <v>2418.89</v>
      </c>
      <c r="O828" s="65">
        <v>2418.89</v>
      </c>
      <c r="P828" s="65">
        <v>1420</v>
      </c>
      <c r="Q828" s="65">
        <f t="shared" si="122"/>
        <v>312.39999999999998</v>
      </c>
      <c r="R828" s="65">
        <f t="shared" si="123"/>
        <v>1732.4</v>
      </c>
      <c r="S828" s="272"/>
      <c r="T828" s="64">
        <v>35</v>
      </c>
      <c r="U828" s="277"/>
      <c r="V828" s="38">
        <v>1772</v>
      </c>
      <c r="W828" s="38">
        <f t="shared" si="124"/>
        <v>389.84</v>
      </c>
      <c r="X828" s="38">
        <f t="shared" ref="X828:X890" si="125">V828+W828</f>
        <v>2161.84</v>
      </c>
    </row>
    <row r="829" spans="1:24" ht="15" customHeight="1" x14ac:dyDescent="0.35">
      <c r="A829" s="56" t="s">
        <v>3064</v>
      </c>
      <c r="B829" s="2">
        <v>791</v>
      </c>
      <c r="C829" s="89">
        <v>10021614</v>
      </c>
      <c r="D829" s="90" t="s">
        <v>667</v>
      </c>
      <c r="E829" s="74" t="s">
        <v>2184</v>
      </c>
      <c r="F829" s="75">
        <v>1</v>
      </c>
      <c r="G829" s="64" t="s">
        <v>0</v>
      </c>
      <c r="H829" s="61">
        <v>42004</v>
      </c>
      <c r="I829" s="107" t="s">
        <v>976</v>
      </c>
      <c r="J829" s="63" t="s">
        <v>1917</v>
      </c>
      <c r="K829" s="108" t="s">
        <v>786</v>
      </c>
      <c r="L829" s="64" t="s">
        <v>845</v>
      </c>
      <c r="M829" s="65">
        <f t="shared" si="120"/>
        <v>4699.16</v>
      </c>
      <c r="N829" s="65">
        <f t="shared" si="121"/>
        <v>4699.16</v>
      </c>
      <c r="O829" s="65">
        <v>4699.16</v>
      </c>
      <c r="P829" s="65">
        <v>2750</v>
      </c>
      <c r="Q829" s="65">
        <f t="shared" si="122"/>
        <v>605</v>
      </c>
      <c r="R829" s="65">
        <f t="shared" si="123"/>
        <v>3355</v>
      </c>
      <c r="S829" s="272"/>
      <c r="T829" s="64">
        <v>35</v>
      </c>
      <c r="U829" s="277"/>
      <c r="V829" s="38">
        <v>3443</v>
      </c>
      <c r="W829" s="38">
        <f t="shared" si="124"/>
        <v>757.46</v>
      </c>
      <c r="X829" s="38">
        <f t="shared" si="125"/>
        <v>4200.46</v>
      </c>
    </row>
    <row r="830" spans="1:24" ht="15" customHeight="1" x14ac:dyDescent="0.35">
      <c r="A830" s="56" t="s">
        <v>3065</v>
      </c>
      <c r="B830" s="2">
        <v>792</v>
      </c>
      <c r="C830" s="89">
        <v>102002026</v>
      </c>
      <c r="D830" s="106" t="s">
        <v>526</v>
      </c>
      <c r="E830" s="74" t="s">
        <v>686</v>
      </c>
      <c r="F830" s="75">
        <v>1</v>
      </c>
      <c r="G830" s="64" t="s">
        <v>0</v>
      </c>
      <c r="H830" s="61">
        <v>42004</v>
      </c>
      <c r="I830" s="107" t="s">
        <v>976</v>
      </c>
      <c r="J830" s="63" t="s">
        <v>1917</v>
      </c>
      <c r="K830" s="108" t="s">
        <v>791</v>
      </c>
      <c r="L830" s="64" t="s">
        <v>845</v>
      </c>
      <c r="M830" s="65">
        <f t="shared" si="120"/>
        <v>103554</v>
      </c>
      <c r="N830" s="65">
        <f t="shared" si="121"/>
        <v>103554</v>
      </c>
      <c r="O830" s="65">
        <v>103554</v>
      </c>
      <c r="P830" s="65">
        <v>60690</v>
      </c>
      <c r="Q830" s="65">
        <f t="shared" si="122"/>
        <v>13351.8</v>
      </c>
      <c r="R830" s="65">
        <f t="shared" si="123"/>
        <v>74041.8</v>
      </c>
      <c r="S830" s="272"/>
      <c r="T830" s="64">
        <v>35</v>
      </c>
      <c r="U830" s="277"/>
      <c r="V830" s="38">
        <v>75864</v>
      </c>
      <c r="W830" s="38">
        <f t="shared" si="124"/>
        <v>16690.080000000002</v>
      </c>
      <c r="X830" s="38">
        <f t="shared" si="125"/>
        <v>92554.08</v>
      </c>
    </row>
    <row r="831" spans="1:24" ht="15" customHeight="1" x14ac:dyDescent="0.35">
      <c r="A831" s="56" t="s">
        <v>3066</v>
      </c>
      <c r="B831" s="2">
        <v>793</v>
      </c>
      <c r="C831" s="89">
        <v>10108564</v>
      </c>
      <c r="D831" s="90" t="s">
        <v>253</v>
      </c>
      <c r="E831" s="74" t="s">
        <v>686</v>
      </c>
      <c r="F831" s="91">
        <v>2</v>
      </c>
      <c r="G831" s="64" t="s">
        <v>0</v>
      </c>
      <c r="H831" s="61">
        <v>42004</v>
      </c>
      <c r="I831" s="107" t="s">
        <v>976</v>
      </c>
      <c r="J831" s="63" t="s">
        <v>1917</v>
      </c>
      <c r="K831" s="108" t="s">
        <v>793</v>
      </c>
      <c r="L831" s="64" t="s">
        <v>845</v>
      </c>
      <c r="M831" s="65">
        <f t="shared" si="120"/>
        <v>76548.160000000003</v>
      </c>
      <c r="N831" s="65">
        <f t="shared" si="121"/>
        <v>38274.080000000002</v>
      </c>
      <c r="O831" s="65">
        <v>76548.160000000003</v>
      </c>
      <c r="P831" s="65">
        <v>39530</v>
      </c>
      <c r="Q831" s="65">
        <f t="shared" si="122"/>
        <v>8696.6</v>
      </c>
      <c r="R831" s="65">
        <f t="shared" si="123"/>
        <v>48226.6</v>
      </c>
      <c r="S831" s="272"/>
      <c r="T831" s="64">
        <v>35</v>
      </c>
      <c r="U831" s="277"/>
      <c r="V831" s="38">
        <v>49410</v>
      </c>
      <c r="W831" s="38">
        <f t="shared" si="124"/>
        <v>10870.2</v>
      </c>
      <c r="X831" s="38">
        <f t="shared" si="125"/>
        <v>60280.2</v>
      </c>
    </row>
    <row r="832" spans="1:24" ht="15" customHeight="1" x14ac:dyDescent="0.35">
      <c r="A832" s="56" t="s">
        <v>3067</v>
      </c>
      <c r="B832" s="2">
        <v>794</v>
      </c>
      <c r="C832" s="89">
        <v>102000478</v>
      </c>
      <c r="D832" s="106" t="s">
        <v>532</v>
      </c>
      <c r="E832" s="74" t="s">
        <v>686</v>
      </c>
      <c r="F832" s="75">
        <v>1</v>
      </c>
      <c r="G832" s="64" t="s">
        <v>0</v>
      </c>
      <c r="H832" s="61">
        <v>42004</v>
      </c>
      <c r="I832" s="107" t="s">
        <v>976</v>
      </c>
      <c r="J832" s="63" t="s">
        <v>1917</v>
      </c>
      <c r="K832" s="108" t="s">
        <v>794</v>
      </c>
      <c r="L832" s="64" t="s">
        <v>845</v>
      </c>
      <c r="M832" s="65">
        <f t="shared" si="120"/>
        <v>253600</v>
      </c>
      <c r="N832" s="65">
        <f t="shared" si="121"/>
        <v>253600</v>
      </c>
      <c r="O832" s="65">
        <v>253600</v>
      </c>
      <c r="P832" s="65">
        <v>148630</v>
      </c>
      <c r="Q832" s="65">
        <f t="shared" si="122"/>
        <v>32698.6</v>
      </c>
      <c r="R832" s="65">
        <f t="shared" si="123"/>
        <v>181328.6</v>
      </c>
      <c r="S832" s="272"/>
      <c r="T832" s="64">
        <v>35</v>
      </c>
      <c r="U832" s="277"/>
      <c r="V832" s="38">
        <v>185787</v>
      </c>
      <c r="W832" s="38">
        <f t="shared" si="124"/>
        <v>40873.14</v>
      </c>
      <c r="X832" s="38">
        <f t="shared" si="125"/>
        <v>226660.14</v>
      </c>
    </row>
    <row r="833" spans="1:24" ht="15" customHeight="1" x14ac:dyDescent="0.35">
      <c r="A833" s="56" t="s">
        <v>3068</v>
      </c>
      <c r="B833" s="2">
        <v>795</v>
      </c>
      <c r="C833" s="89">
        <v>102001362</v>
      </c>
      <c r="D833" s="106" t="s">
        <v>533</v>
      </c>
      <c r="E833" s="74" t="s">
        <v>686</v>
      </c>
      <c r="F833" s="75">
        <v>1</v>
      </c>
      <c r="G833" s="64" t="s">
        <v>0</v>
      </c>
      <c r="H833" s="61">
        <v>42004</v>
      </c>
      <c r="I833" s="107" t="s">
        <v>976</v>
      </c>
      <c r="J833" s="63" t="s">
        <v>1917</v>
      </c>
      <c r="K833" s="108" t="s">
        <v>795</v>
      </c>
      <c r="L833" s="64" t="s">
        <v>845</v>
      </c>
      <c r="M833" s="65">
        <f t="shared" si="120"/>
        <v>458601.12</v>
      </c>
      <c r="N833" s="65">
        <f t="shared" si="121"/>
        <v>458601.12</v>
      </c>
      <c r="O833" s="65">
        <v>458601.12</v>
      </c>
      <c r="P833" s="65">
        <v>257800</v>
      </c>
      <c r="Q833" s="65">
        <f t="shared" si="122"/>
        <v>56716</v>
      </c>
      <c r="R833" s="65">
        <f t="shared" si="123"/>
        <v>314516</v>
      </c>
      <c r="S833" s="272"/>
      <c r="T833" s="64">
        <v>35</v>
      </c>
      <c r="U833" s="277"/>
      <c r="V833" s="38">
        <v>322250</v>
      </c>
      <c r="W833" s="38">
        <f t="shared" si="124"/>
        <v>70895</v>
      </c>
      <c r="X833" s="38">
        <f t="shared" si="125"/>
        <v>393145</v>
      </c>
    </row>
    <row r="834" spans="1:24" ht="15" customHeight="1" x14ac:dyDescent="0.35">
      <c r="A834" s="56" t="s">
        <v>3069</v>
      </c>
      <c r="B834" s="2">
        <v>796</v>
      </c>
      <c r="C834" s="89">
        <v>10110439</v>
      </c>
      <c r="D834" s="90" t="s">
        <v>537</v>
      </c>
      <c r="E834" s="74" t="s">
        <v>686</v>
      </c>
      <c r="F834" s="91">
        <v>13</v>
      </c>
      <c r="G834" s="64" t="s">
        <v>0</v>
      </c>
      <c r="H834" s="61">
        <v>42004</v>
      </c>
      <c r="I834" s="107" t="s">
        <v>976</v>
      </c>
      <c r="J834" s="63" t="s">
        <v>1917</v>
      </c>
      <c r="K834" s="108" t="s">
        <v>796</v>
      </c>
      <c r="L834" s="64" t="s">
        <v>845</v>
      </c>
      <c r="M834" s="65">
        <f t="shared" si="120"/>
        <v>12881.15</v>
      </c>
      <c r="N834" s="65">
        <f t="shared" si="121"/>
        <v>990.86</v>
      </c>
      <c r="O834" s="65">
        <v>12881.15</v>
      </c>
      <c r="P834" s="65">
        <v>7550</v>
      </c>
      <c r="Q834" s="65">
        <f t="shared" si="122"/>
        <v>1661</v>
      </c>
      <c r="R834" s="65">
        <f t="shared" si="123"/>
        <v>9211</v>
      </c>
      <c r="S834" s="272"/>
      <c r="T834" s="64">
        <v>35</v>
      </c>
      <c r="U834" s="277"/>
      <c r="V834" s="38">
        <v>9437</v>
      </c>
      <c r="W834" s="38">
        <f t="shared" si="124"/>
        <v>2076.14</v>
      </c>
      <c r="X834" s="38">
        <f t="shared" si="125"/>
        <v>11513.14</v>
      </c>
    </row>
    <row r="835" spans="1:24" ht="15" customHeight="1" x14ac:dyDescent="0.35">
      <c r="A835" s="56" t="s">
        <v>3070</v>
      </c>
      <c r="B835" s="2">
        <v>797</v>
      </c>
      <c r="C835" s="89">
        <v>10003058</v>
      </c>
      <c r="D835" s="90" t="s">
        <v>544</v>
      </c>
      <c r="E835" s="74" t="s">
        <v>686</v>
      </c>
      <c r="F835" s="75">
        <v>1</v>
      </c>
      <c r="G835" s="64" t="s">
        <v>0</v>
      </c>
      <c r="H835" s="61">
        <v>42004</v>
      </c>
      <c r="I835" s="107" t="s">
        <v>976</v>
      </c>
      <c r="J835" s="63" t="s">
        <v>1917</v>
      </c>
      <c r="K835" s="108" t="s">
        <v>797</v>
      </c>
      <c r="L835" s="64" t="s">
        <v>845</v>
      </c>
      <c r="M835" s="65">
        <f t="shared" si="120"/>
        <v>3139.75</v>
      </c>
      <c r="N835" s="65">
        <f t="shared" si="121"/>
        <v>3139.75</v>
      </c>
      <c r="O835" s="65">
        <v>3139.75</v>
      </c>
      <c r="P835" s="65">
        <v>1840</v>
      </c>
      <c r="Q835" s="65">
        <f t="shared" si="122"/>
        <v>404.8</v>
      </c>
      <c r="R835" s="65">
        <f t="shared" si="123"/>
        <v>2244.8000000000002</v>
      </c>
      <c r="S835" s="272"/>
      <c r="T835" s="64">
        <v>35</v>
      </c>
      <c r="U835" s="277"/>
      <c r="V835" s="38">
        <v>2300</v>
      </c>
      <c r="W835" s="38">
        <f t="shared" si="124"/>
        <v>506</v>
      </c>
      <c r="X835" s="38">
        <f t="shared" si="125"/>
        <v>2806</v>
      </c>
    </row>
    <row r="836" spans="1:24" ht="15" customHeight="1" x14ac:dyDescent="0.35">
      <c r="A836" s="56" t="s">
        <v>3071</v>
      </c>
      <c r="B836" s="2">
        <v>798</v>
      </c>
      <c r="C836" s="89">
        <v>102002038</v>
      </c>
      <c r="D836" s="106" t="s">
        <v>560</v>
      </c>
      <c r="E836" s="74" t="s">
        <v>686</v>
      </c>
      <c r="F836" s="75">
        <v>1</v>
      </c>
      <c r="G836" s="64" t="s">
        <v>0</v>
      </c>
      <c r="H836" s="61">
        <v>42004</v>
      </c>
      <c r="I836" s="107" t="s">
        <v>976</v>
      </c>
      <c r="J836" s="63" t="s">
        <v>1917</v>
      </c>
      <c r="K836" s="108" t="s">
        <v>801</v>
      </c>
      <c r="L836" s="64" t="s">
        <v>845</v>
      </c>
      <c r="M836" s="65">
        <f t="shared" si="120"/>
        <v>24181.65</v>
      </c>
      <c r="N836" s="65">
        <f t="shared" si="121"/>
        <v>24181.65</v>
      </c>
      <c r="O836" s="65">
        <v>24181.65</v>
      </c>
      <c r="P836" s="65">
        <v>14170</v>
      </c>
      <c r="Q836" s="65">
        <f t="shared" si="122"/>
        <v>3117.4</v>
      </c>
      <c r="R836" s="65">
        <f t="shared" si="123"/>
        <v>17287.400000000001</v>
      </c>
      <c r="S836" s="272"/>
      <c r="T836" s="64">
        <v>35</v>
      </c>
      <c r="U836" s="277"/>
      <c r="V836" s="38">
        <v>17715</v>
      </c>
      <c r="W836" s="38">
        <f t="shared" si="124"/>
        <v>3897.3</v>
      </c>
      <c r="X836" s="38">
        <f t="shared" si="125"/>
        <v>21612.3</v>
      </c>
    </row>
    <row r="837" spans="1:24" ht="15" customHeight="1" x14ac:dyDescent="0.35">
      <c r="A837" s="56" t="s">
        <v>3072</v>
      </c>
      <c r="B837" s="2">
        <v>799</v>
      </c>
      <c r="C837" s="89">
        <v>10020524</v>
      </c>
      <c r="D837" s="90" t="s">
        <v>578</v>
      </c>
      <c r="E837" s="74" t="s">
        <v>686</v>
      </c>
      <c r="F837" s="91">
        <v>2</v>
      </c>
      <c r="G837" s="64" t="s">
        <v>0</v>
      </c>
      <c r="H837" s="61">
        <v>42004</v>
      </c>
      <c r="I837" s="107" t="s">
        <v>976</v>
      </c>
      <c r="J837" s="63" t="s">
        <v>1917</v>
      </c>
      <c r="K837" s="108" t="s">
        <v>802</v>
      </c>
      <c r="L837" s="64" t="s">
        <v>845</v>
      </c>
      <c r="M837" s="65">
        <f t="shared" si="120"/>
        <v>9163.36</v>
      </c>
      <c r="N837" s="65">
        <f t="shared" si="121"/>
        <v>4581.68</v>
      </c>
      <c r="O837" s="65">
        <v>9163.36</v>
      </c>
      <c r="P837" s="65">
        <v>5370</v>
      </c>
      <c r="Q837" s="65">
        <f t="shared" si="122"/>
        <v>1181.4000000000001</v>
      </c>
      <c r="R837" s="65">
        <f t="shared" si="123"/>
        <v>6551.4</v>
      </c>
      <c r="S837" s="272"/>
      <c r="T837" s="64">
        <v>35</v>
      </c>
      <c r="U837" s="277"/>
      <c r="V837" s="38">
        <v>6713</v>
      </c>
      <c r="W837" s="38">
        <f t="shared" si="124"/>
        <v>1476.86</v>
      </c>
      <c r="X837" s="38">
        <f t="shared" si="125"/>
        <v>8189.86</v>
      </c>
    </row>
    <row r="838" spans="1:24" ht="15" customHeight="1" x14ac:dyDescent="0.35">
      <c r="A838" s="56" t="s">
        <v>3073</v>
      </c>
      <c r="B838" s="2">
        <v>800</v>
      </c>
      <c r="C838" s="89">
        <v>10138587</v>
      </c>
      <c r="D838" s="90" t="s">
        <v>596</v>
      </c>
      <c r="E838" s="74" t="s">
        <v>686</v>
      </c>
      <c r="F838" s="75">
        <v>1</v>
      </c>
      <c r="G838" s="64" t="s">
        <v>0</v>
      </c>
      <c r="H838" s="61">
        <v>42004</v>
      </c>
      <c r="I838" s="107" t="s">
        <v>976</v>
      </c>
      <c r="J838" s="63" t="s">
        <v>1917</v>
      </c>
      <c r="K838" s="108" t="s">
        <v>808</v>
      </c>
      <c r="L838" s="64" t="s">
        <v>845</v>
      </c>
      <c r="M838" s="65">
        <f t="shared" si="120"/>
        <v>21380</v>
      </c>
      <c r="N838" s="65">
        <f t="shared" si="121"/>
        <v>21380</v>
      </c>
      <c r="O838" s="65">
        <v>21380</v>
      </c>
      <c r="P838" s="65">
        <v>12530</v>
      </c>
      <c r="Q838" s="65">
        <f t="shared" si="122"/>
        <v>2756.6</v>
      </c>
      <c r="R838" s="65">
        <f t="shared" si="123"/>
        <v>15286.6</v>
      </c>
      <c r="S838" s="272"/>
      <c r="T838" s="64">
        <v>35</v>
      </c>
      <c r="U838" s="277"/>
      <c r="V838" s="38">
        <v>15663</v>
      </c>
      <c r="W838" s="38">
        <f t="shared" si="124"/>
        <v>3445.86</v>
      </c>
      <c r="X838" s="38">
        <f t="shared" si="125"/>
        <v>19108.86</v>
      </c>
    </row>
    <row r="839" spans="1:24" ht="15" customHeight="1" x14ac:dyDescent="0.35">
      <c r="A839" s="56" t="s">
        <v>3074</v>
      </c>
      <c r="B839" s="2">
        <v>801</v>
      </c>
      <c r="C839" s="89">
        <v>102001496</v>
      </c>
      <c r="D839" s="106" t="s">
        <v>597</v>
      </c>
      <c r="E839" s="74" t="s">
        <v>686</v>
      </c>
      <c r="F839" s="75">
        <v>1</v>
      </c>
      <c r="G839" s="64" t="s">
        <v>0</v>
      </c>
      <c r="H839" s="61">
        <v>42004</v>
      </c>
      <c r="I839" s="107" t="s">
        <v>976</v>
      </c>
      <c r="J839" s="63" t="s">
        <v>1917</v>
      </c>
      <c r="K839" s="108" t="s">
        <v>809</v>
      </c>
      <c r="L839" s="64" t="s">
        <v>845</v>
      </c>
      <c r="M839" s="65">
        <f t="shared" si="120"/>
        <v>22892.44</v>
      </c>
      <c r="N839" s="65">
        <f t="shared" si="121"/>
        <v>22892.44</v>
      </c>
      <c r="O839" s="65">
        <v>22892.44</v>
      </c>
      <c r="P839" s="65">
        <v>13420</v>
      </c>
      <c r="Q839" s="65">
        <f t="shared" si="122"/>
        <v>2952.4</v>
      </c>
      <c r="R839" s="65">
        <f t="shared" si="123"/>
        <v>16372.4</v>
      </c>
      <c r="S839" s="272"/>
      <c r="T839" s="64">
        <v>35</v>
      </c>
      <c r="U839" s="277"/>
      <c r="V839" s="38">
        <v>16771</v>
      </c>
      <c r="W839" s="38">
        <f t="shared" si="124"/>
        <v>3689.62</v>
      </c>
      <c r="X839" s="38">
        <f t="shared" si="125"/>
        <v>20460.62</v>
      </c>
    </row>
    <row r="840" spans="1:24" ht="15" customHeight="1" x14ac:dyDescent="0.35">
      <c r="A840" s="56" t="s">
        <v>3075</v>
      </c>
      <c r="B840" s="2">
        <v>802</v>
      </c>
      <c r="C840" s="89">
        <v>102001193</v>
      </c>
      <c r="D840" s="106" t="s">
        <v>598</v>
      </c>
      <c r="E840" s="74" t="s">
        <v>686</v>
      </c>
      <c r="F840" s="75">
        <v>1</v>
      </c>
      <c r="G840" s="64" t="s">
        <v>0</v>
      </c>
      <c r="H840" s="61">
        <v>42004</v>
      </c>
      <c r="I840" s="107" t="s">
        <v>976</v>
      </c>
      <c r="J840" s="63" t="s">
        <v>1917</v>
      </c>
      <c r="K840" s="108" t="s">
        <v>643</v>
      </c>
      <c r="L840" s="64" t="s">
        <v>845</v>
      </c>
      <c r="M840" s="65">
        <f t="shared" si="120"/>
        <v>21263.69</v>
      </c>
      <c r="N840" s="65">
        <f t="shared" si="121"/>
        <v>21263.69</v>
      </c>
      <c r="O840" s="65">
        <v>21263.69</v>
      </c>
      <c r="P840" s="65">
        <v>12460</v>
      </c>
      <c r="Q840" s="65">
        <f t="shared" si="122"/>
        <v>2741.2</v>
      </c>
      <c r="R840" s="65">
        <f t="shared" si="123"/>
        <v>15201.2</v>
      </c>
      <c r="S840" s="272"/>
      <c r="T840" s="64">
        <v>35</v>
      </c>
      <c r="U840" s="277"/>
      <c r="V840" s="38">
        <v>15578</v>
      </c>
      <c r="W840" s="38">
        <f t="shared" si="124"/>
        <v>3427.16</v>
      </c>
      <c r="X840" s="38">
        <f t="shared" si="125"/>
        <v>19005.16</v>
      </c>
    </row>
    <row r="841" spans="1:24" ht="45" customHeight="1" x14ac:dyDescent="0.35">
      <c r="A841" s="56" t="s">
        <v>3076</v>
      </c>
      <c r="B841" s="2">
        <v>803</v>
      </c>
      <c r="C841" s="89">
        <v>102002116</v>
      </c>
      <c r="D841" s="106" t="s">
        <v>599</v>
      </c>
      <c r="E841" s="74" t="s">
        <v>686</v>
      </c>
      <c r="F841" s="75">
        <v>1</v>
      </c>
      <c r="G841" s="64" t="s">
        <v>0</v>
      </c>
      <c r="H841" s="61">
        <v>42004</v>
      </c>
      <c r="I841" s="107" t="s">
        <v>976</v>
      </c>
      <c r="J841" s="63" t="s">
        <v>1917</v>
      </c>
      <c r="K841" s="108" t="s">
        <v>810</v>
      </c>
      <c r="L841" s="64" t="s">
        <v>845</v>
      </c>
      <c r="M841" s="65">
        <f t="shared" si="120"/>
        <v>34450</v>
      </c>
      <c r="N841" s="65">
        <f t="shared" si="121"/>
        <v>34450</v>
      </c>
      <c r="O841" s="65">
        <v>34450</v>
      </c>
      <c r="P841" s="65">
        <v>20190</v>
      </c>
      <c r="Q841" s="65">
        <f t="shared" si="122"/>
        <v>4441.8</v>
      </c>
      <c r="R841" s="65">
        <f t="shared" si="123"/>
        <v>24631.8</v>
      </c>
      <c r="S841" s="272"/>
      <c r="T841" s="64">
        <v>35</v>
      </c>
      <c r="U841" s="277"/>
      <c r="V841" s="38">
        <v>25238</v>
      </c>
      <c r="W841" s="38">
        <f t="shared" si="124"/>
        <v>5552.36</v>
      </c>
      <c r="X841" s="38">
        <f t="shared" si="125"/>
        <v>30790.36</v>
      </c>
    </row>
    <row r="842" spans="1:24" ht="15" customHeight="1" x14ac:dyDescent="0.35">
      <c r="A842" s="56" t="s">
        <v>3077</v>
      </c>
      <c r="B842" s="2">
        <v>804</v>
      </c>
      <c r="C842" s="89">
        <v>102000734</v>
      </c>
      <c r="D842" s="106" t="s">
        <v>600</v>
      </c>
      <c r="E842" s="74" t="s">
        <v>686</v>
      </c>
      <c r="F842" s="75">
        <v>1</v>
      </c>
      <c r="G842" s="64" t="s">
        <v>0</v>
      </c>
      <c r="H842" s="61">
        <v>42004</v>
      </c>
      <c r="I842" s="107" t="s">
        <v>976</v>
      </c>
      <c r="J842" s="63" t="s">
        <v>1917</v>
      </c>
      <c r="K842" s="108" t="s">
        <v>811</v>
      </c>
      <c r="L842" s="64" t="s">
        <v>845</v>
      </c>
      <c r="M842" s="65">
        <f t="shared" si="120"/>
        <v>30844.400000000001</v>
      </c>
      <c r="N842" s="65">
        <f t="shared" si="121"/>
        <v>30844.400000000001</v>
      </c>
      <c r="O842" s="65">
        <v>30844.400000000001</v>
      </c>
      <c r="P842" s="65">
        <v>18080</v>
      </c>
      <c r="Q842" s="65">
        <f t="shared" si="122"/>
        <v>3977.6</v>
      </c>
      <c r="R842" s="65">
        <f t="shared" si="123"/>
        <v>22057.599999999999</v>
      </c>
      <c r="S842" s="272"/>
      <c r="T842" s="64">
        <v>35</v>
      </c>
      <c r="U842" s="277"/>
      <c r="V842" s="38">
        <v>22597</v>
      </c>
      <c r="W842" s="38">
        <f t="shared" si="124"/>
        <v>4971.34</v>
      </c>
      <c r="X842" s="38">
        <f t="shared" si="125"/>
        <v>27568.34</v>
      </c>
    </row>
    <row r="843" spans="1:24" ht="15" customHeight="1" x14ac:dyDescent="0.35">
      <c r="A843" s="56" t="s">
        <v>3078</v>
      </c>
      <c r="B843" s="2">
        <v>805</v>
      </c>
      <c r="C843" s="89">
        <v>10088965</v>
      </c>
      <c r="D843" s="90" t="s">
        <v>604</v>
      </c>
      <c r="E843" s="74" t="s">
        <v>686</v>
      </c>
      <c r="F843" s="91">
        <v>3</v>
      </c>
      <c r="G843" s="64" t="s">
        <v>0</v>
      </c>
      <c r="H843" s="61">
        <v>42004</v>
      </c>
      <c r="I843" s="107" t="s">
        <v>976</v>
      </c>
      <c r="J843" s="63" t="s">
        <v>1917</v>
      </c>
      <c r="K843" s="108" t="s">
        <v>812</v>
      </c>
      <c r="L843" s="64" t="s">
        <v>845</v>
      </c>
      <c r="M843" s="65">
        <f t="shared" si="120"/>
        <v>52336.86</v>
      </c>
      <c r="N843" s="65">
        <f t="shared" si="121"/>
        <v>17445.62</v>
      </c>
      <c r="O843" s="65">
        <v>52336.86</v>
      </c>
      <c r="P843" s="65">
        <v>30670</v>
      </c>
      <c r="Q843" s="65">
        <f t="shared" si="122"/>
        <v>6747.4</v>
      </c>
      <c r="R843" s="65">
        <f t="shared" si="123"/>
        <v>37417.4</v>
      </c>
      <c r="S843" s="272"/>
      <c r="T843" s="64">
        <v>35</v>
      </c>
      <c r="U843" s="277"/>
      <c r="V843" s="38">
        <v>38342</v>
      </c>
      <c r="W843" s="38">
        <f t="shared" si="124"/>
        <v>8435.24</v>
      </c>
      <c r="X843" s="38">
        <f t="shared" si="125"/>
        <v>46777.24</v>
      </c>
    </row>
    <row r="844" spans="1:24" ht="30" customHeight="1" x14ac:dyDescent="0.35">
      <c r="A844" s="56" t="s">
        <v>3079</v>
      </c>
      <c r="B844" s="2">
        <v>806</v>
      </c>
      <c r="C844" s="89">
        <v>10020444</v>
      </c>
      <c r="D844" s="90" t="s">
        <v>605</v>
      </c>
      <c r="E844" s="74" t="s">
        <v>686</v>
      </c>
      <c r="F844" s="75">
        <v>1</v>
      </c>
      <c r="G844" s="64" t="s">
        <v>0</v>
      </c>
      <c r="H844" s="61">
        <v>42004</v>
      </c>
      <c r="I844" s="107" t="s">
        <v>976</v>
      </c>
      <c r="J844" s="63" t="s">
        <v>1917</v>
      </c>
      <c r="K844" s="108" t="s">
        <v>813</v>
      </c>
      <c r="L844" s="64" t="s">
        <v>845</v>
      </c>
      <c r="M844" s="65">
        <f t="shared" si="120"/>
        <v>10966.98</v>
      </c>
      <c r="N844" s="65">
        <f t="shared" si="121"/>
        <v>10966.98</v>
      </c>
      <c r="O844" s="65">
        <v>10966.98</v>
      </c>
      <c r="P844" s="65">
        <v>6430</v>
      </c>
      <c r="Q844" s="65">
        <f t="shared" si="122"/>
        <v>1414.6</v>
      </c>
      <c r="R844" s="65">
        <f t="shared" si="123"/>
        <v>7844.6</v>
      </c>
      <c r="S844" s="272"/>
      <c r="T844" s="64">
        <v>35</v>
      </c>
      <c r="U844" s="277"/>
      <c r="V844" s="38">
        <v>8034</v>
      </c>
      <c r="W844" s="38">
        <f t="shared" si="124"/>
        <v>1767.48</v>
      </c>
      <c r="X844" s="38">
        <f t="shared" si="125"/>
        <v>9801.48</v>
      </c>
    </row>
    <row r="845" spans="1:24" ht="30" customHeight="1" x14ac:dyDescent="0.35">
      <c r="A845" s="56" t="s">
        <v>3080</v>
      </c>
      <c r="B845" s="2">
        <v>807</v>
      </c>
      <c r="C845" s="89">
        <v>102001203</v>
      </c>
      <c r="D845" s="106" t="s">
        <v>607</v>
      </c>
      <c r="E845" s="74" t="s">
        <v>686</v>
      </c>
      <c r="F845" s="91">
        <v>2</v>
      </c>
      <c r="G845" s="64" t="s">
        <v>0</v>
      </c>
      <c r="H845" s="61">
        <v>42004</v>
      </c>
      <c r="I845" s="107" t="s">
        <v>976</v>
      </c>
      <c r="J845" s="63" t="s">
        <v>1917</v>
      </c>
      <c r="K845" s="108" t="s">
        <v>814</v>
      </c>
      <c r="L845" s="64" t="s">
        <v>845</v>
      </c>
      <c r="M845" s="65">
        <f t="shared" si="120"/>
        <v>88200</v>
      </c>
      <c r="N845" s="65">
        <f t="shared" si="121"/>
        <v>44100</v>
      </c>
      <c r="O845" s="65">
        <v>88200</v>
      </c>
      <c r="P845" s="65">
        <v>51690</v>
      </c>
      <c r="Q845" s="65">
        <f t="shared" si="122"/>
        <v>11371.8</v>
      </c>
      <c r="R845" s="65">
        <f t="shared" si="123"/>
        <v>63061.8</v>
      </c>
      <c r="S845" s="272"/>
      <c r="T845" s="64">
        <v>35</v>
      </c>
      <c r="U845" s="277"/>
      <c r="V845" s="38">
        <v>64615</v>
      </c>
      <c r="W845" s="38">
        <f t="shared" si="124"/>
        <v>14215.3</v>
      </c>
      <c r="X845" s="38">
        <f t="shared" si="125"/>
        <v>78830.3</v>
      </c>
    </row>
    <row r="846" spans="1:24" ht="45" customHeight="1" x14ac:dyDescent="0.35">
      <c r="A846" s="56" t="s">
        <v>3081</v>
      </c>
      <c r="B846" s="2">
        <v>808</v>
      </c>
      <c r="C846" s="89">
        <v>10145285</v>
      </c>
      <c r="D846" s="90" t="s">
        <v>220</v>
      </c>
      <c r="E846" s="74" t="s">
        <v>686</v>
      </c>
      <c r="F846" s="75">
        <v>1</v>
      </c>
      <c r="G846" s="64" t="s">
        <v>0</v>
      </c>
      <c r="H846" s="61">
        <v>42004</v>
      </c>
      <c r="I846" s="107" t="s">
        <v>976</v>
      </c>
      <c r="J846" s="63" t="s">
        <v>1917</v>
      </c>
      <c r="K846" s="108" t="s">
        <v>815</v>
      </c>
      <c r="L846" s="64" t="s">
        <v>845</v>
      </c>
      <c r="M846" s="65">
        <f t="shared" si="120"/>
        <v>99600</v>
      </c>
      <c r="N846" s="65">
        <f t="shared" si="121"/>
        <v>99600</v>
      </c>
      <c r="O846" s="65">
        <v>99600</v>
      </c>
      <c r="P846" s="65">
        <v>58370</v>
      </c>
      <c r="Q846" s="65">
        <f t="shared" si="122"/>
        <v>12841.4</v>
      </c>
      <c r="R846" s="65">
        <f t="shared" si="123"/>
        <v>71211.399999999994</v>
      </c>
      <c r="S846" s="272"/>
      <c r="T846" s="64">
        <v>35</v>
      </c>
      <c r="U846" s="277"/>
      <c r="V846" s="38">
        <v>72967</v>
      </c>
      <c r="W846" s="38">
        <f t="shared" si="124"/>
        <v>16052.74</v>
      </c>
      <c r="X846" s="38">
        <f t="shared" si="125"/>
        <v>89019.74</v>
      </c>
    </row>
    <row r="847" spans="1:24" ht="33.75" customHeight="1" x14ac:dyDescent="0.35">
      <c r="A847" s="56" t="s">
        <v>3082</v>
      </c>
      <c r="B847" s="2">
        <v>809</v>
      </c>
      <c r="C847" s="89">
        <v>102001450</v>
      </c>
      <c r="D847" s="106" t="s">
        <v>613</v>
      </c>
      <c r="E847" s="74" t="s">
        <v>686</v>
      </c>
      <c r="F847" s="91">
        <v>2</v>
      </c>
      <c r="G847" s="64" t="s">
        <v>0</v>
      </c>
      <c r="H847" s="61">
        <v>42004</v>
      </c>
      <c r="I847" s="107" t="s">
        <v>976</v>
      </c>
      <c r="J847" s="63" t="s">
        <v>1917</v>
      </c>
      <c r="K847" s="108" t="s">
        <v>816</v>
      </c>
      <c r="L847" s="64" t="s">
        <v>845</v>
      </c>
      <c r="M847" s="65">
        <f t="shared" si="120"/>
        <v>156709.79999999999</v>
      </c>
      <c r="N847" s="65">
        <f t="shared" si="121"/>
        <v>78354.899999999994</v>
      </c>
      <c r="O847" s="65">
        <v>156709.79999999999</v>
      </c>
      <c r="P847" s="65">
        <v>92450</v>
      </c>
      <c r="Q847" s="65">
        <f t="shared" si="122"/>
        <v>20339</v>
      </c>
      <c r="R847" s="65">
        <f t="shared" si="123"/>
        <v>112789</v>
      </c>
      <c r="S847" s="272"/>
      <c r="T847" s="64">
        <v>35</v>
      </c>
      <c r="U847" s="277"/>
      <c r="V847" s="38">
        <v>115564</v>
      </c>
      <c r="W847" s="38">
        <f t="shared" si="124"/>
        <v>25424.080000000002</v>
      </c>
      <c r="X847" s="38">
        <f t="shared" si="125"/>
        <v>140988.07999999999</v>
      </c>
    </row>
    <row r="848" spans="1:24" ht="30" customHeight="1" x14ac:dyDescent="0.35">
      <c r="A848" s="56" t="s">
        <v>3083</v>
      </c>
      <c r="B848" s="2">
        <v>810</v>
      </c>
      <c r="C848" s="89">
        <v>10096042</v>
      </c>
      <c r="D848" s="90" t="s">
        <v>616</v>
      </c>
      <c r="E848" s="74" t="s">
        <v>686</v>
      </c>
      <c r="F848" s="91">
        <v>4</v>
      </c>
      <c r="G848" s="64" t="s">
        <v>0</v>
      </c>
      <c r="H848" s="61">
        <v>42004</v>
      </c>
      <c r="I848" s="107" t="s">
        <v>976</v>
      </c>
      <c r="J848" s="63" t="s">
        <v>1917</v>
      </c>
      <c r="K848" s="108" t="s">
        <v>817</v>
      </c>
      <c r="L848" s="64" t="s">
        <v>845</v>
      </c>
      <c r="M848" s="65">
        <f t="shared" si="120"/>
        <v>29400</v>
      </c>
      <c r="N848" s="65">
        <f t="shared" si="121"/>
        <v>7350</v>
      </c>
      <c r="O848" s="65">
        <v>29400</v>
      </c>
      <c r="P848" s="65">
        <v>17230</v>
      </c>
      <c r="Q848" s="65">
        <f t="shared" si="122"/>
        <v>3790.6</v>
      </c>
      <c r="R848" s="65">
        <f t="shared" si="123"/>
        <v>21020.6</v>
      </c>
      <c r="S848" s="272"/>
      <c r="T848" s="64">
        <v>35</v>
      </c>
      <c r="U848" s="277"/>
      <c r="V848" s="38">
        <v>21538</v>
      </c>
      <c r="W848" s="38">
        <f t="shared" si="124"/>
        <v>4738.3599999999997</v>
      </c>
      <c r="X848" s="38">
        <f t="shared" si="125"/>
        <v>26276.36</v>
      </c>
    </row>
    <row r="849" spans="1:24" ht="45" customHeight="1" x14ac:dyDescent="0.35">
      <c r="A849" s="56" t="s">
        <v>3084</v>
      </c>
      <c r="B849" s="2">
        <v>811</v>
      </c>
      <c r="C849" s="89">
        <v>10145264</v>
      </c>
      <c r="D849" s="90" t="s">
        <v>250</v>
      </c>
      <c r="E849" s="74" t="s">
        <v>686</v>
      </c>
      <c r="F849" s="75">
        <v>2</v>
      </c>
      <c r="G849" s="64" t="s">
        <v>0</v>
      </c>
      <c r="H849" s="61">
        <v>42004</v>
      </c>
      <c r="I849" s="107" t="s">
        <v>976</v>
      </c>
      <c r="J849" s="63" t="s">
        <v>1917</v>
      </c>
      <c r="K849" s="108" t="s">
        <v>818</v>
      </c>
      <c r="L849" s="64" t="s">
        <v>845</v>
      </c>
      <c r="M849" s="155">
        <f t="shared" si="120"/>
        <v>24800</v>
      </c>
      <c r="N849" s="155">
        <f t="shared" si="121"/>
        <v>12400</v>
      </c>
      <c r="O849" s="65">
        <v>24800</v>
      </c>
      <c r="P849" s="65">
        <v>14630</v>
      </c>
      <c r="Q849" s="65">
        <f t="shared" si="122"/>
        <v>3218.6</v>
      </c>
      <c r="R849" s="65">
        <f t="shared" si="123"/>
        <v>17848.599999999999</v>
      </c>
      <c r="S849" s="272"/>
      <c r="T849" s="64">
        <v>35</v>
      </c>
      <c r="U849" s="277"/>
      <c r="V849" s="38">
        <v>18289</v>
      </c>
      <c r="W849" s="38">
        <f t="shared" si="124"/>
        <v>4023.58</v>
      </c>
      <c r="X849" s="38">
        <f t="shared" si="125"/>
        <v>22312.58</v>
      </c>
    </row>
    <row r="850" spans="1:24" ht="21.75" customHeight="1" x14ac:dyDescent="0.35">
      <c r="A850" s="56" t="s">
        <v>3085</v>
      </c>
      <c r="B850" s="2">
        <v>812</v>
      </c>
      <c r="C850" s="89">
        <v>102001115</v>
      </c>
      <c r="D850" s="106" t="s">
        <v>618</v>
      </c>
      <c r="E850" s="74" t="s">
        <v>686</v>
      </c>
      <c r="F850" s="91">
        <v>2</v>
      </c>
      <c r="G850" s="64" t="s">
        <v>0</v>
      </c>
      <c r="H850" s="61">
        <v>42004</v>
      </c>
      <c r="I850" s="107" t="s">
        <v>976</v>
      </c>
      <c r="J850" s="63" t="s">
        <v>1917</v>
      </c>
      <c r="K850" s="108" t="s">
        <v>819</v>
      </c>
      <c r="L850" s="64" t="s">
        <v>845</v>
      </c>
      <c r="M850" s="65">
        <f t="shared" si="120"/>
        <v>81900</v>
      </c>
      <c r="N850" s="65">
        <f t="shared" si="121"/>
        <v>40950</v>
      </c>
      <c r="O850" s="65">
        <v>81900</v>
      </c>
      <c r="P850" s="65">
        <v>48000</v>
      </c>
      <c r="Q850" s="65">
        <f t="shared" si="122"/>
        <v>10560</v>
      </c>
      <c r="R850" s="65">
        <f t="shared" si="123"/>
        <v>58560</v>
      </c>
      <c r="S850" s="272"/>
      <c r="T850" s="64">
        <v>35</v>
      </c>
      <c r="U850" s="277"/>
      <c r="V850" s="38">
        <v>60000</v>
      </c>
      <c r="W850" s="38">
        <f t="shared" si="124"/>
        <v>13200</v>
      </c>
      <c r="X850" s="38">
        <f t="shared" si="125"/>
        <v>73200</v>
      </c>
    </row>
    <row r="851" spans="1:24" ht="30" customHeight="1" x14ac:dyDescent="0.35">
      <c r="A851" s="56" t="s">
        <v>3086</v>
      </c>
      <c r="B851" s="2">
        <v>813</v>
      </c>
      <c r="C851" s="89">
        <v>10127605</v>
      </c>
      <c r="D851" s="90" t="s">
        <v>249</v>
      </c>
      <c r="E851" s="74" t="s">
        <v>686</v>
      </c>
      <c r="F851" s="91">
        <v>1</v>
      </c>
      <c r="G851" s="64" t="s">
        <v>0</v>
      </c>
      <c r="H851" s="61">
        <v>42004</v>
      </c>
      <c r="I851" s="107" t="s">
        <v>976</v>
      </c>
      <c r="J851" s="63" t="s">
        <v>1917</v>
      </c>
      <c r="K851" s="108" t="s">
        <v>820</v>
      </c>
      <c r="L851" s="64" t="s">
        <v>845</v>
      </c>
      <c r="M851" s="65">
        <f t="shared" si="120"/>
        <v>27878.86</v>
      </c>
      <c r="N851" s="65">
        <f t="shared" si="121"/>
        <v>27878.86</v>
      </c>
      <c r="O851" s="65">
        <v>27878.86</v>
      </c>
      <c r="P851" s="65">
        <v>16340</v>
      </c>
      <c r="Q851" s="65">
        <f t="shared" si="122"/>
        <v>3594.8</v>
      </c>
      <c r="R851" s="65">
        <f t="shared" si="123"/>
        <v>19934.8</v>
      </c>
      <c r="S851" s="272"/>
      <c r="T851" s="64">
        <v>35</v>
      </c>
      <c r="U851" s="277"/>
      <c r="V851" s="38">
        <v>20424</v>
      </c>
      <c r="W851" s="38">
        <f t="shared" si="124"/>
        <v>4493.28</v>
      </c>
      <c r="X851" s="38">
        <f t="shared" si="125"/>
        <v>24917.279999999999</v>
      </c>
    </row>
    <row r="852" spans="1:24" ht="30" customHeight="1" x14ac:dyDescent="0.35">
      <c r="A852" s="56" t="s">
        <v>3087</v>
      </c>
      <c r="B852" s="2">
        <v>814</v>
      </c>
      <c r="C852" s="89">
        <v>102002106</v>
      </c>
      <c r="D852" s="106" t="s">
        <v>622</v>
      </c>
      <c r="E852" s="74" t="s">
        <v>686</v>
      </c>
      <c r="F852" s="91">
        <v>2</v>
      </c>
      <c r="G852" s="64" t="s">
        <v>0</v>
      </c>
      <c r="H852" s="61">
        <v>42004</v>
      </c>
      <c r="I852" s="107" t="s">
        <v>976</v>
      </c>
      <c r="J852" s="63" t="s">
        <v>1917</v>
      </c>
      <c r="K852" s="108" t="s">
        <v>821</v>
      </c>
      <c r="L852" s="64" t="s">
        <v>845</v>
      </c>
      <c r="M852" s="65">
        <f t="shared" si="120"/>
        <v>117900</v>
      </c>
      <c r="N852" s="65">
        <f t="shared" si="121"/>
        <v>58950</v>
      </c>
      <c r="O852" s="65">
        <v>117900</v>
      </c>
      <c r="P852" s="65">
        <v>69100</v>
      </c>
      <c r="Q852" s="65">
        <f t="shared" si="122"/>
        <v>15202</v>
      </c>
      <c r="R852" s="65">
        <f t="shared" si="123"/>
        <v>84302</v>
      </c>
      <c r="S852" s="272"/>
      <c r="T852" s="64">
        <v>35</v>
      </c>
      <c r="U852" s="277"/>
      <c r="V852" s="38">
        <v>86374</v>
      </c>
      <c r="W852" s="38">
        <f t="shared" si="124"/>
        <v>19002.28</v>
      </c>
      <c r="X852" s="38">
        <f t="shared" si="125"/>
        <v>105376.28</v>
      </c>
    </row>
    <row r="853" spans="1:24" ht="30" customHeight="1" x14ac:dyDescent="0.35">
      <c r="A853" s="56" t="s">
        <v>3088</v>
      </c>
      <c r="B853" s="2">
        <v>815</v>
      </c>
      <c r="C853" s="89">
        <v>10124228</v>
      </c>
      <c r="D853" s="90" t="s">
        <v>622</v>
      </c>
      <c r="E853" s="74" t="s">
        <v>686</v>
      </c>
      <c r="F853" s="91">
        <v>1</v>
      </c>
      <c r="G853" s="64" t="s">
        <v>0</v>
      </c>
      <c r="H853" s="61">
        <v>42004</v>
      </c>
      <c r="I853" s="107" t="s">
        <v>976</v>
      </c>
      <c r="J853" s="63" t="s">
        <v>1917</v>
      </c>
      <c r="K853" s="108" t="s">
        <v>822</v>
      </c>
      <c r="L853" s="64" t="s">
        <v>845</v>
      </c>
      <c r="M853" s="65">
        <f t="shared" si="120"/>
        <v>77490</v>
      </c>
      <c r="N853" s="65">
        <f t="shared" si="121"/>
        <v>77490</v>
      </c>
      <c r="O853" s="65">
        <v>77490</v>
      </c>
      <c r="P853" s="65">
        <v>45720</v>
      </c>
      <c r="Q853" s="65">
        <f t="shared" si="122"/>
        <v>10058.4</v>
      </c>
      <c r="R853" s="65">
        <f t="shared" si="123"/>
        <v>55778.400000000001</v>
      </c>
      <c r="S853" s="272"/>
      <c r="T853" s="64">
        <v>35</v>
      </c>
      <c r="U853" s="277"/>
      <c r="V853" s="38">
        <v>57144</v>
      </c>
      <c r="W853" s="38">
        <f t="shared" si="124"/>
        <v>12571.68</v>
      </c>
      <c r="X853" s="38">
        <f t="shared" si="125"/>
        <v>69715.679999999993</v>
      </c>
    </row>
    <row r="854" spans="1:24" ht="15" customHeight="1" x14ac:dyDescent="0.35">
      <c r="A854" s="56" t="s">
        <v>3089</v>
      </c>
      <c r="B854" s="2">
        <v>816</v>
      </c>
      <c r="C854" s="89">
        <v>102000823</v>
      </c>
      <c r="D854" s="106" t="s">
        <v>623</v>
      </c>
      <c r="E854" s="74" t="s">
        <v>686</v>
      </c>
      <c r="F854" s="91">
        <v>2</v>
      </c>
      <c r="G854" s="64" t="s">
        <v>0</v>
      </c>
      <c r="H854" s="61">
        <v>42004</v>
      </c>
      <c r="I854" s="107" t="s">
        <v>976</v>
      </c>
      <c r="J854" s="63" t="s">
        <v>1917</v>
      </c>
      <c r="K854" s="108" t="s">
        <v>823</v>
      </c>
      <c r="L854" s="64" t="s">
        <v>845</v>
      </c>
      <c r="M854" s="65">
        <f t="shared" si="120"/>
        <v>172400</v>
      </c>
      <c r="N854" s="65">
        <f t="shared" si="121"/>
        <v>86200</v>
      </c>
      <c r="O854" s="65">
        <v>172400</v>
      </c>
      <c r="P854" s="65">
        <v>101040</v>
      </c>
      <c r="Q854" s="65">
        <f t="shared" si="122"/>
        <v>22228.799999999999</v>
      </c>
      <c r="R854" s="65">
        <f t="shared" si="123"/>
        <v>123268.8</v>
      </c>
      <c r="S854" s="272"/>
      <c r="T854" s="64">
        <v>35</v>
      </c>
      <c r="U854" s="277"/>
      <c r="V854" s="38">
        <v>126300</v>
      </c>
      <c r="W854" s="38">
        <f t="shared" si="124"/>
        <v>27786</v>
      </c>
      <c r="X854" s="38">
        <f t="shared" si="125"/>
        <v>154086</v>
      </c>
    </row>
    <row r="855" spans="1:24" ht="15" customHeight="1" x14ac:dyDescent="0.35">
      <c r="A855" s="56" t="s">
        <v>3090</v>
      </c>
      <c r="B855" s="2">
        <v>817</v>
      </c>
      <c r="C855" s="89">
        <v>102000827</v>
      </c>
      <c r="D855" s="106" t="s">
        <v>625</v>
      </c>
      <c r="E855" s="74" t="s">
        <v>686</v>
      </c>
      <c r="F855" s="91">
        <v>2</v>
      </c>
      <c r="G855" s="64" t="s">
        <v>0</v>
      </c>
      <c r="H855" s="61">
        <v>42004</v>
      </c>
      <c r="I855" s="107" t="s">
        <v>976</v>
      </c>
      <c r="J855" s="63" t="s">
        <v>1917</v>
      </c>
      <c r="K855" s="108" t="s">
        <v>824</v>
      </c>
      <c r="L855" s="64" t="s">
        <v>845</v>
      </c>
      <c r="M855" s="65">
        <f t="shared" si="120"/>
        <v>138826.5</v>
      </c>
      <c r="N855" s="65">
        <f t="shared" si="121"/>
        <v>69413.25</v>
      </c>
      <c r="O855" s="65">
        <v>138826.5</v>
      </c>
      <c r="P855" s="65">
        <v>81360</v>
      </c>
      <c r="Q855" s="65">
        <f t="shared" si="122"/>
        <v>17899.2</v>
      </c>
      <c r="R855" s="65">
        <f t="shared" si="123"/>
        <v>99259.199999999997</v>
      </c>
      <c r="S855" s="272"/>
      <c r="T855" s="64">
        <v>35</v>
      </c>
      <c r="U855" s="277"/>
      <c r="V855" s="38">
        <v>101704</v>
      </c>
      <c r="W855" s="38">
        <f t="shared" si="124"/>
        <v>22374.880000000001</v>
      </c>
      <c r="X855" s="38">
        <f t="shared" si="125"/>
        <v>124078.88</v>
      </c>
    </row>
    <row r="856" spans="1:24" ht="30" customHeight="1" x14ac:dyDescent="0.35">
      <c r="A856" s="56" t="s">
        <v>3091</v>
      </c>
      <c r="B856" s="2">
        <v>818</v>
      </c>
      <c r="C856" s="89">
        <v>10097916</v>
      </c>
      <c r="D856" s="90" t="s">
        <v>626</v>
      </c>
      <c r="E856" s="74" t="s">
        <v>686</v>
      </c>
      <c r="F856" s="91">
        <v>2</v>
      </c>
      <c r="G856" s="64" t="s">
        <v>0</v>
      </c>
      <c r="H856" s="61">
        <v>42004</v>
      </c>
      <c r="I856" s="107" t="s">
        <v>976</v>
      </c>
      <c r="J856" s="63" t="s">
        <v>1917</v>
      </c>
      <c r="K856" s="108" t="s">
        <v>825</v>
      </c>
      <c r="L856" s="64" t="s">
        <v>845</v>
      </c>
      <c r="M856" s="65">
        <f t="shared" si="120"/>
        <v>13591.84</v>
      </c>
      <c r="N856" s="65">
        <f t="shared" si="121"/>
        <v>6795.92</v>
      </c>
      <c r="O856" s="65">
        <v>13591.84</v>
      </c>
      <c r="P856" s="65">
        <v>7970</v>
      </c>
      <c r="Q856" s="65">
        <f t="shared" si="122"/>
        <v>1753.4</v>
      </c>
      <c r="R856" s="65">
        <f t="shared" si="123"/>
        <v>9723.4</v>
      </c>
      <c r="S856" s="272"/>
      <c r="T856" s="64">
        <v>35</v>
      </c>
      <c r="U856" s="277"/>
      <c r="V856" s="38">
        <v>9957</v>
      </c>
      <c r="W856" s="38">
        <f t="shared" si="124"/>
        <v>2190.54</v>
      </c>
      <c r="X856" s="38">
        <f t="shared" si="125"/>
        <v>12147.54</v>
      </c>
    </row>
    <row r="857" spans="1:24" ht="30" customHeight="1" x14ac:dyDescent="0.35">
      <c r="A857" s="56" t="s">
        <v>3092</v>
      </c>
      <c r="B857" s="2">
        <v>819</v>
      </c>
      <c r="C857" s="89">
        <v>10030058</v>
      </c>
      <c r="D857" s="90" t="s">
        <v>628</v>
      </c>
      <c r="E857" s="74" t="s">
        <v>686</v>
      </c>
      <c r="F857" s="91">
        <v>4</v>
      </c>
      <c r="G857" s="64" t="s">
        <v>0</v>
      </c>
      <c r="H857" s="61">
        <v>42004</v>
      </c>
      <c r="I857" s="107" t="s">
        <v>976</v>
      </c>
      <c r="J857" s="63" t="s">
        <v>1917</v>
      </c>
      <c r="K857" s="108" t="s">
        <v>826</v>
      </c>
      <c r="L857" s="64" t="s">
        <v>845</v>
      </c>
      <c r="M857" s="65">
        <f t="shared" si="120"/>
        <v>12787.64</v>
      </c>
      <c r="N857" s="65">
        <f t="shared" si="121"/>
        <v>3196.91</v>
      </c>
      <c r="O857" s="65">
        <v>12787.64</v>
      </c>
      <c r="P857" s="65">
        <v>7490</v>
      </c>
      <c r="Q857" s="65">
        <f t="shared" si="122"/>
        <v>1647.8</v>
      </c>
      <c r="R857" s="65">
        <f t="shared" si="123"/>
        <v>9137.7999999999993</v>
      </c>
      <c r="S857" s="272"/>
      <c r="T857" s="64">
        <v>35</v>
      </c>
      <c r="U857" s="277"/>
      <c r="V857" s="38">
        <v>9368</v>
      </c>
      <c r="W857" s="38">
        <f t="shared" si="124"/>
        <v>2060.96</v>
      </c>
      <c r="X857" s="38">
        <f t="shared" si="125"/>
        <v>11428.96</v>
      </c>
    </row>
    <row r="858" spans="1:24" ht="30" customHeight="1" x14ac:dyDescent="0.35">
      <c r="A858" s="56" t="s">
        <v>3093</v>
      </c>
      <c r="B858" s="2">
        <v>820</v>
      </c>
      <c r="C858" s="89">
        <v>102001356</v>
      </c>
      <c r="D858" s="106" t="s">
        <v>632</v>
      </c>
      <c r="E858" s="74" t="s">
        <v>686</v>
      </c>
      <c r="F858" s="91">
        <v>1</v>
      </c>
      <c r="G858" s="64" t="s">
        <v>0</v>
      </c>
      <c r="H858" s="61">
        <v>42004</v>
      </c>
      <c r="I858" s="107" t="s">
        <v>976</v>
      </c>
      <c r="J858" s="63" t="s">
        <v>1917</v>
      </c>
      <c r="K858" s="108" t="s">
        <v>663</v>
      </c>
      <c r="L858" s="64" t="s">
        <v>845</v>
      </c>
      <c r="M858" s="65">
        <f t="shared" si="120"/>
        <v>166500</v>
      </c>
      <c r="N858" s="65">
        <f t="shared" si="121"/>
        <v>166500</v>
      </c>
      <c r="O858" s="65">
        <v>166500</v>
      </c>
      <c r="P858" s="65">
        <v>97580</v>
      </c>
      <c r="Q858" s="65">
        <f t="shared" si="122"/>
        <v>21467.599999999999</v>
      </c>
      <c r="R858" s="65">
        <f t="shared" si="123"/>
        <v>119047.6</v>
      </c>
      <c r="S858" s="272"/>
      <c r="T858" s="64">
        <v>35</v>
      </c>
      <c r="U858" s="277"/>
      <c r="V858" s="38">
        <v>121978</v>
      </c>
      <c r="W858" s="38">
        <f t="shared" si="124"/>
        <v>26835.16</v>
      </c>
      <c r="X858" s="38">
        <f t="shared" si="125"/>
        <v>148813.16</v>
      </c>
    </row>
    <row r="859" spans="1:24" ht="30" customHeight="1" x14ac:dyDescent="0.35">
      <c r="A859" s="56" t="s">
        <v>3094</v>
      </c>
      <c r="B859" s="2">
        <v>821</v>
      </c>
      <c r="C859" s="89">
        <v>10016503</v>
      </c>
      <c r="D859" s="90" t="s">
        <v>643</v>
      </c>
      <c r="E859" s="74" t="s">
        <v>686</v>
      </c>
      <c r="F859" s="91">
        <v>1</v>
      </c>
      <c r="G859" s="64" t="s">
        <v>0</v>
      </c>
      <c r="H859" s="61">
        <v>42004</v>
      </c>
      <c r="I859" s="107" t="s">
        <v>976</v>
      </c>
      <c r="J859" s="63" t="s">
        <v>1917</v>
      </c>
      <c r="K859" s="108" t="s">
        <v>827</v>
      </c>
      <c r="L859" s="64" t="s">
        <v>845</v>
      </c>
      <c r="M859" s="65">
        <f t="shared" si="120"/>
        <v>1473.59</v>
      </c>
      <c r="N859" s="65">
        <f t="shared" si="121"/>
        <v>1473.59</v>
      </c>
      <c r="O859" s="65">
        <v>1473.59</v>
      </c>
      <c r="P859" s="65">
        <v>860</v>
      </c>
      <c r="Q859" s="65">
        <f t="shared" si="122"/>
        <v>189.2</v>
      </c>
      <c r="R859" s="65">
        <f t="shared" si="123"/>
        <v>1049.2</v>
      </c>
      <c r="S859" s="272"/>
      <c r="T859" s="64">
        <v>35</v>
      </c>
      <c r="U859" s="277"/>
      <c r="V859" s="38">
        <v>1080</v>
      </c>
      <c r="W859" s="38">
        <f t="shared" si="124"/>
        <v>237.6</v>
      </c>
      <c r="X859" s="38">
        <f t="shared" si="125"/>
        <v>1317.6</v>
      </c>
    </row>
    <row r="860" spans="1:24" ht="30" customHeight="1" x14ac:dyDescent="0.35">
      <c r="A860" s="56" t="s">
        <v>3095</v>
      </c>
      <c r="B860" s="2">
        <v>822</v>
      </c>
      <c r="C860" s="89">
        <v>10030866</v>
      </c>
      <c r="D860" s="90" t="s">
        <v>668</v>
      </c>
      <c r="E860" s="74" t="s">
        <v>686</v>
      </c>
      <c r="F860" s="91">
        <v>1</v>
      </c>
      <c r="G860" s="64" t="s">
        <v>0</v>
      </c>
      <c r="H860" s="61">
        <v>42004</v>
      </c>
      <c r="I860" s="107" t="s">
        <v>976</v>
      </c>
      <c r="J860" s="63" t="s">
        <v>1917</v>
      </c>
      <c r="K860" s="108" t="s">
        <v>838</v>
      </c>
      <c r="L860" s="64" t="s">
        <v>845</v>
      </c>
      <c r="M860" s="65">
        <f t="shared" si="120"/>
        <v>2540.92</v>
      </c>
      <c r="N860" s="65">
        <f t="shared" si="121"/>
        <v>2540.92</v>
      </c>
      <c r="O860" s="65">
        <v>2540.92</v>
      </c>
      <c r="P860" s="65">
        <v>1490</v>
      </c>
      <c r="Q860" s="65">
        <f t="shared" si="122"/>
        <v>327.8</v>
      </c>
      <c r="R860" s="65">
        <f t="shared" si="123"/>
        <v>1817.8</v>
      </c>
      <c r="S860" s="272"/>
      <c r="T860" s="64">
        <v>35</v>
      </c>
      <c r="U860" s="277"/>
      <c r="V860" s="38">
        <v>1861</v>
      </c>
      <c r="W860" s="38">
        <f t="shared" si="124"/>
        <v>409.42</v>
      </c>
      <c r="X860" s="38">
        <f t="shared" si="125"/>
        <v>2270.42</v>
      </c>
    </row>
    <row r="861" spans="1:24" ht="15" customHeight="1" x14ac:dyDescent="0.35">
      <c r="A861" s="56" t="s">
        <v>3096</v>
      </c>
      <c r="B861" s="2">
        <v>823</v>
      </c>
      <c r="C861" s="89">
        <v>10024241</v>
      </c>
      <c r="D861" s="90" t="s">
        <v>672</v>
      </c>
      <c r="E861" s="74" t="s">
        <v>686</v>
      </c>
      <c r="F861" s="91">
        <v>2</v>
      </c>
      <c r="G861" s="64" t="s">
        <v>0</v>
      </c>
      <c r="H861" s="61">
        <v>42004</v>
      </c>
      <c r="I861" s="107" t="s">
        <v>976</v>
      </c>
      <c r="J861" s="63" t="s">
        <v>1917</v>
      </c>
      <c r="K861" s="108" t="s">
        <v>841</v>
      </c>
      <c r="L861" s="64" t="s">
        <v>845</v>
      </c>
      <c r="M861" s="65">
        <f t="shared" si="120"/>
        <v>10807.63</v>
      </c>
      <c r="N861" s="65">
        <f t="shared" si="121"/>
        <v>5403.82</v>
      </c>
      <c r="O861" s="65">
        <v>10807.63</v>
      </c>
      <c r="P861" s="65">
        <v>6330</v>
      </c>
      <c r="Q861" s="65">
        <f t="shared" si="122"/>
        <v>1392.6</v>
      </c>
      <c r="R861" s="65">
        <f t="shared" si="123"/>
        <v>7722.6</v>
      </c>
      <c r="S861" s="272"/>
      <c r="T861" s="64">
        <v>35</v>
      </c>
      <c r="U861" s="277"/>
      <c r="V861" s="38">
        <v>7918</v>
      </c>
      <c r="W861" s="38">
        <f t="shared" si="124"/>
        <v>1741.96</v>
      </c>
      <c r="X861" s="38">
        <f t="shared" si="125"/>
        <v>9659.9599999999991</v>
      </c>
    </row>
    <row r="862" spans="1:24" ht="30" customHeight="1" x14ac:dyDescent="0.35">
      <c r="A862" s="56" t="s">
        <v>3097</v>
      </c>
      <c r="B862" s="2">
        <v>824</v>
      </c>
      <c r="C862" s="89">
        <v>10042692</v>
      </c>
      <c r="D862" s="90" t="s">
        <v>676</v>
      </c>
      <c r="E862" s="74" t="s">
        <v>686</v>
      </c>
      <c r="F862" s="91">
        <v>1</v>
      </c>
      <c r="G862" s="64" t="s">
        <v>0</v>
      </c>
      <c r="H862" s="61">
        <v>42004</v>
      </c>
      <c r="I862" s="107" t="s">
        <v>976</v>
      </c>
      <c r="J862" s="63" t="s">
        <v>1917</v>
      </c>
      <c r="K862" s="108" t="s">
        <v>842</v>
      </c>
      <c r="L862" s="64" t="s">
        <v>845</v>
      </c>
      <c r="M862" s="65">
        <f t="shared" si="120"/>
        <v>8</v>
      </c>
      <c r="N862" s="65">
        <f t="shared" si="121"/>
        <v>8</v>
      </c>
      <c r="O862" s="65">
        <v>8</v>
      </c>
      <c r="P862" s="65">
        <v>5</v>
      </c>
      <c r="Q862" s="65">
        <f t="shared" si="122"/>
        <v>1.1000000000000001</v>
      </c>
      <c r="R862" s="65">
        <f t="shared" si="123"/>
        <v>6.1</v>
      </c>
      <c r="S862" s="272"/>
      <c r="T862" s="64">
        <v>35</v>
      </c>
      <c r="U862" s="277"/>
      <c r="V862" s="38">
        <v>6</v>
      </c>
      <c r="W862" s="38">
        <f t="shared" si="124"/>
        <v>1.32</v>
      </c>
      <c r="X862" s="38">
        <f t="shared" si="125"/>
        <v>7.32</v>
      </c>
    </row>
    <row r="863" spans="1:24" ht="45" customHeight="1" x14ac:dyDescent="0.35">
      <c r="A863" s="56" t="s">
        <v>3098</v>
      </c>
      <c r="B863" s="2">
        <v>825</v>
      </c>
      <c r="C863" s="77">
        <v>102002057</v>
      </c>
      <c r="D863" s="74" t="s">
        <v>322</v>
      </c>
      <c r="E863" s="74" t="s">
        <v>2146</v>
      </c>
      <c r="F863" s="75">
        <v>1</v>
      </c>
      <c r="G863" s="64" t="s">
        <v>0</v>
      </c>
      <c r="H863" s="61">
        <v>42004</v>
      </c>
      <c r="I863" s="101" t="s">
        <v>972</v>
      </c>
      <c r="J863" s="63" t="s">
        <v>1917</v>
      </c>
      <c r="K863" s="61" t="s">
        <v>961</v>
      </c>
      <c r="L863" s="69" t="s">
        <v>2093</v>
      </c>
      <c r="M863" s="70">
        <f t="shared" si="120"/>
        <v>83535</v>
      </c>
      <c r="N863" s="70">
        <f t="shared" si="121"/>
        <v>83535</v>
      </c>
      <c r="O863" s="70">
        <v>83535</v>
      </c>
      <c r="P863" s="65">
        <v>48960</v>
      </c>
      <c r="Q863" s="65">
        <f t="shared" si="122"/>
        <v>10771.2</v>
      </c>
      <c r="R863" s="65">
        <f t="shared" si="123"/>
        <v>59731.199999999997</v>
      </c>
      <c r="S863" s="272"/>
      <c r="T863" s="64">
        <v>35</v>
      </c>
      <c r="U863" s="277"/>
      <c r="V863" s="38">
        <v>61198</v>
      </c>
      <c r="W863" s="38">
        <f t="shared" si="124"/>
        <v>13463.56</v>
      </c>
      <c r="X863" s="38">
        <f t="shared" si="125"/>
        <v>74661.56</v>
      </c>
    </row>
    <row r="864" spans="1:24" ht="30" customHeight="1" x14ac:dyDescent="0.35">
      <c r="A864" s="56" t="s">
        <v>3099</v>
      </c>
      <c r="B864" s="2">
        <v>826</v>
      </c>
      <c r="C864" s="109">
        <v>102001102</v>
      </c>
      <c r="D864" s="110" t="s">
        <v>858</v>
      </c>
      <c r="E864" s="74" t="s">
        <v>2147</v>
      </c>
      <c r="F864" s="114">
        <v>4</v>
      </c>
      <c r="G864" s="64" t="s">
        <v>0</v>
      </c>
      <c r="H864" s="111" t="s">
        <v>2145</v>
      </c>
      <c r="I864" s="63" t="s">
        <v>972</v>
      </c>
      <c r="J864" s="112" t="s">
        <v>959</v>
      </c>
      <c r="K864" s="63" t="s">
        <v>961</v>
      </c>
      <c r="L864" s="61" t="s">
        <v>845</v>
      </c>
      <c r="M864" s="65">
        <f t="shared" si="120"/>
        <v>188115</v>
      </c>
      <c r="N864" s="65">
        <f t="shared" si="121"/>
        <v>47028.75</v>
      </c>
      <c r="O864" s="65">
        <v>188115</v>
      </c>
      <c r="P864" s="65">
        <v>123630</v>
      </c>
      <c r="Q864" s="65">
        <f t="shared" si="122"/>
        <v>27198.6</v>
      </c>
      <c r="R864" s="65">
        <f t="shared" si="123"/>
        <v>150828.6</v>
      </c>
      <c r="S864" s="272"/>
      <c r="T864" s="64">
        <v>35</v>
      </c>
      <c r="U864" s="277"/>
      <c r="V864" s="38">
        <v>154533</v>
      </c>
      <c r="W864" s="38">
        <f t="shared" si="124"/>
        <v>33997.26</v>
      </c>
      <c r="X864" s="38">
        <f t="shared" si="125"/>
        <v>188530.26</v>
      </c>
    </row>
    <row r="865" spans="1:24" ht="30" customHeight="1" x14ac:dyDescent="0.35">
      <c r="A865" s="56" t="s">
        <v>3100</v>
      </c>
      <c r="B865" s="2">
        <v>827</v>
      </c>
      <c r="C865" s="109">
        <v>102001266</v>
      </c>
      <c r="D865" s="110" t="s">
        <v>859</v>
      </c>
      <c r="E865" s="74" t="s">
        <v>2147</v>
      </c>
      <c r="F865" s="114">
        <v>2</v>
      </c>
      <c r="G865" s="64" t="s">
        <v>0</v>
      </c>
      <c r="H865" s="111" t="s">
        <v>2145</v>
      </c>
      <c r="I865" s="63" t="s">
        <v>972</v>
      </c>
      <c r="J865" s="112" t="s">
        <v>959</v>
      </c>
      <c r="K865" s="63" t="s">
        <v>961</v>
      </c>
      <c r="L865" s="61" t="s">
        <v>845</v>
      </c>
      <c r="M865" s="65">
        <f t="shared" si="120"/>
        <v>109600</v>
      </c>
      <c r="N865" s="65">
        <f t="shared" si="121"/>
        <v>54800</v>
      </c>
      <c r="O865" s="65">
        <v>109600</v>
      </c>
      <c r="P865" s="65">
        <v>72030</v>
      </c>
      <c r="Q865" s="65">
        <f t="shared" si="122"/>
        <v>15846.6</v>
      </c>
      <c r="R865" s="65">
        <f t="shared" si="123"/>
        <v>87876.6</v>
      </c>
      <c r="S865" s="272"/>
      <c r="T865" s="64">
        <v>35</v>
      </c>
      <c r="U865" s="277"/>
      <c r="V865" s="38">
        <v>90034</v>
      </c>
      <c r="W865" s="38">
        <f t="shared" si="124"/>
        <v>19807.48</v>
      </c>
      <c r="X865" s="38">
        <f t="shared" si="125"/>
        <v>109841.48</v>
      </c>
    </row>
    <row r="866" spans="1:24" ht="30" customHeight="1" x14ac:dyDescent="0.35">
      <c r="A866" s="56" t="s">
        <v>3101</v>
      </c>
      <c r="B866" s="2">
        <v>828</v>
      </c>
      <c r="C866" s="109">
        <v>102001063</v>
      </c>
      <c r="D866" s="110" t="s">
        <v>860</v>
      </c>
      <c r="E866" s="74" t="s">
        <v>2147</v>
      </c>
      <c r="F866" s="114">
        <v>2</v>
      </c>
      <c r="G866" s="64" t="s">
        <v>0</v>
      </c>
      <c r="H866" s="111" t="s">
        <v>2145</v>
      </c>
      <c r="I866" s="63" t="s">
        <v>972</v>
      </c>
      <c r="J866" s="112" t="s">
        <v>959</v>
      </c>
      <c r="K866" s="63" t="s">
        <v>961</v>
      </c>
      <c r="L866" s="61" t="s">
        <v>845</v>
      </c>
      <c r="M866" s="65">
        <f t="shared" si="120"/>
        <v>106760</v>
      </c>
      <c r="N866" s="65">
        <f t="shared" si="121"/>
        <v>53380</v>
      </c>
      <c r="O866" s="65">
        <v>106760</v>
      </c>
      <c r="P866" s="65">
        <v>70160</v>
      </c>
      <c r="Q866" s="65">
        <f t="shared" si="122"/>
        <v>15435.2</v>
      </c>
      <c r="R866" s="65">
        <f t="shared" si="123"/>
        <v>85595.199999999997</v>
      </c>
      <c r="S866" s="272"/>
      <c r="T866" s="64">
        <v>35</v>
      </c>
      <c r="U866" s="277"/>
      <c r="V866" s="38">
        <v>87701</v>
      </c>
      <c r="W866" s="38">
        <f t="shared" si="124"/>
        <v>19294.22</v>
      </c>
      <c r="X866" s="38">
        <f t="shared" si="125"/>
        <v>106995.22</v>
      </c>
    </row>
    <row r="867" spans="1:24" ht="30" customHeight="1" x14ac:dyDescent="0.35">
      <c r="A867" s="56" t="s">
        <v>3102</v>
      </c>
      <c r="B867" s="2">
        <v>829</v>
      </c>
      <c r="C867" s="109">
        <v>102001310</v>
      </c>
      <c r="D867" s="110" t="s">
        <v>861</v>
      </c>
      <c r="E867" s="74" t="s">
        <v>2147</v>
      </c>
      <c r="F867" s="114">
        <v>3</v>
      </c>
      <c r="G867" s="64" t="s">
        <v>0</v>
      </c>
      <c r="H867" s="111" t="s">
        <v>2145</v>
      </c>
      <c r="I867" s="63" t="s">
        <v>972</v>
      </c>
      <c r="J867" s="112" t="s">
        <v>959</v>
      </c>
      <c r="K867" s="63" t="s">
        <v>961</v>
      </c>
      <c r="L867" s="61" t="s">
        <v>845</v>
      </c>
      <c r="M867" s="65">
        <f t="shared" si="120"/>
        <v>131790</v>
      </c>
      <c r="N867" s="65">
        <f t="shared" si="121"/>
        <v>43930</v>
      </c>
      <c r="O867" s="65">
        <v>131790</v>
      </c>
      <c r="P867" s="65">
        <v>86610</v>
      </c>
      <c r="Q867" s="65">
        <f t="shared" si="122"/>
        <v>19054.2</v>
      </c>
      <c r="R867" s="65">
        <f t="shared" si="123"/>
        <v>105664.2</v>
      </c>
      <c r="S867" s="272"/>
      <c r="T867" s="64">
        <v>35</v>
      </c>
      <c r="U867" s="277"/>
      <c r="V867" s="38">
        <v>108263</v>
      </c>
      <c r="W867" s="38">
        <f t="shared" si="124"/>
        <v>23817.86</v>
      </c>
      <c r="X867" s="38">
        <f t="shared" si="125"/>
        <v>132080.85999999999</v>
      </c>
    </row>
    <row r="868" spans="1:24" ht="30" customHeight="1" x14ac:dyDescent="0.35">
      <c r="A868" s="56" t="s">
        <v>3103</v>
      </c>
      <c r="B868" s="2">
        <v>830</v>
      </c>
      <c r="C868" s="109">
        <v>10137581</v>
      </c>
      <c r="D868" s="110" t="s">
        <v>862</v>
      </c>
      <c r="E868" s="74" t="s">
        <v>2147</v>
      </c>
      <c r="F868" s="91">
        <v>1</v>
      </c>
      <c r="G868" s="64" t="s">
        <v>0</v>
      </c>
      <c r="H868" s="111" t="s">
        <v>2145</v>
      </c>
      <c r="I868" s="63" t="s">
        <v>972</v>
      </c>
      <c r="J868" s="63" t="s">
        <v>1917</v>
      </c>
      <c r="K868" s="63" t="s">
        <v>961</v>
      </c>
      <c r="L868" s="61" t="s">
        <v>845</v>
      </c>
      <c r="M868" s="65">
        <f t="shared" si="120"/>
        <v>26790</v>
      </c>
      <c r="N868" s="65">
        <f t="shared" si="121"/>
        <v>26790</v>
      </c>
      <c r="O868" s="65">
        <v>26790</v>
      </c>
      <c r="P868" s="65">
        <v>17610</v>
      </c>
      <c r="Q868" s="65">
        <f t="shared" si="122"/>
        <v>3874.2</v>
      </c>
      <c r="R868" s="65">
        <f t="shared" si="123"/>
        <v>21484.2</v>
      </c>
      <c r="S868" s="272"/>
      <c r="T868" s="64">
        <v>35</v>
      </c>
      <c r="U868" s="277"/>
      <c r="V868" s="38">
        <v>22007</v>
      </c>
      <c r="W868" s="38">
        <f t="shared" si="124"/>
        <v>4841.54</v>
      </c>
      <c r="X868" s="38">
        <f t="shared" si="125"/>
        <v>26848.54</v>
      </c>
    </row>
    <row r="869" spans="1:24" ht="30" customHeight="1" x14ac:dyDescent="0.35">
      <c r="A869" s="56" t="s">
        <v>3104</v>
      </c>
      <c r="B869" s="2">
        <v>831</v>
      </c>
      <c r="C869" s="109">
        <v>102001213</v>
      </c>
      <c r="D869" s="110" t="s">
        <v>863</v>
      </c>
      <c r="E869" s="74" t="s">
        <v>2147</v>
      </c>
      <c r="F869" s="91">
        <v>1</v>
      </c>
      <c r="G869" s="64" t="s">
        <v>0</v>
      </c>
      <c r="H869" s="111" t="s">
        <v>2145</v>
      </c>
      <c r="I869" s="63" t="s">
        <v>972</v>
      </c>
      <c r="J869" s="112" t="s">
        <v>959</v>
      </c>
      <c r="K869" s="63" t="s">
        <v>961</v>
      </c>
      <c r="L869" s="61" t="s">
        <v>845</v>
      </c>
      <c r="M869" s="65">
        <f t="shared" si="120"/>
        <v>41980</v>
      </c>
      <c r="N869" s="65">
        <f t="shared" si="121"/>
        <v>41980</v>
      </c>
      <c r="O869" s="65">
        <v>41980</v>
      </c>
      <c r="P869" s="65">
        <v>27590</v>
      </c>
      <c r="Q869" s="65">
        <f t="shared" si="122"/>
        <v>6069.8</v>
      </c>
      <c r="R869" s="65">
        <f t="shared" si="123"/>
        <v>33659.800000000003</v>
      </c>
      <c r="S869" s="272"/>
      <c r="T869" s="64">
        <v>35</v>
      </c>
      <c r="U869" s="277"/>
      <c r="V869" s="38">
        <v>34486</v>
      </c>
      <c r="W869" s="38">
        <f t="shared" si="124"/>
        <v>7586.92</v>
      </c>
      <c r="X869" s="38">
        <f t="shared" si="125"/>
        <v>42072.92</v>
      </c>
    </row>
    <row r="870" spans="1:24" ht="30" customHeight="1" x14ac:dyDescent="0.35">
      <c r="A870" s="56" t="s">
        <v>3105</v>
      </c>
      <c r="B870" s="2">
        <v>832</v>
      </c>
      <c r="C870" s="109">
        <v>102001481</v>
      </c>
      <c r="D870" s="110" t="s">
        <v>864</v>
      </c>
      <c r="E870" s="74" t="s">
        <v>2147</v>
      </c>
      <c r="F870" s="91">
        <v>1</v>
      </c>
      <c r="G870" s="64" t="s">
        <v>0</v>
      </c>
      <c r="H870" s="111" t="s">
        <v>2145</v>
      </c>
      <c r="I870" s="63" t="s">
        <v>972</v>
      </c>
      <c r="J870" s="112" t="s">
        <v>959</v>
      </c>
      <c r="K870" s="63" t="s">
        <v>961</v>
      </c>
      <c r="L870" s="61" t="s">
        <v>845</v>
      </c>
      <c r="M870" s="65">
        <f t="shared" si="120"/>
        <v>28260</v>
      </c>
      <c r="N870" s="65">
        <f t="shared" si="121"/>
        <v>28260</v>
      </c>
      <c r="O870" s="65">
        <v>28260</v>
      </c>
      <c r="P870" s="65">
        <v>18570</v>
      </c>
      <c r="Q870" s="65">
        <f t="shared" si="122"/>
        <v>4085.4</v>
      </c>
      <c r="R870" s="65">
        <f t="shared" si="123"/>
        <v>22655.4</v>
      </c>
      <c r="S870" s="272"/>
      <c r="T870" s="64">
        <v>35</v>
      </c>
      <c r="U870" s="277"/>
      <c r="V870" s="38">
        <v>23215</v>
      </c>
      <c r="W870" s="38">
        <f t="shared" si="124"/>
        <v>5107.3</v>
      </c>
      <c r="X870" s="38">
        <f t="shared" si="125"/>
        <v>28322.3</v>
      </c>
    </row>
    <row r="871" spans="1:24" ht="15" customHeight="1" x14ac:dyDescent="0.35">
      <c r="A871" s="56" t="s">
        <v>3106</v>
      </c>
      <c r="B871" s="2">
        <v>833</v>
      </c>
      <c r="C871" s="109">
        <v>10137200</v>
      </c>
      <c r="D871" s="110" t="s">
        <v>865</v>
      </c>
      <c r="E871" s="74" t="s">
        <v>2147</v>
      </c>
      <c r="F871" s="114">
        <v>8</v>
      </c>
      <c r="G871" s="64" t="s">
        <v>0</v>
      </c>
      <c r="H871" s="111" t="s">
        <v>2145</v>
      </c>
      <c r="I871" s="63" t="s">
        <v>972</v>
      </c>
      <c r="J871" s="63" t="s">
        <v>1917</v>
      </c>
      <c r="K871" s="63" t="s">
        <v>961</v>
      </c>
      <c r="L871" s="61" t="s">
        <v>845</v>
      </c>
      <c r="M871" s="65">
        <f t="shared" si="120"/>
        <v>314739.58</v>
      </c>
      <c r="N871" s="65">
        <f t="shared" si="121"/>
        <v>39342.449999999997</v>
      </c>
      <c r="O871" s="65">
        <v>314739.58</v>
      </c>
      <c r="P871" s="65">
        <v>206840</v>
      </c>
      <c r="Q871" s="65">
        <f t="shared" si="122"/>
        <v>45504.800000000003</v>
      </c>
      <c r="R871" s="65">
        <f t="shared" si="123"/>
        <v>252344.8</v>
      </c>
      <c r="S871" s="272"/>
      <c r="T871" s="64">
        <v>35</v>
      </c>
      <c r="U871" s="277"/>
      <c r="V871" s="38">
        <v>258552</v>
      </c>
      <c r="W871" s="38">
        <f t="shared" si="124"/>
        <v>56881.440000000002</v>
      </c>
      <c r="X871" s="38">
        <f t="shared" si="125"/>
        <v>315433.44</v>
      </c>
    </row>
    <row r="872" spans="1:24" ht="15" customHeight="1" x14ac:dyDescent="0.35">
      <c r="A872" s="56" t="s">
        <v>3107</v>
      </c>
      <c r="B872" s="2">
        <v>834</v>
      </c>
      <c r="C872" s="109">
        <v>10137203</v>
      </c>
      <c r="D872" s="110" t="s">
        <v>866</v>
      </c>
      <c r="E872" s="74" t="s">
        <v>2147</v>
      </c>
      <c r="F872" s="114">
        <v>5</v>
      </c>
      <c r="G872" s="64" t="s">
        <v>0</v>
      </c>
      <c r="H872" s="111" t="s">
        <v>2145</v>
      </c>
      <c r="I872" s="63" t="s">
        <v>972</v>
      </c>
      <c r="J872" s="63" t="s">
        <v>1917</v>
      </c>
      <c r="K872" s="63" t="s">
        <v>961</v>
      </c>
      <c r="L872" s="61" t="s">
        <v>845</v>
      </c>
      <c r="M872" s="65">
        <f t="shared" si="120"/>
        <v>126275</v>
      </c>
      <c r="N872" s="65">
        <f t="shared" si="121"/>
        <v>25255</v>
      </c>
      <c r="O872" s="65">
        <v>126275</v>
      </c>
      <c r="P872" s="65">
        <v>82990</v>
      </c>
      <c r="Q872" s="65">
        <f t="shared" si="122"/>
        <v>18257.8</v>
      </c>
      <c r="R872" s="65">
        <f t="shared" si="123"/>
        <v>101247.8</v>
      </c>
      <c r="S872" s="272"/>
      <c r="T872" s="64">
        <v>35</v>
      </c>
      <c r="U872" s="277"/>
      <c r="V872" s="38">
        <v>103732</v>
      </c>
      <c r="W872" s="38">
        <f t="shared" si="124"/>
        <v>22821.040000000001</v>
      </c>
      <c r="X872" s="38">
        <f t="shared" si="125"/>
        <v>126553.04</v>
      </c>
    </row>
    <row r="873" spans="1:24" ht="15" customHeight="1" x14ac:dyDescent="0.35">
      <c r="A873" s="56" t="s">
        <v>3108</v>
      </c>
      <c r="B873" s="2">
        <v>835</v>
      </c>
      <c r="C873" s="109">
        <v>10137445</v>
      </c>
      <c r="D873" s="110" t="s">
        <v>867</v>
      </c>
      <c r="E873" s="74" t="s">
        <v>2147</v>
      </c>
      <c r="F873" s="114">
        <v>3</v>
      </c>
      <c r="G873" s="64" t="s">
        <v>0</v>
      </c>
      <c r="H873" s="111" t="s">
        <v>2145</v>
      </c>
      <c r="I873" s="63" t="s">
        <v>972</v>
      </c>
      <c r="J873" s="63" t="s">
        <v>1917</v>
      </c>
      <c r="K873" s="63" t="s">
        <v>961</v>
      </c>
      <c r="L873" s="61" t="s">
        <v>845</v>
      </c>
      <c r="M873" s="65">
        <f t="shared" si="120"/>
        <v>128994</v>
      </c>
      <c r="N873" s="65">
        <f t="shared" si="121"/>
        <v>42998</v>
      </c>
      <c r="O873" s="65">
        <v>128994</v>
      </c>
      <c r="P873" s="65">
        <v>84770</v>
      </c>
      <c r="Q873" s="65">
        <f t="shared" si="122"/>
        <v>18649.400000000001</v>
      </c>
      <c r="R873" s="65">
        <f t="shared" si="123"/>
        <v>103419.4</v>
      </c>
      <c r="S873" s="272"/>
      <c r="T873" s="64">
        <v>35</v>
      </c>
      <c r="U873" s="277"/>
      <c r="V873" s="38">
        <v>105966</v>
      </c>
      <c r="W873" s="38">
        <f t="shared" si="124"/>
        <v>23312.52</v>
      </c>
      <c r="X873" s="38">
        <f t="shared" si="125"/>
        <v>129278.52</v>
      </c>
    </row>
    <row r="874" spans="1:24" ht="15" customHeight="1" x14ac:dyDescent="0.35">
      <c r="A874" s="56" t="s">
        <v>3113</v>
      </c>
      <c r="B874" s="2">
        <v>836</v>
      </c>
      <c r="C874" s="77">
        <v>102001097</v>
      </c>
      <c r="D874" s="74" t="s">
        <v>556</v>
      </c>
      <c r="E874" s="74" t="s">
        <v>2157</v>
      </c>
      <c r="F874" s="91">
        <v>1</v>
      </c>
      <c r="G874" s="64" t="s">
        <v>0</v>
      </c>
      <c r="H874" s="124">
        <v>42004</v>
      </c>
      <c r="I874" s="64" t="s">
        <v>2094</v>
      </c>
      <c r="J874" s="63" t="s">
        <v>1917</v>
      </c>
      <c r="K874" s="158" t="s">
        <v>2095</v>
      </c>
      <c r="L874" s="64" t="s">
        <v>845</v>
      </c>
      <c r="M874" s="65">
        <f t="shared" si="120"/>
        <v>51407.25</v>
      </c>
      <c r="N874" s="65">
        <f t="shared" si="121"/>
        <v>51407.25</v>
      </c>
      <c r="O874" s="65">
        <v>51407.25</v>
      </c>
      <c r="P874" s="65">
        <v>30130</v>
      </c>
      <c r="Q874" s="65">
        <f t="shared" si="122"/>
        <v>6628.6</v>
      </c>
      <c r="R874" s="65">
        <f t="shared" si="123"/>
        <v>36758.6</v>
      </c>
      <c r="S874" s="272"/>
      <c r="T874" s="64">
        <v>35</v>
      </c>
      <c r="U874" s="277"/>
      <c r="V874" s="38">
        <v>37661</v>
      </c>
      <c r="W874" s="38">
        <f t="shared" si="124"/>
        <v>8285.42</v>
      </c>
      <c r="X874" s="38">
        <f t="shared" si="125"/>
        <v>45946.42</v>
      </c>
    </row>
    <row r="875" spans="1:24" ht="15" customHeight="1" x14ac:dyDescent="0.35">
      <c r="A875" s="56" t="s">
        <v>4070</v>
      </c>
      <c r="B875" s="2">
        <v>837</v>
      </c>
      <c r="C875" s="89">
        <v>10108565</v>
      </c>
      <c r="D875" s="106" t="s">
        <v>244</v>
      </c>
      <c r="E875" s="74" t="s">
        <v>686</v>
      </c>
      <c r="F875" s="75">
        <v>1</v>
      </c>
      <c r="G875" s="64" t="s">
        <v>0</v>
      </c>
      <c r="H875" s="61">
        <v>42558</v>
      </c>
      <c r="I875" s="107" t="s">
        <v>976</v>
      </c>
      <c r="J875" s="63" t="s">
        <v>1917</v>
      </c>
      <c r="K875" s="108" t="s">
        <v>4071</v>
      </c>
      <c r="L875" s="64" t="s">
        <v>845</v>
      </c>
      <c r="M875" s="65">
        <f>O875</f>
        <v>41914.949999999997</v>
      </c>
      <c r="N875" s="65">
        <f>O875/F875</f>
        <v>41914.949999999997</v>
      </c>
      <c r="O875" s="65">
        <v>41914.949999999997</v>
      </c>
      <c r="P875" s="65">
        <v>21640</v>
      </c>
      <c r="Q875" s="65">
        <f t="shared" si="122"/>
        <v>4760.8</v>
      </c>
      <c r="R875" s="65">
        <f t="shared" si="123"/>
        <v>26400.799999999999</v>
      </c>
      <c r="S875" s="272"/>
      <c r="T875" s="64">
        <v>35</v>
      </c>
      <c r="U875" s="277"/>
      <c r="V875" s="38">
        <v>27055</v>
      </c>
      <c r="W875" s="38">
        <f t="shared" si="124"/>
        <v>5952.1</v>
      </c>
      <c r="X875" s="38">
        <f t="shared" si="125"/>
        <v>33007.1</v>
      </c>
    </row>
    <row r="876" spans="1:24" ht="15" customHeight="1" x14ac:dyDescent="0.35">
      <c r="A876" s="56" t="s">
        <v>4076</v>
      </c>
      <c r="B876" s="2">
        <v>838</v>
      </c>
      <c r="C876" s="89">
        <v>10127605</v>
      </c>
      <c r="D876" s="106" t="s">
        <v>249</v>
      </c>
      <c r="E876" s="74" t="s">
        <v>686</v>
      </c>
      <c r="F876" s="91">
        <v>2</v>
      </c>
      <c r="G876" s="64" t="s">
        <v>0</v>
      </c>
      <c r="H876" s="61">
        <v>42004</v>
      </c>
      <c r="I876" s="107" t="s">
        <v>976</v>
      </c>
      <c r="J876" s="63" t="s">
        <v>1917</v>
      </c>
      <c r="K876" s="108" t="s">
        <v>4077</v>
      </c>
      <c r="L876" s="64" t="s">
        <v>845</v>
      </c>
      <c r="M876" s="65">
        <f>O876</f>
        <v>206372.74</v>
      </c>
      <c r="N876" s="65">
        <f>O876/F876</f>
        <v>103186.37</v>
      </c>
      <c r="O876" s="65">
        <v>206372.74</v>
      </c>
      <c r="P876" s="65">
        <v>120950</v>
      </c>
      <c r="Q876" s="65">
        <f t="shared" si="122"/>
        <v>26609</v>
      </c>
      <c r="R876" s="65">
        <f t="shared" si="123"/>
        <v>147559</v>
      </c>
      <c r="S876" s="272"/>
      <c r="T876" s="64">
        <v>35</v>
      </c>
      <c r="U876" s="277"/>
      <c r="V876" s="38">
        <v>151189</v>
      </c>
      <c r="W876" s="38">
        <f t="shared" si="124"/>
        <v>33261.58</v>
      </c>
      <c r="X876" s="38">
        <f t="shared" si="125"/>
        <v>184450.58</v>
      </c>
    </row>
    <row r="877" spans="1:24" ht="15" customHeight="1" x14ac:dyDescent="0.35">
      <c r="A877" s="260" t="s">
        <v>4080</v>
      </c>
      <c r="B877" s="2">
        <v>839</v>
      </c>
      <c r="C877" s="159">
        <v>102001069</v>
      </c>
      <c r="D877" s="160" t="s">
        <v>4060</v>
      </c>
      <c r="E877" s="161" t="s">
        <v>2184</v>
      </c>
      <c r="F877" s="162">
        <v>2</v>
      </c>
      <c r="G877" s="163" t="s">
        <v>0</v>
      </c>
      <c r="H877" s="164">
        <v>42004</v>
      </c>
      <c r="I877" s="165" t="s">
        <v>976</v>
      </c>
      <c r="J877" s="166" t="s">
        <v>1917</v>
      </c>
      <c r="K877" s="167" t="s">
        <v>4081</v>
      </c>
      <c r="L877" s="163" t="s">
        <v>845</v>
      </c>
      <c r="M877" s="102">
        <f>O877</f>
        <v>97568.03</v>
      </c>
      <c r="N877" s="102">
        <f>O877/F877</f>
        <v>48784.02</v>
      </c>
      <c r="O877" s="102">
        <v>97568.03</v>
      </c>
      <c r="P877" s="65">
        <v>57180</v>
      </c>
      <c r="Q877" s="65">
        <f t="shared" si="122"/>
        <v>12579.6</v>
      </c>
      <c r="R877" s="65">
        <f t="shared" si="123"/>
        <v>69759.600000000006</v>
      </c>
      <c r="S877" s="276"/>
      <c r="T877" s="64">
        <v>35</v>
      </c>
      <c r="U877" s="277"/>
      <c r="V877" s="38">
        <v>71478</v>
      </c>
      <c r="W877" s="38">
        <f t="shared" si="124"/>
        <v>15725.16</v>
      </c>
      <c r="X877" s="38">
        <f t="shared" si="125"/>
        <v>87203.16</v>
      </c>
    </row>
    <row r="878" spans="1:24" ht="15" customHeight="1" x14ac:dyDescent="0.35">
      <c r="A878" s="56"/>
      <c r="B878" s="15"/>
      <c r="C878" s="77"/>
      <c r="D878" s="74"/>
      <c r="E878" s="74"/>
      <c r="F878" s="91"/>
      <c r="G878" s="64"/>
      <c r="H878" s="124"/>
      <c r="I878" s="64"/>
      <c r="J878" s="63"/>
      <c r="K878" s="158"/>
      <c r="L878" s="64"/>
      <c r="M878" s="65"/>
      <c r="N878" s="65"/>
      <c r="O878" s="126">
        <f>SUM(O756:O877)</f>
        <v>7503233.1500000004</v>
      </c>
      <c r="P878" s="126">
        <f t="shared" ref="P878:R878" si="126">SUM(P756:P877)</f>
        <v>4483625</v>
      </c>
      <c r="Q878" s="126">
        <f t="shared" si="126"/>
        <v>986397.5</v>
      </c>
      <c r="R878" s="126">
        <f t="shared" si="126"/>
        <v>5470022.5</v>
      </c>
      <c r="S878" s="72">
        <f>R878/100*10</f>
        <v>547002.25</v>
      </c>
      <c r="T878" s="73">
        <v>35</v>
      </c>
      <c r="U878" s="277"/>
      <c r="V878" s="38"/>
      <c r="W878" s="38"/>
      <c r="X878" s="38"/>
    </row>
    <row r="879" spans="1:24" ht="15" customHeight="1" x14ac:dyDescent="0.35">
      <c r="A879" s="261" t="s">
        <v>3114</v>
      </c>
      <c r="B879" s="266">
        <v>840</v>
      </c>
      <c r="C879" s="168">
        <v>102001160</v>
      </c>
      <c r="D879" s="169" t="s">
        <v>878</v>
      </c>
      <c r="E879" s="170" t="s">
        <v>2151</v>
      </c>
      <c r="F879" s="171">
        <v>2</v>
      </c>
      <c r="G879" s="135" t="s">
        <v>0</v>
      </c>
      <c r="H879" s="172">
        <v>42004</v>
      </c>
      <c r="I879" s="158" t="s">
        <v>972</v>
      </c>
      <c r="J879" s="158" t="s">
        <v>1917</v>
      </c>
      <c r="K879" s="158" t="s">
        <v>961</v>
      </c>
      <c r="L879" s="173" t="s">
        <v>845</v>
      </c>
      <c r="M879" s="174">
        <f t="shared" ref="M879:M941" si="127">O879</f>
        <v>216979</v>
      </c>
      <c r="N879" s="174">
        <f t="shared" ref="N879:N924" si="128">O879/F879</f>
        <v>108489.5</v>
      </c>
      <c r="O879" s="174">
        <v>216979</v>
      </c>
      <c r="P879" s="65">
        <v>138450</v>
      </c>
      <c r="Q879" s="65">
        <f t="shared" si="122"/>
        <v>30459</v>
      </c>
      <c r="R879" s="65">
        <f t="shared" si="123"/>
        <v>168909</v>
      </c>
      <c r="S879" s="267"/>
      <c r="T879" s="135">
        <v>36</v>
      </c>
      <c r="U879" s="270" t="s">
        <v>2267</v>
      </c>
      <c r="V879" s="38">
        <v>158959</v>
      </c>
      <c r="W879" s="38">
        <f t="shared" si="124"/>
        <v>34970.980000000003</v>
      </c>
      <c r="X879" s="38">
        <f t="shared" si="125"/>
        <v>193929.98</v>
      </c>
    </row>
    <row r="880" spans="1:24" ht="15" customHeight="1" x14ac:dyDescent="0.35">
      <c r="A880" s="261" t="s">
        <v>3115</v>
      </c>
      <c r="B880" s="266">
        <v>841</v>
      </c>
      <c r="C880" s="175">
        <v>102001097</v>
      </c>
      <c r="D880" s="176" t="s">
        <v>879</v>
      </c>
      <c r="E880" s="103" t="s">
        <v>2151</v>
      </c>
      <c r="F880" s="171">
        <v>3</v>
      </c>
      <c r="G880" s="135" t="s">
        <v>0</v>
      </c>
      <c r="H880" s="172">
        <v>42004</v>
      </c>
      <c r="I880" s="158" t="s">
        <v>972</v>
      </c>
      <c r="J880" s="158" t="s">
        <v>1917</v>
      </c>
      <c r="K880" s="158" t="s">
        <v>961</v>
      </c>
      <c r="L880" s="173" t="s">
        <v>845</v>
      </c>
      <c r="M880" s="174">
        <f t="shared" si="127"/>
        <v>149417.25</v>
      </c>
      <c r="N880" s="174">
        <f t="shared" si="128"/>
        <v>49805.75</v>
      </c>
      <c r="O880" s="174">
        <v>149417.25</v>
      </c>
      <c r="P880" s="65">
        <v>95340</v>
      </c>
      <c r="Q880" s="65">
        <f t="shared" si="122"/>
        <v>20974.799999999999</v>
      </c>
      <c r="R880" s="65">
        <f t="shared" si="123"/>
        <v>116314.8</v>
      </c>
      <c r="S880" s="272"/>
      <c r="T880" s="135">
        <v>36</v>
      </c>
      <c r="U880" s="270"/>
      <c r="V880" s="38">
        <v>109463</v>
      </c>
      <c r="W880" s="38">
        <f t="shared" si="124"/>
        <v>24081.86</v>
      </c>
      <c r="X880" s="38">
        <f t="shared" si="125"/>
        <v>133544.85999999999</v>
      </c>
    </row>
    <row r="881" spans="1:24" ht="45" customHeight="1" x14ac:dyDescent="0.35">
      <c r="A881" s="261" t="s">
        <v>3116</v>
      </c>
      <c r="B881" s="135">
        <v>842</v>
      </c>
      <c r="C881" s="175">
        <v>102002108</v>
      </c>
      <c r="D881" s="176" t="s">
        <v>880</v>
      </c>
      <c r="E881" s="103" t="s">
        <v>2151</v>
      </c>
      <c r="F881" s="177">
        <v>1</v>
      </c>
      <c r="G881" s="135" t="s">
        <v>0</v>
      </c>
      <c r="H881" s="172">
        <v>42004</v>
      </c>
      <c r="I881" s="158" t="s">
        <v>972</v>
      </c>
      <c r="J881" s="158" t="s">
        <v>1917</v>
      </c>
      <c r="K881" s="158" t="s">
        <v>961</v>
      </c>
      <c r="L881" s="173" t="s">
        <v>845</v>
      </c>
      <c r="M881" s="174">
        <f t="shared" si="127"/>
        <v>24744.59</v>
      </c>
      <c r="N881" s="174">
        <f t="shared" si="128"/>
        <v>24744.59</v>
      </c>
      <c r="O881" s="174">
        <v>24744.59</v>
      </c>
      <c r="P881" s="65">
        <v>15790</v>
      </c>
      <c r="Q881" s="65">
        <f t="shared" si="122"/>
        <v>3473.8</v>
      </c>
      <c r="R881" s="65">
        <f t="shared" si="123"/>
        <v>19263.8</v>
      </c>
      <c r="S881" s="272"/>
      <c r="T881" s="135">
        <v>36</v>
      </c>
      <c r="U881" s="270"/>
      <c r="V881" s="38">
        <v>18128</v>
      </c>
      <c r="W881" s="38">
        <f t="shared" si="124"/>
        <v>3988.16</v>
      </c>
      <c r="X881" s="38">
        <f t="shared" si="125"/>
        <v>22116.16</v>
      </c>
    </row>
    <row r="882" spans="1:24" ht="45" customHeight="1" x14ac:dyDescent="0.35">
      <c r="A882" s="261" t="s">
        <v>3117</v>
      </c>
      <c r="B882" s="266">
        <v>843</v>
      </c>
      <c r="C882" s="175">
        <v>102002093</v>
      </c>
      <c r="D882" s="176" t="s">
        <v>881</v>
      </c>
      <c r="E882" s="103" t="s">
        <v>2151</v>
      </c>
      <c r="F882" s="177">
        <v>1</v>
      </c>
      <c r="G882" s="135" t="s">
        <v>0</v>
      </c>
      <c r="H882" s="172">
        <v>42004</v>
      </c>
      <c r="I882" s="158" t="s">
        <v>972</v>
      </c>
      <c r="J882" s="158" t="s">
        <v>1917</v>
      </c>
      <c r="K882" s="158" t="s">
        <v>961</v>
      </c>
      <c r="L882" s="173" t="s">
        <v>845</v>
      </c>
      <c r="M882" s="174">
        <f t="shared" si="127"/>
        <v>23744</v>
      </c>
      <c r="N882" s="174">
        <f t="shared" si="128"/>
        <v>23744</v>
      </c>
      <c r="O882" s="174">
        <v>23744</v>
      </c>
      <c r="P882" s="65">
        <v>15150</v>
      </c>
      <c r="Q882" s="65">
        <f t="shared" si="122"/>
        <v>3333</v>
      </c>
      <c r="R882" s="65">
        <f t="shared" si="123"/>
        <v>18483</v>
      </c>
      <c r="S882" s="272"/>
      <c r="T882" s="135">
        <v>36</v>
      </c>
      <c r="U882" s="270"/>
      <c r="V882" s="38">
        <v>17395</v>
      </c>
      <c r="W882" s="38">
        <f t="shared" si="124"/>
        <v>3826.9</v>
      </c>
      <c r="X882" s="38">
        <f t="shared" si="125"/>
        <v>21221.9</v>
      </c>
    </row>
    <row r="883" spans="1:24" ht="45" customHeight="1" x14ac:dyDescent="0.35">
      <c r="A883" s="261" t="s">
        <v>3118</v>
      </c>
      <c r="B883" s="266">
        <v>844</v>
      </c>
      <c r="C883" s="175">
        <v>102001222</v>
      </c>
      <c r="D883" s="176" t="s">
        <v>882</v>
      </c>
      <c r="E883" s="103" t="s">
        <v>2151</v>
      </c>
      <c r="F883" s="177">
        <v>1</v>
      </c>
      <c r="G883" s="135" t="s">
        <v>0</v>
      </c>
      <c r="H883" s="172">
        <v>42004</v>
      </c>
      <c r="I883" s="158" t="s">
        <v>972</v>
      </c>
      <c r="J883" s="158" t="s">
        <v>1917</v>
      </c>
      <c r="K883" s="158" t="s">
        <v>961</v>
      </c>
      <c r="L883" s="173" t="s">
        <v>845</v>
      </c>
      <c r="M883" s="174">
        <f t="shared" si="127"/>
        <v>23750.71</v>
      </c>
      <c r="N883" s="174">
        <f t="shared" si="128"/>
        <v>23750.71</v>
      </c>
      <c r="O883" s="174">
        <v>23750.71</v>
      </c>
      <c r="P883" s="65">
        <v>15160</v>
      </c>
      <c r="Q883" s="65">
        <f t="shared" si="122"/>
        <v>3335.2</v>
      </c>
      <c r="R883" s="65">
        <f t="shared" si="123"/>
        <v>18495.2</v>
      </c>
      <c r="S883" s="272"/>
      <c r="T883" s="135">
        <v>36</v>
      </c>
      <c r="U883" s="270"/>
      <c r="V883" s="38">
        <v>17400</v>
      </c>
      <c r="W883" s="38">
        <f t="shared" si="124"/>
        <v>3828</v>
      </c>
      <c r="X883" s="38">
        <f t="shared" si="125"/>
        <v>21228</v>
      </c>
    </row>
    <row r="884" spans="1:24" ht="45" customHeight="1" x14ac:dyDescent="0.35">
      <c r="A884" s="261" t="s">
        <v>3119</v>
      </c>
      <c r="B884" s="135">
        <v>845</v>
      </c>
      <c r="C884" s="175">
        <v>102002120</v>
      </c>
      <c r="D884" s="176" t="s">
        <v>883</v>
      </c>
      <c r="E884" s="103" t="s">
        <v>2151</v>
      </c>
      <c r="F884" s="177">
        <v>1</v>
      </c>
      <c r="G884" s="135" t="s">
        <v>0</v>
      </c>
      <c r="H884" s="172">
        <v>42004</v>
      </c>
      <c r="I884" s="158" t="s">
        <v>972</v>
      </c>
      <c r="J884" s="158" t="s">
        <v>1917</v>
      </c>
      <c r="K884" s="158" t="s">
        <v>961</v>
      </c>
      <c r="L884" s="173" t="s">
        <v>845</v>
      </c>
      <c r="M884" s="174">
        <f t="shared" si="127"/>
        <v>22357.53</v>
      </c>
      <c r="N884" s="174">
        <f t="shared" si="128"/>
        <v>22357.53</v>
      </c>
      <c r="O884" s="174">
        <v>22357.53</v>
      </c>
      <c r="P884" s="65">
        <v>14270</v>
      </c>
      <c r="Q884" s="65">
        <f t="shared" si="122"/>
        <v>3139.4</v>
      </c>
      <c r="R884" s="65">
        <f t="shared" si="123"/>
        <v>17409.400000000001</v>
      </c>
      <c r="S884" s="272"/>
      <c r="T884" s="135">
        <v>36</v>
      </c>
      <c r="U884" s="270"/>
      <c r="V884" s="38">
        <v>16379</v>
      </c>
      <c r="W884" s="38">
        <f t="shared" si="124"/>
        <v>3603.38</v>
      </c>
      <c r="X884" s="38">
        <f t="shared" si="125"/>
        <v>19982.38</v>
      </c>
    </row>
    <row r="885" spans="1:24" ht="18.75" customHeight="1" x14ac:dyDescent="0.35">
      <c r="A885" s="261" t="s">
        <v>3120</v>
      </c>
      <c r="B885" s="266">
        <v>846</v>
      </c>
      <c r="C885" s="175">
        <v>102002066</v>
      </c>
      <c r="D885" s="176" t="s">
        <v>884</v>
      </c>
      <c r="E885" s="103" t="s">
        <v>2151</v>
      </c>
      <c r="F885" s="171">
        <v>2</v>
      </c>
      <c r="G885" s="135" t="s">
        <v>0</v>
      </c>
      <c r="H885" s="172">
        <v>42004</v>
      </c>
      <c r="I885" s="158" t="s">
        <v>972</v>
      </c>
      <c r="J885" s="158" t="s">
        <v>1917</v>
      </c>
      <c r="K885" s="158" t="s">
        <v>961</v>
      </c>
      <c r="L885" s="173" t="s">
        <v>845</v>
      </c>
      <c r="M885" s="174">
        <f t="shared" si="127"/>
        <v>50140.02</v>
      </c>
      <c r="N885" s="174">
        <f t="shared" si="128"/>
        <v>25070.01</v>
      </c>
      <c r="O885" s="174">
        <v>50140.02</v>
      </c>
      <c r="P885" s="65">
        <v>31990</v>
      </c>
      <c r="Q885" s="65">
        <f t="shared" si="122"/>
        <v>7037.8</v>
      </c>
      <c r="R885" s="65">
        <f t="shared" si="123"/>
        <v>39027.800000000003</v>
      </c>
      <c r="S885" s="272"/>
      <c r="T885" s="135">
        <v>36</v>
      </c>
      <c r="U885" s="270"/>
      <c r="V885" s="38">
        <v>36733</v>
      </c>
      <c r="W885" s="38">
        <f t="shared" si="124"/>
        <v>8081.26</v>
      </c>
      <c r="X885" s="38">
        <f t="shared" si="125"/>
        <v>44814.26</v>
      </c>
    </row>
    <row r="886" spans="1:24" ht="30" customHeight="1" x14ac:dyDescent="0.35">
      <c r="A886" s="261" t="s">
        <v>3121</v>
      </c>
      <c r="B886" s="266">
        <v>847</v>
      </c>
      <c r="C886" s="175">
        <v>102002133</v>
      </c>
      <c r="D886" s="176" t="s">
        <v>885</v>
      </c>
      <c r="E886" s="103" t="s">
        <v>2151</v>
      </c>
      <c r="F886" s="177">
        <v>1</v>
      </c>
      <c r="G886" s="135" t="s">
        <v>0</v>
      </c>
      <c r="H886" s="172">
        <v>42004</v>
      </c>
      <c r="I886" s="158" t="s">
        <v>972</v>
      </c>
      <c r="J886" s="158" t="s">
        <v>1917</v>
      </c>
      <c r="K886" s="158" t="s">
        <v>961</v>
      </c>
      <c r="L886" s="173" t="s">
        <v>845</v>
      </c>
      <c r="M886" s="174">
        <f t="shared" si="127"/>
        <v>33173</v>
      </c>
      <c r="N886" s="174">
        <f t="shared" si="128"/>
        <v>33173</v>
      </c>
      <c r="O886" s="174">
        <v>33173</v>
      </c>
      <c r="P886" s="65">
        <v>21170</v>
      </c>
      <c r="Q886" s="65">
        <f t="shared" si="122"/>
        <v>4657.3999999999996</v>
      </c>
      <c r="R886" s="65">
        <f t="shared" si="123"/>
        <v>25827.4</v>
      </c>
      <c r="S886" s="272"/>
      <c r="T886" s="135">
        <v>36</v>
      </c>
      <c r="U886" s="270"/>
      <c r="V886" s="38">
        <v>24303</v>
      </c>
      <c r="W886" s="38">
        <f t="shared" si="124"/>
        <v>5346.66</v>
      </c>
      <c r="X886" s="38">
        <f t="shared" si="125"/>
        <v>29649.66</v>
      </c>
    </row>
    <row r="887" spans="1:24" ht="30" customHeight="1" x14ac:dyDescent="0.35">
      <c r="A887" s="261" t="s">
        <v>3122</v>
      </c>
      <c r="B887" s="135">
        <v>848</v>
      </c>
      <c r="C887" s="175">
        <v>102000955</v>
      </c>
      <c r="D887" s="176" t="s">
        <v>886</v>
      </c>
      <c r="E887" s="103" t="s">
        <v>2151</v>
      </c>
      <c r="F887" s="177">
        <v>1</v>
      </c>
      <c r="G887" s="135" t="s">
        <v>0</v>
      </c>
      <c r="H887" s="172">
        <v>42004</v>
      </c>
      <c r="I887" s="158" t="s">
        <v>972</v>
      </c>
      <c r="J887" s="158" t="s">
        <v>1917</v>
      </c>
      <c r="K887" s="158" t="s">
        <v>961</v>
      </c>
      <c r="L887" s="173" t="s">
        <v>845</v>
      </c>
      <c r="M887" s="174">
        <f t="shared" si="127"/>
        <v>28234.65</v>
      </c>
      <c r="N887" s="174">
        <f t="shared" si="128"/>
        <v>28234.65</v>
      </c>
      <c r="O887" s="174">
        <v>28234.65</v>
      </c>
      <c r="P887" s="65">
        <v>18020</v>
      </c>
      <c r="Q887" s="65">
        <f t="shared" si="122"/>
        <v>3964.4</v>
      </c>
      <c r="R887" s="65">
        <f t="shared" si="123"/>
        <v>21984.400000000001</v>
      </c>
      <c r="S887" s="272"/>
      <c r="T887" s="135">
        <v>36</v>
      </c>
      <c r="U887" s="270"/>
      <c r="V887" s="38">
        <v>20685</v>
      </c>
      <c r="W887" s="38">
        <f t="shared" si="124"/>
        <v>4550.7</v>
      </c>
      <c r="X887" s="38">
        <f t="shared" si="125"/>
        <v>25235.7</v>
      </c>
    </row>
    <row r="888" spans="1:24" ht="30" customHeight="1" x14ac:dyDescent="0.35">
      <c r="A888" s="261" t="s">
        <v>3123</v>
      </c>
      <c r="B888" s="266">
        <v>849</v>
      </c>
      <c r="C888" s="175">
        <v>102001069</v>
      </c>
      <c r="D888" s="176" t="s">
        <v>888</v>
      </c>
      <c r="E888" s="103" t="s">
        <v>2151</v>
      </c>
      <c r="F888" s="177">
        <v>1</v>
      </c>
      <c r="G888" s="135" t="s">
        <v>0</v>
      </c>
      <c r="H888" s="172">
        <v>42004</v>
      </c>
      <c r="I888" s="158" t="s">
        <v>972</v>
      </c>
      <c r="J888" s="158" t="s">
        <v>1917</v>
      </c>
      <c r="K888" s="158" t="s">
        <v>961</v>
      </c>
      <c r="L888" s="173" t="s">
        <v>845</v>
      </c>
      <c r="M888" s="174">
        <f t="shared" si="127"/>
        <v>31368.09</v>
      </c>
      <c r="N888" s="174">
        <f t="shared" si="128"/>
        <v>31368.09</v>
      </c>
      <c r="O888" s="174">
        <v>31368.09</v>
      </c>
      <c r="P888" s="65">
        <v>20020</v>
      </c>
      <c r="Q888" s="65">
        <f t="shared" si="122"/>
        <v>4404.3999999999996</v>
      </c>
      <c r="R888" s="65">
        <f t="shared" si="123"/>
        <v>24424.400000000001</v>
      </c>
      <c r="S888" s="272"/>
      <c r="T888" s="135">
        <v>36</v>
      </c>
      <c r="U888" s="270"/>
      <c r="V888" s="38">
        <v>22980</v>
      </c>
      <c r="W888" s="38">
        <f t="shared" si="124"/>
        <v>5055.6000000000004</v>
      </c>
      <c r="X888" s="38">
        <f t="shared" si="125"/>
        <v>28035.599999999999</v>
      </c>
    </row>
    <row r="889" spans="1:24" ht="30" customHeight="1" x14ac:dyDescent="0.35">
      <c r="A889" s="261" t="s">
        <v>3124</v>
      </c>
      <c r="B889" s="266">
        <v>850</v>
      </c>
      <c r="C889" s="175">
        <v>102001030</v>
      </c>
      <c r="D889" s="176" t="s">
        <v>911</v>
      </c>
      <c r="E889" s="103" t="s">
        <v>2151</v>
      </c>
      <c r="F889" s="177">
        <v>1</v>
      </c>
      <c r="G889" s="135" t="s">
        <v>0</v>
      </c>
      <c r="H889" s="172">
        <v>42004</v>
      </c>
      <c r="I889" s="158" t="s">
        <v>972</v>
      </c>
      <c r="J889" s="158" t="s">
        <v>1917</v>
      </c>
      <c r="K889" s="158" t="s">
        <v>961</v>
      </c>
      <c r="L889" s="173" t="s">
        <v>845</v>
      </c>
      <c r="M889" s="174">
        <f t="shared" si="127"/>
        <v>66236.61</v>
      </c>
      <c r="N889" s="174">
        <f t="shared" si="128"/>
        <v>66236.61</v>
      </c>
      <c r="O889" s="174">
        <v>66236.61</v>
      </c>
      <c r="P889" s="65">
        <v>42270</v>
      </c>
      <c r="Q889" s="65">
        <f t="shared" si="122"/>
        <v>9299.4</v>
      </c>
      <c r="R889" s="65">
        <f t="shared" si="123"/>
        <v>51569.4</v>
      </c>
      <c r="S889" s="272"/>
      <c r="T889" s="135">
        <v>36</v>
      </c>
      <c r="U889" s="270"/>
      <c r="V889" s="38">
        <v>48525</v>
      </c>
      <c r="W889" s="38">
        <f t="shared" si="124"/>
        <v>10675.5</v>
      </c>
      <c r="X889" s="38">
        <f t="shared" si="125"/>
        <v>59200.5</v>
      </c>
    </row>
    <row r="890" spans="1:24" ht="30" customHeight="1" x14ac:dyDescent="0.35">
      <c r="A890" s="261" t="s">
        <v>3125</v>
      </c>
      <c r="B890" s="135">
        <v>851</v>
      </c>
      <c r="C890" s="175">
        <v>10107106</v>
      </c>
      <c r="D890" s="176" t="s">
        <v>849</v>
      </c>
      <c r="E890" s="103" t="s">
        <v>2151</v>
      </c>
      <c r="F890" s="171">
        <v>2</v>
      </c>
      <c r="G890" s="135" t="s">
        <v>0</v>
      </c>
      <c r="H890" s="172">
        <v>42570</v>
      </c>
      <c r="I890" s="158" t="s">
        <v>972</v>
      </c>
      <c r="J890" s="158" t="s">
        <v>1917</v>
      </c>
      <c r="K890" s="158" t="s">
        <v>961</v>
      </c>
      <c r="L890" s="173" t="s">
        <v>845</v>
      </c>
      <c r="M890" s="174">
        <f t="shared" si="127"/>
        <v>4941.76</v>
      </c>
      <c r="N890" s="174">
        <f t="shared" si="128"/>
        <v>2470.88</v>
      </c>
      <c r="O890" s="174">
        <v>4941.76</v>
      </c>
      <c r="P890" s="65">
        <v>2780</v>
      </c>
      <c r="Q890" s="65">
        <f t="shared" ref="Q890:Q952" si="129">P890*0.22</f>
        <v>611.6</v>
      </c>
      <c r="R890" s="65">
        <f t="shared" ref="R890:R952" si="130">P890+Q890</f>
        <v>3391.6</v>
      </c>
      <c r="S890" s="272"/>
      <c r="T890" s="135">
        <v>36</v>
      </c>
      <c r="U890" s="270"/>
      <c r="V890" s="38">
        <v>3190</v>
      </c>
      <c r="W890" s="38">
        <f t="shared" ref="W890:W952" si="131">V890*0.22</f>
        <v>701.8</v>
      </c>
      <c r="X890" s="38">
        <f t="shared" si="125"/>
        <v>3891.8</v>
      </c>
    </row>
    <row r="891" spans="1:24" ht="15" customHeight="1" x14ac:dyDescent="0.35">
      <c r="A891" s="261" t="s">
        <v>3126</v>
      </c>
      <c r="B891" s="266">
        <v>852</v>
      </c>
      <c r="C891" s="175">
        <v>102001234</v>
      </c>
      <c r="D891" s="176" t="s">
        <v>904</v>
      </c>
      <c r="E891" s="103" t="s">
        <v>2147</v>
      </c>
      <c r="F891" s="177">
        <v>1</v>
      </c>
      <c r="G891" s="135" t="s">
        <v>0</v>
      </c>
      <c r="H891" s="178">
        <v>2010</v>
      </c>
      <c r="I891" s="158" t="s">
        <v>972</v>
      </c>
      <c r="J891" s="158" t="s">
        <v>1917</v>
      </c>
      <c r="K891" s="158" t="s">
        <v>961</v>
      </c>
      <c r="L891" s="173" t="s">
        <v>845</v>
      </c>
      <c r="M891" s="174">
        <f t="shared" si="127"/>
        <v>125530</v>
      </c>
      <c r="N891" s="174">
        <f t="shared" si="128"/>
        <v>125530</v>
      </c>
      <c r="O891" s="174">
        <v>125530</v>
      </c>
      <c r="P891" s="65">
        <v>89820</v>
      </c>
      <c r="Q891" s="65">
        <f t="shared" si="129"/>
        <v>19760.400000000001</v>
      </c>
      <c r="R891" s="65">
        <f t="shared" si="130"/>
        <v>109580.4</v>
      </c>
      <c r="S891" s="272"/>
      <c r="T891" s="135">
        <v>36</v>
      </c>
      <c r="U891" s="270"/>
      <c r="V891" s="38">
        <v>103120</v>
      </c>
      <c r="W891" s="38">
        <f t="shared" si="131"/>
        <v>22686.400000000001</v>
      </c>
      <c r="X891" s="38">
        <f t="shared" ref="X891:X954" si="132">V891+W891</f>
        <v>125806.39999999999</v>
      </c>
    </row>
    <row r="892" spans="1:24" ht="15" customHeight="1" x14ac:dyDescent="0.35">
      <c r="A892" s="261" t="s">
        <v>3127</v>
      </c>
      <c r="B892" s="266">
        <v>853</v>
      </c>
      <c r="C892" s="175">
        <v>10137216</v>
      </c>
      <c r="D892" s="176" t="s">
        <v>905</v>
      </c>
      <c r="E892" s="103" t="s">
        <v>2147</v>
      </c>
      <c r="F892" s="171">
        <v>5</v>
      </c>
      <c r="G892" s="135" t="s">
        <v>0</v>
      </c>
      <c r="H892" s="178">
        <v>2010</v>
      </c>
      <c r="I892" s="158" t="s">
        <v>972</v>
      </c>
      <c r="J892" s="158" t="s">
        <v>1917</v>
      </c>
      <c r="K892" s="158" t="s">
        <v>961</v>
      </c>
      <c r="L892" s="173" t="s">
        <v>845</v>
      </c>
      <c r="M892" s="174">
        <f t="shared" si="127"/>
        <v>111250</v>
      </c>
      <c r="N892" s="174">
        <f t="shared" si="128"/>
        <v>22250</v>
      </c>
      <c r="O892" s="174">
        <v>111250</v>
      </c>
      <c r="P892" s="65">
        <v>79600</v>
      </c>
      <c r="Q892" s="65">
        <f t="shared" si="129"/>
        <v>17512</v>
      </c>
      <c r="R892" s="65">
        <f t="shared" si="130"/>
        <v>97112</v>
      </c>
      <c r="S892" s="272"/>
      <c r="T892" s="135">
        <v>36</v>
      </c>
      <c r="U892" s="270"/>
      <c r="V892" s="38">
        <v>91390</v>
      </c>
      <c r="W892" s="38">
        <f t="shared" si="131"/>
        <v>20105.8</v>
      </c>
      <c r="X892" s="38">
        <f t="shared" si="132"/>
        <v>111495.8</v>
      </c>
    </row>
    <row r="893" spans="1:24" ht="15" customHeight="1" x14ac:dyDescent="0.35">
      <c r="A893" s="261" t="s">
        <v>3128</v>
      </c>
      <c r="B893" s="135">
        <v>854</v>
      </c>
      <c r="C893" s="175">
        <v>10137217</v>
      </c>
      <c r="D893" s="176" t="s">
        <v>906</v>
      </c>
      <c r="E893" s="103" t="s">
        <v>2147</v>
      </c>
      <c r="F893" s="171">
        <v>5</v>
      </c>
      <c r="G893" s="135" t="s">
        <v>0</v>
      </c>
      <c r="H893" s="178">
        <v>2010</v>
      </c>
      <c r="I893" s="158" t="s">
        <v>972</v>
      </c>
      <c r="J893" s="158" t="s">
        <v>1917</v>
      </c>
      <c r="K893" s="158" t="s">
        <v>961</v>
      </c>
      <c r="L893" s="173" t="s">
        <v>845</v>
      </c>
      <c r="M893" s="174">
        <f t="shared" si="127"/>
        <v>119440</v>
      </c>
      <c r="N893" s="174">
        <f t="shared" si="128"/>
        <v>23888</v>
      </c>
      <c r="O893" s="174">
        <v>119440</v>
      </c>
      <c r="P893" s="65">
        <v>85460</v>
      </c>
      <c r="Q893" s="65">
        <f t="shared" si="129"/>
        <v>18801.2</v>
      </c>
      <c r="R893" s="65">
        <f t="shared" si="130"/>
        <v>104261.2</v>
      </c>
      <c r="S893" s="272"/>
      <c r="T893" s="135">
        <v>36</v>
      </c>
      <c r="U893" s="270"/>
      <c r="V893" s="38">
        <v>98118</v>
      </c>
      <c r="W893" s="38">
        <f t="shared" si="131"/>
        <v>21585.96</v>
      </c>
      <c r="X893" s="38">
        <f t="shared" si="132"/>
        <v>119703.96</v>
      </c>
    </row>
    <row r="894" spans="1:24" ht="15" customHeight="1" x14ac:dyDescent="0.35">
      <c r="A894" s="261" t="s">
        <v>3130</v>
      </c>
      <c r="B894" s="266">
        <v>855</v>
      </c>
      <c r="C894" s="175">
        <v>10031308</v>
      </c>
      <c r="D894" s="176" t="s">
        <v>908</v>
      </c>
      <c r="E894" s="103" t="s">
        <v>3986</v>
      </c>
      <c r="F894" s="171">
        <v>48</v>
      </c>
      <c r="G894" s="135" t="s">
        <v>0</v>
      </c>
      <c r="H894" s="172">
        <v>42962</v>
      </c>
      <c r="I894" s="158" t="s">
        <v>972</v>
      </c>
      <c r="J894" s="179" t="s">
        <v>955</v>
      </c>
      <c r="K894" s="158" t="s">
        <v>961</v>
      </c>
      <c r="L894" s="173" t="s">
        <v>845</v>
      </c>
      <c r="M894" s="174">
        <f t="shared" si="127"/>
        <v>9824.1299999999992</v>
      </c>
      <c r="N894" s="174">
        <f t="shared" si="128"/>
        <v>204.67</v>
      </c>
      <c r="O894" s="174">
        <v>9824.1299999999992</v>
      </c>
      <c r="P894" s="65">
        <v>5410</v>
      </c>
      <c r="Q894" s="65">
        <f t="shared" si="129"/>
        <v>1190.2</v>
      </c>
      <c r="R894" s="65">
        <f t="shared" si="130"/>
        <v>6600.2</v>
      </c>
      <c r="S894" s="272"/>
      <c r="T894" s="135">
        <v>36</v>
      </c>
      <c r="U894" s="270"/>
      <c r="V894" s="38">
        <v>6212</v>
      </c>
      <c r="W894" s="38">
        <f t="shared" si="131"/>
        <v>1366.64</v>
      </c>
      <c r="X894" s="38">
        <f t="shared" si="132"/>
        <v>7578.64</v>
      </c>
    </row>
    <row r="895" spans="1:24" ht="15" customHeight="1" x14ac:dyDescent="0.35">
      <c r="A895" s="261" t="s">
        <v>3131</v>
      </c>
      <c r="B895" s="266">
        <v>856</v>
      </c>
      <c r="C895" s="175">
        <v>102000696</v>
      </c>
      <c r="D895" s="176" t="s">
        <v>909</v>
      </c>
      <c r="E895" s="103" t="s">
        <v>3986</v>
      </c>
      <c r="F895" s="177">
        <v>1</v>
      </c>
      <c r="G895" s="135" t="s">
        <v>0</v>
      </c>
      <c r="H895" s="172">
        <v>42430</v>
      </c>
      <c r="I895" s="158" t="s">
        <v>972</v>
      </c>
      <c r="J895" s="179" t="s">
        <v>959</v>
      </c>
      <c r="K895" s="158" t="s">
        <v>961</v>
      </c>
      <c r="L895" s="173" t="s">
        <v>845</v>
      </c>
      <c r="M895" s="174">
        <f t="shared" si="127"/>
        <v>13634.77</v>
      </c>
      <c r="N895" s="174">
        <f t="shared" si="128"/>
        <v>13634.77</v>
      </c>
      <c r="O895" s="174">
        <v>13634.77</v>
      </c>
      <c r="P895" s="65">
        <v>7740</v>
      </c>
      <c r="Q895" s="65">
        <f t="shared" si="129"/>
        <v>1702.8</v>
      </c>
      <c r="R895" s="65">
        <f t="shared" si="130"/>
        <v>9442.7999999999993</v>
      </c>
      <c r="S895" s="272"/>
      <c r="T895" s="135">
        <v>36</v>
      </c>
      <c r="U895" s="270"/>
      <c r="V895" s="38">
        <v>8891</v>
      </c>
      <c r="W895" s="38">
        <f t="shared" si="131"/>
        <v>1956.02</v>
      </c>
      <c r="X895" s="38">
        <f t="shared" si="132"/>
        <v>10847.02</v>
      </c>
    </row>
    <row r="896" spans="1:24" ht="15" customHeight="1" x14ac:dyDescent="0.35">
      <c r="A896" s="261" t="s">
        <v>3132</v>
      </c>
      <c r="B896" s="135">
        <v>857</v>
      </c>
      <c r="C896" s="175">
        <v>10043765</v>
      </c>
      <c r="D896" s="176" t="s">
        <v>910</v>
      </c>
      <c r="E896" s="103" t="s">
        <v>3986</v>
      </c>
      <c r="F896" s="171">
        <v>17</v>
      </c>
      <c r="G896" s="135" t="s">
        <v>0</v>
      </c>
      <c r="H896" s="172">
        <v>42004</v>
      </c>
      <c r="I896" s="158" t="s">
        <v>972</v>
      </c>
      <c r="J896" s="158" t="s">
        <v>1917</v>
      </c>
      <c r="K896" s="158" t="s">
        <v>961</v>
      </c>
      <c r="L896" s="173" t="s">
        <v>845</v>
      </c>
      <c r="M896" s="174">
        <f t="shared" si="127"/>
        <v>306068</v>
      </c>
      <c r="N896" s="174">
        <f t="shared" si="128"/>
        <v>18004</v>
      </c>
      <c r="O896" s="174">
        <v>306068</v>
      </c>
      <c r="P896" s="65">
        <v>195300</v>
      </c>
      <c r="Q896" s="65">
        <f t="shared" si="129"/>
        <v>42966</v>
      </c>
      <c r="R896" s="65">
        <f t="shared" si="130"/>
        <v>238266</v>
      </c>
      <c r="S896" s="272"/>
      <c r="T896" s="135">
        <v>36</v>
      </c>
      <c r="U896" s="270"/>
      <c r="V896" s="38">
        <v>224225</v>
      </c>
      <c r="W896" s="38">
        <f t="shared" si="131"/>
        <v>49329.5</v>
      </c>
      <c r="X896" s="38">
        <f t="shared" si="132"/>
        <v>273554.5</v>
      </c>
    </row>
    <row r="897" spans="1:24" ht="15" customHeight="1" x14ac:dyDescent="0.35">
      <c r="A897" s="261" t="s">
        <v>3133</v>
      </c>
      <c r="B897" s="266">
        <v>858</v>
      </c>
      <c r="C897" s="175">
        <v>10137457</v>
      </c>
      <c r="D897" s="176" t="s">
        <v>912</v>
      </c>
      <c r="E897" s="103" t="s">
        <v>2147</v>
      </c>
      <c r="F897" s="177">
        <v>1</v>
      </c>
      <c r="G897" s="135" t="s">
        <v>0</v>
      </c>
      <c r="H897" s="178" t="s">
        <v>2145</v>
      </c>
      <c r="I897" s="158" t="s">
        <v>972</v>
      </c>
      <c r="J897" s="158" t="s">
        <v>1917</v>
      </c>
      <c r="K897" s="158" t="s">
        <v>961</v>
      </c>
      <c r="L897" s="173" t="s">
        <v>845</v>
      </c>
      <c r="M897" s="174">
        <f t="shared" si="127"/>
        <v>155747</v>
      </c>
      <c r="N897" s="174">
        <f t="shared" si="128"/>
        <v>155747</v>
      </c>
      <c r="O897" s="174">
        <v>155747</v>
      </c>
      <c r="P897" s="65">
        <v>111440</v>
      </c>
      <c r="Q897" s="65">
        <f t="shared" si="129"/>
        <v>24516.799999999999</v>
      </c>
      <c r="R897" s="65">
        <f t="shared" si="130"/>
        <v>135956.79999999999</v>
      </c>
      <c r="S897" s="272"/>
      <c r="T897" s="135">
        <v>36</v>
      </c>
      <c r="U897" s="270"/>
      <c r="V897" s="38">
        <v>127943</v>
      </c>
      <c r="W897" s="38">
        <f t="shared" si="131"/>
        <v>28147.46</v>
      </c>
      <c r="X897" s="38">
        <f t="shared" si="132"/>
        <v>156090.46</v>
      </c>
    </row>
    <row r="898" spans="1:24" ht="35.25" customHeight="1" x14ac:dyDescent="0.35">
      <c r="A898" s="261" t="s">
        <v>3134</v>
      </c>
      <c r="B898" s="266">
        <v>859</v>
      </c>
      <c r="C898" s="175">
        <v>10137503</v>
      </c>
      <c r="D898" s="176" t="s">
        <v>913</v>
      </c>
      <c r="E898" s="103" t="s">
        <v>2147</v>
      </c>
      <c r="F898" s="177">
        <v>1</v>
      </c>
      <c r="G898" s="135" t="s">
        <v>0</v>
      </c>
      <c r="H898" s="178" t="s">
        <v>2145</v>
      </c>
      <c r="I898" s="158" t="s">
        <v>972</v>
      </c>
      <c r="J898" s="158" t="s">
        <v>1917</v>
      </c>
      <c r="K898" s="158" t="s">
        <v>961</v>
      </c>
      <c r="L898" s="173" t="s">
        <v>845</v>
      </c>
      <c r="M898" s="174">
        <f t="shared" si="127"/>
        <v>92956</v>
      </c>
      <c r="N898" s="174">
        <f t="shared" si="128"/>
        <v>92956</v>
      </c>
      <c r="O898" s="174">
        <v>92956</v>
      </c>
      <c r="P898" s="65">
        <v>66510</v>
      </c>
      <c r="Q898" s="65">
        <f t="shared" si="129"/>
        <v>14632.2</v>
      </c>
      <c r="R898" s="65">
        <f t="shared" si="130"/>
        <v>81142.2</v>
      </c>
      <c r="S898" s="272"/>
      <c r="T898" s="135">
        <v>36</v>
      </c>
      <c r="U898" s="270"/>
      <c r="V898" s="38">
        <v>76361</v>
      </c>
      <c r="W898" s="38">
        <f t="shared" si="131"/>
        <v>16799.419999999998</v>
      </c>
      <c r="X898" s="38">
        <f t="shared" si="132"/>
        <v>93160.42</v>
      </c>
    </row>
    <row r="899" spans="1:24" ht="60" customHeight="1" x14ac:dyDescent="0.35">
      <c r="A899" s="261" t="s">
        <v>3135</v>
      </c>
      <c r="B899" s="135">
        <v>860</v>
      </c>
      <c r="C899" s="175">
        <v>10137502</v>
      </c>
      <c r="D899" s="176" t="s">
        <v>914</v>
      </c>
      <c r="E899" s="103" t="s">
        <v>2147</v>
      </c>
      <c r="F899" s="171">
        <v>2</v>
      </c>
      <c r="G899" s="135" t="s">
        <v>0</v>
      </c>
      <c r="H899" s="178" t="s">
        <v>2145</v>
      </c>
      <c r="I899" s="158" t="s">
        <v>972</v>
      </c>
      <c r="J899" s="158" t="s">
        <v>1917</v>
      </c>
      <c r="K899" s="158" t="s">
        <v>961</v>
      </c>
      <c r="L899" s="173" t="s">
        <v>845</v>
      </c>
      <c r="M899" s="174">
        <f t="shared" si="127"/>
        <v>387660</v>
      </c>
      <c r="N899" s="174">
        <f t="shared" si="128"/>
        <v>193830</v>
      </c>
      <c r="O899" s="174">
        <v>387660</v>
      </c>
      <c r="P899" s="65">
        <v>277370</v>
      </c>
      <c r="Q899" s="65">
        <f t="shared" si="129"/>
        <v>61021.4</v>
      </c>
      <c r="R899" s="65">
        <f t="shared" si="130"/>
        <v>338391.4</v>
      </c>
      <c r="S899" s="272"/>
      <c r="T899" s="135">
        <v>36</v>
      </c>
      <c r="U899" s="270"/>
      <c r="V899" s="38">
        <v>318455</v>
      </c>
      <c r="W899" s="38">
        <f t="shared" si="131"/>
        <v>70060.100000000006</v>
      </c>
      <c r="X899" s="38">
        <f t="shared" si="132"/>
        <v>388515.1</v>
      </c>
    </row>
    <row r="900" spans="1:24" ht="15" customHeight="1" x14ac:dyDescent="0.35">
      <c r="A900" s="261" t="s">
        <v>3136</v>
      </c>
      <c r="B900" s="266">
        <v>861</v>
      </c>
      <c r="C900" s="175">
        <v>10137501</v>
      </c>
      <c r="D900" s="176" t="s">
        <v>915</v>
      </c>
      <c r="E900" s="103" t="s">
        <v>2147</v>
      </c>
      <c r="F900" s="171">
        <v>2</v>
      </c>
      <c r="G900" s="135" t="s">
        <v>0</v>
      </c>
      <c r="H900" s="178" t="s">
        <v>2145</v>
      </c>
      <c r="I900" s="158" t="s">
        <v>972</v>
      </c>
      <c r="J900" s="158" t="s">
        <v>1917</v>
      </c>
      <c r="K900" s="158" t="s">
        <v>961</v>
      </c>
      <c r="L900" s="173" t="s">
        <v>845</v>
      </c>
      <c r="M900" s="174">
        <f t="shared" si="127"/>
        <v>388480</v>
      </c>
      <c r="N900" s="174">
        <f t="shared" si="128"/>
        <v>194240</v>
      </c>
      <c r="O900" s="174">
        <v>388480</v>
      </c>
      <c r="P900" s="65">
        <v>277960</v>
      </c>
      <c r="Q900" s="65">
        <f t="shared" si="129"/>
        <v>61151.199999999997</v>
      </c>
      <c r="R900" s="65">
        <f t="shared" si="130"/>
        <v>339111.2</v>
      </c>
      <c r="S900" s="272"/>
      <c r="T900" s="135">
        <v>36</v>
      </c>
      <c r="U900" s="270"/>
      <c r="V900" s="38">
        <v>319129</v>
      </c>
      <c r="W900" s="38">
        <f t="shared" si="131"/>
        <v>70208.38</v>
      </c>
      <c r="X900" s="38">
        <f t="shared" si="132"/>
        <v>389337.38</v>
      </c>
    </row>
    <row r="901" spans="1:24" ht="15" customHeight="1" x14ac:dyDescent="0.35">
      <c r="A901" s="261" t="s">
        <v>3137</v>
      </c>
      <c r="B901" s="266">
        <v>862</v>
      </c>
      <c r="C901" s="175">
        <v>10137504</v>
      </c>
      <c r="D901" s="176" t="s">
        <v>916</v>
      </c>
      <c r="E901" s="103" t="s">
        <v>2147</v>
      </c>
      <c r="F901" s="171">
        <v>2</v>
      </c>
      <c r="G901" s="135" t="s">
        <v>0</v>
      </c>
      <c r="H901" s="178" t="s">
        <v>2145</v>
      </c>
      <c r="I901" s="158" t="s">
        <v>972</v>
      </c>
      <c r="J901" s="158" t="s">
        <v>1917</v>
      </c>
      <c r="K901" s="158" t="s">
        <v>961</v>
      </c>
      <c r="L901" s="173" t="s">
        <v>845</v>
      </c>
      <c r="M901" s="174">
        <f t="shared" si="127"/>
        <v>411140</v>
      </c>
      <c r="N901" s="174">
        <f t="shared" si="128"/>
        <v>205570</v>
      </c>
      <c r="O901" s="174">
        <v>411140</v>
      </c>
      <c r="P901" s="65">
        <v>294170</v>
      </c>
      <c r="Q901" s="65">
        <f t="shared" si="129"/>
        <v>64717.4</v>
      </c>
      <c r="R901" s="65">
        <f t="shared" si="130"/>
        <v>358887.4</v>
      </c>
      <c r="S901" s="272"/>
      <c r="T901" s="135">
        <v>36</v>
      </c>
      <c r="U901" s="270"/>
      <c r="V901" s="38">
        <v>337743</v>
      </c>
      <c r="W901" s="38">
        <f t="shared" si="131"/>
        <v>74303.460000000006</v>
      </c>
      <c r="X901" s="38">
        <f t="shared" si="132"/>
        <v>412046.46</v>
      </c>
    </row>
    <row r="902" spans="1:24" ht="45" customHeight="1" x14ac:dyDescent="0.35">
      <c r="A902" s="261" t="s">
        <v>3138</v>
      </c>
      <c r="B902" s="135">
        <v>863</v>
      </c>
      <c r="C902" s="175">
        <v>10137424</v>
      </c>
      <c r="D902" s="176" t="s">
        <v>917</v>
      </c>
      <c r="E902" s="103" t="s">
        <v>2147</v>
      </c>
      <c r="F902" s="177">
        <v>1</v>
      </c>
      <c r="G902" s="135" t="s">
        <v>0</v>
      </c>
      <c r="H902" s="178" t="s">
        <v>2145</v>
      </c>
      <c r="I902" s="158" t="s">
        <v>972</v>
      </c>
      <c r="J902" s="158" t="s">
        <v>1917</v>
      </c>
      <c r="K902" s="158" t="s">
        <v>961</v>
      </c>
      <c r="L902" s="173" t="s">
        <v>845</v>
      </c>
      <c r="M902" s="174">
        <f t="shared" si="127"/>
        <v>108518</v>
      </c>
      <c r="N902" s="174">
        <f t="shared" si="128"/>
        <v>108518</v>
      </c>
      <c r="O902" s="174">
        <v>108518</v>
      </c>
      <c r="P902" s="65">
        <v>77650</v>
      </c>
      <c r="Q902" s="65">
        <f t="shared" si="129"/>
        <v>17083</v>
      </c>
      <c r="R902" s="65">
        <f t="shared" si="130"/>
        <v>94733</v>
      </c>
      <c r="S902" s="272"/>
      <c r="T902" s="135">
        <v>36</v>
      </c>
      <c r="U902" s="270"/>
      <c r="V902" s="38">
        <v>89145</v>
      </c>
      <c r="W902" s="38">
        <f t="shared" si="131"/>
        <v>19611.900000000001</v>
      </c>
      <c r="X902" s="38">
        <f t="shared" si="132"/>
        <v>108756.9</v>
      </c>
    </row>
    <row r="903" spans="1:24" ht="15" customHeight="1" x14ac:dyDescent="0.35">
      <c r="A903" s="261" t="s">
        <v>3139</v>
      </c>
      <c r="B903" s="266">
        <v>864</v>
      </c>
      <c r="C903" s="175">
        <v>10137472</v>
      </c>
      <c r="D903" s="176" t="s">
        <v>918</v>
      </c>
      <c r="E903" s="103" t="s">
        <v>2147</v>
      </c>
      <c r="F903" s="177">
        <v>1</v>
      </c>
      <c r="G903" s="135" t="s">
        <v>0</v>
      </c>
      <c r="H903" s="178" t="s">
        <v>2145</v>
      </c>
      <c r="I903" s="158" t="s">
        <v>972</v>
      </c>
      <c r="J903" s="158" t="s">
        <v>1917</v>
      </c>
      <c r="K903" s="158" t="s">
        <v>961</v>
      </c>
      <c r="L903" s="173" t="s">
        <v>845</v>
      </c>
      <c r="M903" s="174">
        <f t="shared" si="127"/>
        <v>194650</v>
      </c>
      <c r="N903" s="174">
        <f t="shared" si="128"/>
        <v>194650</v>
      </c>
      <c r="O903" s="174">
        <v>194650</v>
      </c>
      <c r="P903" s="65">
        <v>139270</v>
      </c>
      <c r="Q903" s="65">
        <f t="shared" si="129"/>
        <v>30639.4</v>
      </c>
      <c r="R903" s="65">
        <f t="shared" si="130"/>
        <v>169909.4</v>
      </c>
      <c r="S903" s="272"/>
      <c r="T903" s="135">
        <v>36</v>
      </c>
      <c r="U903" s="270"/>
      <c r="V903" s="38">
        <v>159901</v>
      </c>
      <c r="W903" s="38">
        <f t="shared" si="131"/>
        <v>35178.22</v>
      </c>
      <c r="X903" s="38">
        <f t="shared" si="132"/>
        <v>195079.22</v>
      </c>
    </row>
    <row r="904" spans="1:24" ht="15" customHeight="1" x14ac:dyDescent="0.35">
      <c r="A904" s="261" t="s">
        <v>3140</v>
      </c>
      <c r="B904" s="266">
        <v>865</v>
      </c>
      <c r="C904" s="175">
        <v>10137425</v>
      </c>
      <c r="D904" s="176" t="s">
        <v>919</v>
      </c>
      <c r="E904" s="103" t="s">
        <v>2147</v>
      </c>
      <c r="F904" s="177">
        <v>1</v>
      </c>
      <c r="G904" s="135" t="s">
        <v>0</v>
      </c>
      <c r="H904" s="178" t="s">
        <v>2145</v>
      </c>
      <c r="I904" s="158" t="s">
        <v>972</v>
      </c>
      <c r="J904" s="158" t="s">
        <v>1917</v>
      </c>
      <c r="K904" s="158" t="s">
        <v>961</v>
      </c>
      <c r="L904" s="173" t="s">
        <v>845</v>
      </c>
      <c r="M904" s="174">
        <f t="shared" si="127"/>
        <v>233279</v>
      </c>
      <c r="N904" s="174">
        <f t="shared" si="128"/>
        <v>233279</v>
      </c>
      <c r="O904" s="174">
        <v>233279</v>
      </c>
      <c r="P904" s="65">
        <v>166910</v>
      </c>
      <c r="Q904" s="65">
        <f t="shared" si="129"/>
        <v>36720.199999999997</v>
      </c>
      <c r="R904" s="65">
        <f t="shared" si="130"/>
        <v>203630.2</v>
      </c>
      <c r="S904" s="272"/>
      <c r="T904" s="135">
        <v>36</v>
      </c>
      <c r="U904" s="270"/>
      <c r="V904" s="38">
        <v>191634</v>
      </c>
      <c r="W904" s="38">
        <f t="shared" si="131"/>
        <v>42159.48</v>
      </c>
      <c r="X904" s="38">
        <f t="shared" si="132"/>
        <v>233793.48</v>
      </c>
    </row>
    <row r="905" spans="1:24" ht="33" customHeight="1" x14ac:dyDescent="0.35">
      <c r="A905" s="261" t="s">
        <v>3141</v>
      </c>
      <c r="B905" s="135">
        <v>866</v>
      </c>
      <c r="C905" s="175">
        <v>10137426</v>
      </c>
      <c r="D905" s="176" t="s">
        <v>920</v>
      </c>
      <c r="E905" s="103" t="s">
        <v>2147</v>
      </c>
      <c r="F905" s="177">
        <v>1</v>
      </c>
      <c r="G905" s="135" t="s">
        <v>0</v>
      </c>
      <c r="H905" s="178" t="s">
        <v>2145</v>
      </c>
      <c r="I905" s="158" t="s">
        <v>972</v>
      </c>
      <c r="J905" s="158" t="s">
        <v>1917</v>
      </c>
      <c r="K905" s="158" t="s">
        <v>961</v>
      </c>
      <c r="L905" s="173" t="s">
        <v>845</v>
      </c>
      <c r="M905" s="174">
        <f t="shared" si="127"/>
        <v>112340</v>
      </c>
      <c r="N905" s="174">
        <f t="shared" si="128"/>
        <v>112340</v>
      </c>
      <c r="O905" s="174">
        <v>112340</v>
      </c>
      <c r="P905" s="65">
        <v>80380</v>
      </c>
      <c r="Q905" s="65">
        <f t="shared" si="129"/>
        <v>17683.599999999999</v>
      </c>
      <c r="R905" s="65">
        <f t="shared" si="130"/>
        <v>98063.6</v>
      </c>
      <c r="S905" s="272"/>
      <c r="T905" s="135">
        <v>36</v>
      </c>
      <c r="U905" s="270"/>
      <c r="V905" s="38">
        <v>92285</v>
      </c>
      <c r="W905" s="38">
        <f t="shared" si="131"/>
        <v>20302.7</v>
      </c>
      <c r="X905" s="38">
        <f t="shared" si="132"/>
        <v>112587.7</v>
      </c>
    </row>
    <row r="906" spans="1:24" ht="32.25" customHeight="1" x14ac:dyDescent="0.35">
      <c r="A906" s="261" t="s">
        <v>3142</v>
      </c>
      <c r="B906" s="266">
        <v>867</v>
      </c>
      <c r="C906" s="175">
        <v>102002114</v>
      </c>
      <c r="D906" s="176" t="s">
        <v>921</v>
      </c>
      <c r="E906" s="103" t="s">
        <v>2147</v>
      </c>
      <c r="F906" s="171">
        <v>3</v>
      </c>
      <c r="G906" s="135" t="s">
        <v>0</v>
      </c>
      <c r="H906" s="178" t="s">
        <v>2145</v>
      </c>
      <c r="I906" s="158" t="s">
        <v>972</v>
      </c>
      <c r="J906" s="158" t="s">
        <v>1917</v>
      </c>
      <c r="K906" s="158" t="s">
        <v>961</v>
      </c>
      <c r="L906" s="173" t="s">
        <v>845</v>
      </c>
      <c r="M906" s="174">
        <f t="shared" si="127"/>
        <v>131930.5</v>
      </c>
      <c r="N906" s="174">
        <f t="shared" si="128"/>
        <v>43976.83</v>
      </c>
      <c r="O906" s="174">
        <v>131930.5</v>
      </c>
      <c r="P906" s="65">
        <v>94400</v>
      </c>
      <c r="Q906" s="65">
        <f t="shared" si="129"/>
        <v>20768</v>
      </c>
      <c r="R906" s="65">
        <f t="shared" si="130"/>
        <v>115168</v>
      </c>
      <c r="S906" s="272"/>
      <c r="T906" s="135">
        <v>36</v>
      </c>
      <c r="U906" s="270"/>
      <c r="V906" s="38">
        <v>108378</v>
      </c>
      <c r="W906" s="38">
        <f t="shared" si="131"/>
        <v>23843.16</v>
      </c>
      <c r="X906" s="38">
        <f t="shared" si="132"/>
        <v>132221.16</v>
      </c>
    </row>
    <row r="907" spans="1:24" ht="37.5" customHeight="1" x14ac:dyDescent="0.35">
      <c r="A907" s="261" t="s">
        <v>3143</v>
      </c>
      <c r="B907" s="266">
        <v>868</v>
      </c>
      <c r="C907" s="175">
        <v>102001497</v>
      </c>
      <c r="D907" s="176" t="s">
        <v>932</v>
      </c>
      <c r="E907" s="103" t="s">
        <v>2147</v>
      </c>
      <c r="F907" s="177">
        <v>1</v>
      </c>
      <c r="G907" s="135" t="s">
        <v>0</v>
      </c>
      <c r="H907" s="178" t="s">
        <v>2145</v>
      </c>
      <c r="I907" s="158" t="s">
        <v>972</v>
      </c>
      <c r="J907" s="179" t="s">
        <v>959</v>
      </c>
      <c r="K907" s="158" t="s">
        <v>961</v>
      </c>
      <c r="L907" s="173" t="s">
        <v>845</v>
      </c>
      <c r="M907" s="174">
        <f t="shared" si="127"/>
        <v>307630</v>
      </c>
      <c r="N907" s="174">
        <f t="shared" si="128"/>
        <v>307630</v>
      </c>
      <c r="O907" s="174">
        <v>307630</v>
      </c>
      <c r="P907" s="65">
        <v>220110</v>
      </c>
      <c r="Q907" s="65">
        <f t="shared" si="129"/>
        <v>48424.2</v>
      </c>
      <c r="R907" s="65">
        <f t="shared" si="130"/>
        <v>268534.2</v>
      </c>
      <c r="S907" s="272"/>
      <c r="T907" s="135">
        <v>36</v>
      </c>
      <c r="U907" s="270"/>
      <c r="V907" s="38">
        <v>252712</v>
      </c>
      <c r="W907" s="38">
        <f t="shared" si="131"/>
        <v>55596.639999999999</v>
      </c>
      <c r="X907" s="38">
        <f t="shared" si="132"/>
        <v>308308.64</v>
      </c>
    </row>
    <row r="908" spans="1:24" ht="15" customHeight="1" x14ac:dyDescent="0.35">
      <c r="A908" s="261" t="s">
        <v>3144</v>
      </c>
      <c r="B908" s="135">
        <v>869</v>
      </c>
      <c r="C908" s="175">
        <v>102001027</v>
      </c>
      <c r="D908" s="176" t="s">
        <v>933</v>
      </c>
      <c r="E908" s="103" t="s">
        <v>2147</v>
      </c>
      <c r="F908" s="177">
        <v>1</v>
      </c>
      <c r="G908" s="135" t="s">
        <v>0</v>
      </c>
      <c r="H908" s="178" t="s">
        <v>2145</v>
      </c>
      <c r="I908" s="158" t="s">
        <v>972</v>
      </c>
      <c r="J908" s="158" t="s">
        <v>1917</v>
      </c>
      <c r="K908" s="158" t="s">
        <v>961</v>
      </c>
      <c r="L908" s="173" t="s">
        <v>845</v>
      </c>
      <c r="M908" s="174">
        <f t="shared" si="127"/>
        <v>138800</v>
      </c>
      <c r="N908" s="174">
        <f t="shared" si="128"/>
        <v>138800</v>
      </c>
      <c r="O908" s="174">
        <v>138800</v>
      </c>
      <c r="P908" s="65">
        <v>99310</v>
      </c>
      <c r="Q908" s="65">
        <f t="shared" si="129"/>
        <v>21848.2</v>
      </c>
      <c r="R908" s="65">
        <f t="shared" si="130"/>
        <v>121158.2</v>
      </c>
      <c r="S908" s="272"/>
      <c r="T908" s="135">
        <v>36</v>
      </c>
      <c r="U908" s="270"/>
      <c r="V908" s="38">
        <v>114021</v>
      </c>
      <c r="W908" s="38">
        <f t="shared" si="131"/>
        <v>25084.62</v>
      </c>
      <c r="X908" s="38">
        <f t="shared" si="132"/>
        <v>139105.62</v>
      </c>
    </row>
    <row r="909" spans="1:24" ht="15" customHeight="1" x14ac:dyDescent="0.35">
      <c r="A909" s="261" t="s">
        <v>3145</v>
      </c>
      <c r="B909" s="266">
        <v>870</v>
      </c>
      <c r="C909" s="175">
        <v>102001124</v>
      </c>
      <c r="D909" s="176" t="s">
        <v>937</v>
      </c>
      <c r="E909" s="103" t="s">
        <v>2147</v>
      </c>
      <c r="F909" s="171">
        <v>6</v>
      </c>
      <c r="G909" s="135" t="s">
        <v>0</v>
      </c>
      <c r="H909" s="178" t="s">
        <v>2145</v>
      </c>
      <c r="I909" s="158" t="s">
        <v>972</v>
      </c>
      <c r="J909" s="179" t="s">
        <v>959</v>
      </c>
      <c r="K909" s="158" t="s">
        <v>961</v>
      </c>
      <c r="L909" s="173" t="s">
        <v>845</v>
      </c>
      <c r="M909" s="174">
        <f t="shared" si="127"/>
        <v>923360</v>
      </c>
      <c r="N909" s="174">
        <f t="shared" si="128"/>
        <v>153893.32999999999</v>
      </c>
      <c r="O909" s="174">
        <v>923360</v>
      </c>
      <c r="P909" s="65">
        <v>660670</v>
      </c>
      <c r="Q909" s="65">
        <f t="shared" si="129"/>
        <v>145347.4</v>
      </c>
      <c r="R909" s="65">
        <f t="shared" si="130"/>
        <v>806017.4</v>
      </c>
      <c r="S909" s="272"/>
      <c r="T909" s="135">
        <v>36</v>
      </c>
      <c r="U909" s="270"/>
      <c r="V909" s="38">
        <v>758522</v>
      </c>
      <c r="W909" s="38">
        <f t="shared" si="131"/>
        <v>166874.84</v>
      </c>
      <c r="X909" s="38">
        <f t="shared" si="132"/>
        <v>925396.84</v>
      </c>
    </row>
    <row r="910" spans="1:24" ht="33.75" customHeight="1" x14ac:dyDescent="0.35">
      <c r="A910" s="261" t="s">
        <v>3146</v>
      </c>
      <c r="B910" s="266">
        <v>871</v>
      </c>
      <c r="C910" s="175">
        <v>10106526</v>
      </c>
      <c r="D910" s="176" t="s">
        <v>939</v>
      </c>
      <c r="E910" s="103" t="s">
        <v>2151</v>
      </c>
      <c r="F910" s="171">
        <v>5</v>
      </c>
      <c r="G910" s="135" t="s">
        <v>0</v>
      </c>
      <c r="H910" s="172">
        <v>42277</v>
      </c>
      <c r="I910" s="158" t="s">
        <v>972</v>
      </c>
      <c r="J910" s="158" t="s">
        <v>1917</v>
      </c>
      <c r="K910" s="158" t="s">
        <v>961</v>
      </c>
      <c r="L910" s="173" t="s">
        <v>845</v>
      </c>
      <c r="M910" s="174">
        <f t="shared" si="127"/>
        <v>43435.7</v>
      </c>
      <c r="N910" s="174">
        <f t="shared" si="128"/>
        <v>8687.14</v>
      </c>
      <c r="O910" s="174">
        <v>43435.7</v>
      </c>
      <c r="P910" s="65">
        <v>25970</v>
      </c>
      <c r="Q910" s="65">
        <f t="shared" si="129"/>
        <v>5713.4</v>
      </c>
      <c r="R910" s="65">
        <f t="shared" si="130"/>
        <v>31683.4</v>
      </c>
      <c r="S910" s="272"/>
      <c r="T910" s="135">
        <v>36</v>
      </c>
      <c r="U910" s="270"/>
      <c r="V910" s="38">
        <v>29814</v>
      </c>
      <c r="W910" s="38">
        <f t="shared" si="131"/>
        <v>6559.08</v>
      </c>
      <c r="X910" s="38">
        <f t="shared" si="132"/>
        <v>36373.08</v>
      </c>
    </row>
    <row r="911" spans="1:24" ht="27" customHeight="1" x14ac:dyDescent="0.35">
      <c r="A911" s="261" t="s">
        <v>3147</v>
      </c>
      <c r="B911" s="135">
        <v>872</v>
      </c>
      <c r="C911" s="175">
        <v>10151723</v>
      </c>
      <c r="D911" s="176" t="s">
        <v>940</v>
      </c>
      <c r="E911" s="103" t="s">
        <v>2151</v>
      </c>
      <c r="F911" s="171">
        <v>3</v>
      </c>
      <c r="G911" s="135" t="s">
        <v>0</v>
      </c>
      <c r="H911" s="172">
        <v>42277</v>
      </c>
      <c r="I911" s="158" t="s">
        <v>972</v>
      </c>
      <c r="J911" s="158" t="s">
        <v>1917</v>
      </c>
      <c r="K911" s="158" t="s">
        <v>961</v>
      </c>
      <c r="L911" s="173" t="s">
        <v>845</v>
      </c>
      <c r="M911" s="174">
        <f t="shared" si="127"/>
        <v>21090.92</v>
      </c>
      <c r="N911" s="174">
        <f t="shared" si="128"/>
        <v>7030.31</v>
      </c>
      <c r="O911" s="174">
        <v>21090.92</v>
      </c>
      <c r="P911" s="65">
        <v>12610</v>
      </c>
      <c r="Q911" s="65">
        <f t="shared" si="129"/>
        <v>2774.2</v>
      </c>
      <c r="R911" s="65">
        <f t="shared" si="130"/>
        <v>15384.2</v>
      </c>
      <c r="S911" s="272"/>
      <c r="T911" s="135">
        <v>36</v>
      </c>
      <c r="U911" s="270"/>
      <c r="V911" s="38">
        <v>14477</v>
      </c>
      <c r="W911" s="38">
        <f t="shared" si="131"/>
        <v>3184.94</v>
      </c>
      <c r="X911" s="38">
        <f t="shared" si="132"/>
        <v>17661.939999999999</v>
      </c>
    </row>
    <row r="912" spans="1:24" ht="15" customHeight="1" x14ac:dyDescent="0.35">
      <c r="A912" s="261" t="s">
        <v>3148</v>
      </c>
      <c r="B912" s="266">
        <v>873</v>
      </c>
      <c r="C912" s="175">
        <v>10149252</v>
      </c>
      <c r="D912" s="176" t="s">
        <v>941</v>
      </c>
      <c r="E912" s="103" t="s">
        <v>2151</v>
      </c>
      <c r="F912" s="171">
        <v>4</v>
      </c>
      <c r="G912" s="135" t="s">
        <v>0</v>
      </c>
      <c r="H912" s="172">
        <v>42277</v>
      </c>
      <c r="I912" s="158" t="s">
        <v>972</v>
      </c>
      <c r="J912" s="158" t="s">
        <v>1917</v>
      </c>
      <c r="K912" s="158" t="s">
        <v>961</v>
      </c>
      <c r="L912" s="173" t="s">
        <v>845</v>
      </c>
      <c r="M912" s="174">
        <f t="shared" si="127"/>
        <v>37614.379999999997</v>
      </c>
      <c r="N912" s="174">
        <f t="shared" si="128"/>
        <v>9403.6</v>
      </c>
      <c r="O912" s="174">
        <v>37614.379999999997</v>
      </c>
      <c r="P912" s="65">
        <v>22490</v>
      </c>
      <c r="Q912" s="65">
        <f t="shared" si="129"/>
        <v>4947.8</v>
      </c>
      <c r="R912" s="65">
        <f t="shared" si="130"/>
        <v>27437.8</v>
      </c>
      <c r="S912" s="272"/>
      <c r="T912" s="135">
        <v>36</v>
      </c>
      <c r="U912" s="270"/>
      <c r="V912" s="38">
        <v>25819</v>
      </c>
      <c r="W912" s="38">
        <f t="shared" si="131"/>
        <v>5680.18</v>
      </c>
      <c r="X912" s="38">
        <f t="shared" si="132"/>
        <v>31499.18</v>
      </c>
    </row>
    <row r="913" spans="1:24" ht="60" customHeight="1" x14ac:dyDescent="0.35">
      <c r="A913" s="261" t="s">
        <v>3149</v>
      </c>
      <c r="B913" s="266">
        <v>874</v>
      </c>
      <c r="C913" s="175">
        <v>10096041</v>
      </c>
      <c r="D913" s="176" t="s">
        <v>942</v>
      </c>
      <c r="E913" s="103" t="s">
        <v>2151</v>
      </c>
      <c r="F913" s="171">
        <v>2</v>
      </c>
      <c r="G913" s="135" t="s">
        <v>0</v>
      </c>
      <c r="H913" s="172">
        <v>42277</v>
      </c>
      <c r="I913" s="158" t="s">
        <v>972</v>
      </c>
      <c r="J913" s="158" t="s">
        <v>1917</v>
      </c>
      <c r="K913" s="158" t="s">
        <v>961</v>
      </c>
      <c r="L913" s="173" t="s">
        <v>845</v>
      </c>
      <c r="M913" s="174">
        <f t="shared" si="127"/>
        <v>8516.7800000000007</v>
      </c>
      <c r="N913" s="174">
        <f t="shared" si="128"/>
        <v>4258.3900000000003</v>
      </c>
      <c r="O913" s="174">
        <v>8516.7800000000007</v>
      </c>
      <c r="P913" s="65">
        <v>5090</v>
      </c>
      <c r="Q913" s="65">
        <f t="shared" si="129"/>
        <v>1119.8</v>
      </c>
      <c r="R913" s="65">
        <f t="shared" si="130"/>
        <v>6209.8</v>
      </c>
      <c r="S913" s="272"/>
      <c r="T913" s="135">
        <v>36</v>
      </c>
      <c r="U913" s="270"/>
      <c r="V913" s="38">
        <v>5846</v>
      </c>
      <c r="W913" s="38">
        <f t="shared" si="131"/>
        <v>1286.1199999999999</v>
      </c>
      <c r="X913" s="38">
        <f t="shared" si="132"/>
        <v>7132.12</v>
      </c>
    </row>
    <row r="914" spans="1:24" ht="30.65" customHeight="1" x14ac:dyDescent="0.35">
      <c r="A914" s="261" t="s">
        <v>3150</v>
      </c>
      <c r="B914" s="135">
        <v>875</v>
      </c>
      <c r="C914" s="175">
        <v>10131131</v>
      </c>
      <c r="D914" s="176" t="s">
        <v>946</v>
      </c>
      <c r="E914" s="103" t="s">
        <v>2151</v>
      </c>
      <c r="F914" s="171">
        <v>2</v>
      </c>
      <c r="G914" s="135" t="s">
        <v>0</v>
      </c>
      <c r="H914" s="135">
        <v>2014</v>
      </c>
      <c r="I914" s="158" t="s">
        <v>972</v>
      </c>
      <c r="J914" s="158" t="s">
        <v>1917</v>
      </c>
      <c r="K914" s="158" t="s">
        <v>961</v>
      </c>
      <c r="L914" s="173" t="s">
        <v>845</v>
      </c>
      <c r="M914" s="174">
        <f t="shared" si="127"/>
        <v>38088.800000000003</v>
      </c>
      <c r="N914" s="174">
        <f t="shared" si="128"/>
        <v>19044.400000000001</v>
      </c>
      <c r="O914" s="174">
        <v>38088.800000000003</v>
      </c>
      <c r="P914" s="65">
        <v>24460</v>
      </c>
      <c r="Q914" s="65">
        <f t="shared" si="129"/>
        <v>5381.2</v>
      </c>
      <c r="R914" s="65">
        <f t="shared" si="130"/>
        <v>29841.200000000001</v>
      </c>
      <c r="S914" s="272"/>
      <c r="T914" s="135">
        <v>36</v>
      </c>
      <c r="U914" s="270"/>
      <c r="V914" s="38">
        <v>28088</v>
      </c>
      <c r="W914" s="38">
        <f t="shared" si="131"/>
        <v>6179.36</v>
      </c>
      <c r="X914" s="38">
        <f t="shared" si="132"/>
        <v>34267.360000000001</v>
      </c>
    </row>
    <row r="915" spans="1:24" ht="30" customHeight="1" x14ac:dyDescent="0.35">
      <c r="A915" s="261" t="s">
        <v>3151</v>
      </c>
      <c r="B915" s="266">
        <v>876</v>
      </c>
      <c r="C915" s="50">
        <v>10108627</v>
      </c>
      <c r="D915" s="51" t="s">
        <v>981</v>
      </c>
      <c r="E915" s="103" t="s">
        <v>2185</v>
      </c>
      <c r="F915" s="52">
        <v>2</v>
      </c>
      <c r="G915" s="135" t="s">
        <v>0</v>
      </c>
      <c r="H915" s="53" t="s">
        <v>500</v>
      </c>
      <c r="I915" s="158" t="s">
        <v>962</v>
      </c>
      <c r="J915" s="158" t="s">
        <v>1917</v>
      </c>
      <c r="K915" s="54" t="s">
        <v>981</v>
      </c>
      <c r="L915" s="146" t="s">
        <v>845</v>
      </c>
      <c r="M915" s="180">
        <f t="shared" si="127"/>
        <v>9700</v>
      </c>
      <c r="N915" s="180">
        <f t="shared" si="128"/>
        <v>4850</v>
      </c>
      <c r="O915" s="180">
        <v>9700</v>
      </c>
      <c r="P915" s="65">
        <v>6470</v>
      </c>
      <c r="Q915" s="65">
        <f t="shared" si="129"/>
        <v>1423.4</v>
      </c>
      <c r="R915" s="65">
        <f t="shared" si="130"/>
        <v>7893.4</v>
      </c>
      <c r="S915" s="272"/>
      <c r="T915" s="135">
        <v>36</v>
      </c>
      <c r="U915" s="270"/>
      <c r="V915" s="38">
        <v>7431</v>
      </c>
      <c r="W915" s="38">
        <f t="shared" si="131"/>
        <v>1634.82</v>
      </c>
      <c r="X915" s="38">
        <f t="shared" si="132"/>
        <v>9065.82</v>
      </c>
    </row>
    <row r="916" spans="1:24" ht="15" customHeight="1" x14ac:dyDescent="0.35">
      <c r="A916" s="261" t="s">
        <v>3152</v>
      </c>
      <c r="B916" s="266">
        <v>877</v>
      </c>
      <c r="C916" s="50">
        <v>10108564</v>
      </c>
      <c r="D916" s="51" t="s">
        <v>253</v>
      </c>
      <c r="E916" s="103" t="s">
        <v>2185</v>
      </c>
      <c r="F916" s="52">
        <v>6</v>
      </c>
      <c r="G916" s="135" t="s">
        <v>0</v>
      </c>
      <c r="H916" s="53" t="s">
        <v>495</v>
      </c>
      <c r="I916" s="158" t="s">
        <v>962</v>
      </c>
      <c r="J916" s="158" t="s">
        <v>1917</v>
      </c>
      <c r="K916" s="54" t="s">
        <v>253</v>
      </c>
      <c r="L916" s="146" t="s">
        <v>845</v>
      </c>
      <c r="M916" s="180">
        <f t="shared" si="127"/>
        <v>81000</v>
      </c>
      <c r="N916" s="180">
        <f t="shared" si="128"/>
        <v>13500</v>
      </c>
      <c r="O916" s="180">
        <v>81000</v>
      </c>
      <c r="P916" s="65">
        <v>45540</v>
      </c>
      <c r="Q916" s="65">
        <f t="shared" si="129"/>
        <v>10018.799999999999</v>
      </c>
      <c r="R916" s="65">
        <f t="shared" si="130"/>
        <v>55558.8</v>
      </c>
      <c r="S916" s="272"/>
      <c r="T916" s="135">
        <v>36</v>
      </c>
      <c r="U916" s="270"/>
      <c r="V916" s="38">
        <v>52284</v>
      </c>
      <c r="W916" s="38">
        <f t="shared" si="131"/>
        <v>11502.48</v>
      </c>
      <c r="X916" s="38">
        <f t="shared" si="132"/>
        <v>63786.48</v>
      </c>
    </row>
    <row r="917" spans="1:24" ht="15" customHeight="1" x14ac:dyDescent="0.35">
      <c r="A917" s="261" t="s">
        <v>3153</v>
      </c>
      <c r="B917" s="135">
        <v>878</v>
      </c>
      <c r="C917" s="50">
        <v>10108557</v>
      </c>
      <c r="D917" s="51" t="s">
        <v>982</v>
      </c>
      <c r="E917" s="103" t="s">
        <v>2185</v>
      </c>
      <c r="F917" s="52">
        <v>4</v>
      </c>
      <c r="G917" s="135" t="s">
        <v>0</v>
      </c>
      <c r="H917" s="53" t="s">
        <v>493</v>
      </c>
      <c r="I917" s="158" t="s">
        <v>962</v>
      </c>
      <c r="J917" s="158" t="s">
        <v>1917</v>
      </c>
      <c r="K917" s="54" t="s">
        <v>982</v>
      </c>
      <c r="L917" s="146" t="s">
        <v>845</v>
      </c>
      <c r="M917" s="180">
        <f t="shared" si="127"/>
        <v>18400</v>
      </c>
      <c r="N917" s="180">
        <f t="shared" si="128"/>
        <v>4600</v>
      </c>
      <c r="O917" s="180">
        <v>18400</v>
      </c>
      <c r="P917" s="65">
        <v>12080</v>
      </c>
      <c r="Q917" s="65">
        <f t="shared" si="129"/>
        <v>2657.6</v>
      </c>
      <c r="R917" s="65">
        <f t="shared" si="130"/>
        <v>14737.6</v>
      </c>
      <c r="S917" s="272"/>
      <c r="T917" s="135">
        <v>36</v>
      </c>
      <c r="U917" s="270"/>
      <c r="V917" s="38">
        <v>13868</v>
      </c>
      <c r="W917" s="38">
        <f t="shared" si="131"/>
        <v>3050.96</v>
      </c>
      <c r="X917" s="38">
        <f t="shared" si="132"/>
        <v>16918.96</v>
      </c>
    </row>
    <row r="918" spans="1:24" ht="15" customHeight="1" x14ac:dyDescent="0.35">
      <c r="A918" s="261" t="s">
        <v>3154</v>
      </c>
      <c r="B918" s="266">
        <v>879</v>
      </c>
      <c r="C918" s="50">
        <v>10109049</v>
      </c>
      <c r="D918" s="51" t="s">
        <v>983</v>
      </c>
      <c r="E918" s="103" t="s">
        <v>2185</v>
      </c>
      <c r="F918" s="52">
        <v>627</v>
      </c>
      <c r="G918" s="135" t="s">
        <v>0</v>
      </c>
      <c r="H918" s="53" t="s">
        <v>499</v>
      </c>
      <c r="I918" s="158" t="s">
        <v>962</v>
      </c>
      <c r="J918" s="158" t="s">
        <v>1917</v>
      </c>
      <c r="K918" s="54" t="s">
        <v>983</v>
      </c>
      <c r="L918" s="146" t="s">
        <v>845</v>
      </c>
      <c r="M918" s="180">
        <f t="shared" si="127"/>
        <v>849252.55</v>
      </c>
      <c r="N918" s="180">
        <f t="shared" si="128"/>
        <v>1354.47</v>
      </c>
      <c r="O918" s="180">
        <v>849252.55</v>
      </c>
      <c r="P918" s="65">
        <v>555900</v>
      </c>
      <c r="Q918" s="65">
        <f t="shared" si="129"/>
        <v>122298</v>
      </c>
      <c r="R918" s="65">
        <f t="shared" si="130"/>
        <v>678198</v>
      </c>
      <c r="S918" s="272"/>
      <c r="T918" s="135">
        <v>36</v>
      </c>
      <c r="U918" s="270"/>
      <c r="V918" s="38">
        <v>638230</v>
      </c>
      <c r="W918" s="38">
        <f t="shared" si="131"/>
        <v>140410.6</v>
      </c>
      <c r="X918" s="38">
        <f t="shared" si="132"/>
        <v>778640.6</v>
      </c>
    </row>
    <row r="919" spans="1:24" ht="15" customHeight="1" x14ac:dyDescent="0.35">
      <c r="A919" s="261" t="s">
        <v>3155</v>
      </c>
      <c r="B919" s="266">
        <v>880</v>
      </c>
      <c r="C919" s="50">
        <v>10118634</v>
      </c>
      <c r="D919" s="51" t="s">
        <v>984</v>
      </c>
      <c r="E919" s="103" t="s">
        <v>2185</v>
      </c>
      <c r="F919" s="52">
        <v>53</v>
      </c>
      <c r="G919" s="135" t="s">
        <v>0</v>
      </c>
      <c r="H919" s="53" t="s">
        <v>500</v>
      </c>
      <c r="I919" s="158" t="s">
        <v>962</v>
      </c>
      <c r="J919" s="158" t="s">
        <v>1917</v>
      </c>
      <c r="K919" s="54" t="s">
        <v>984</v>
      </c>
      <c r="L919" s="146" t="s">
        <v>845</v>
      </c>
      <c r="M919" s="180">
        <f t="shared" si="127"/>
        <v>1247443.31</v>
      </c>
      <c r="N919" s="180">
        <f t="shared" si="128"/>
        <v>23536.67</v>
      </c>
      <c r="O919" s="180">
        <v>1247443.31</v>
      </c>
      <c r="P919" s="65">
        <v>832320</v>
      </c>
      <c r="Q919" s="65">
        <f t="shared" si="129"/>
        <v>183110.39999999999</v>
      </c>
      <c r="R919" s="65">
        <f t="shared" si="130"/>
        <v>1015430.4</v>
      </c>
      <c r="S919" s="272"/>
      <c r="T919" s="135">
        <v>36</v>
      </c>
      <c r="U919" s="270"/>
      <c r="V919" s="38">
        <v>955591</v>
      </c>
      <c r="W919" s="38">
        <f t="shared" si="131"/>
        <v>210230.02</v>
      </c>
      <c r="X919" s="38">
        <f t="shared" si="132"/>
        <v>1165821.02</v>
      </c>
    </row>
    <row r="920" spans="1:24" ht="15" customHeight="1" x14ac:dyDescent="0.35">
      <c r="A920" s="261" t="s">
        <v>3156</v>
      </c>
      <c r="B920" s="135">
        <v>881</v>
      </c>
      <c r="C920" s="50">
        <v>10108498</v>
      </c>
      <c r="D920" s="51" t="s">
        <v>985</v>
      </c>
      <c r="E920" s="103" t="s">
        <v>2185</v>
      </c>
      <c r="F920" s="52">
        <v>10</v>
      </c>
      <c r="G920" s="135" t="s">
        <v>0</v>
      </c>
      <c r="H920" s="53" t="s">
        <v>500</v>
      </c>
      <c r="I920" s="158" t="s">
        <v>962</v>
      </c>
      <c r="J920" s="55" t="s">
        <v>2232</v>
      </c>
      <c r="K920" s="54" t="s">
        <v>985</v>
      </c>
      <c r="L920" s="146" t="s">
        <v>845</v>
      </c>
      <c r="M920" s="180">
        <f t="shared" si="127"/>
        <v>18200</v>
      </c>
      <c r="N920" s="180">
        <f t="shared" si="128"/>
        <v>1820</v>
      </c>
      <c r="O920" s="180">
        <v>18200</v>
      </c>
      <c r="P920" s="65">
        <v>12140</v>
      </c>
      <c r="Q920" s="65">
        <f t="shared" si="129"/>
        <v>2670.8</v>
      </c>
      <c r="R920" s="65">
        <f t="shared" si="130"/>
        <v>14810.8</v>
      </c>
      <c r="S920" s="272"/>
      <c r="T920" s="135">
        <v>36</v>
      </c>
      <c r="U920" s="270"/>
      <c r="V920" s="38">
        <v>13942</v>
      </c>
      <c r="W920" s="38">
        <f t="shared" si="131"/>
        <v>3067.24</v>
      </c>
      <c r="X920" s="38">
        <f t="shared" si="132"/>
        <v>17009.240000000002</v>
      </c>
    </row>
    <row r="921" spans="1:24" ht="33" customHeight="1" x14ac:dyDescent="0.35">
      <c r="A921" s="261" t="s">
        <v>3202</v>
      </c>
      <c r="B921" s="266">
        <v>882</v>
      </c>
      <c r="C921" s="50">
        <v>10104605</v>
      </c>
      <c r="D921" s="51" t="s">
        <v>1012</v>
      </c>
      <c r="E921" s="103" t="s">
        <v>2185</v>
      </c>
      <c r="F921" s="52">
        <v>11</v>
      </c>
      <c r="G921" s="135" t="s">
        <v>0</v>
      </c>
      <c r="H921" s="53" t="s">
        <v>495</v>
      </c>
      <c r="I921" s="158" t="s">
        <v>962</v>
      </c>
      <c r="J921" s="55" t="s">
        <v>955</v>
      </c>
      <c r="K921" s="54" t="s">
        <v>1201</v>
      </c>
      <c r="L921" s="146" t="s">
        <v>845</v>
      </c>
      <c r="M921" s="180">
        <f t="shared" si="127"/>
        <v>127144.51</v>
      </c>
      <c r="N921" s="180">
        <f t="shared" si="128"/>
        <v>11558.59</v>
      </c>
      <c r="O921" s="180">
        <v>127144.51</v>
      </c>
      <c r="P921" s="65">
        <v>90970</v>
      </c>
      <c r="Q921" s="65">
        <f t="shared" si="129"/>
        <v>20013.400000000001</v>
      </c>
      <c r="R921" s="65">
        <f t="shared" si="130"/>
        <v>110983.4</v>
      </c>
      <c r="S921" s="272"/>
      <c r="T921" s="135">
        <v>36</v>
      </c>
      <c r="U921" s="270"/>
      <c r="V921" s="38">
        <v>104447</v>
      </c>
      <c r="W921" s="38">
        <f t="shared" si="131"/>
        <v>22978.34</v>
      </c>
      <c r="X921" s="38">
        <f t="shared" si="132"/>
        <v>127425.34</v>
      </c>
    </row>
    <row r="922" spans="1:24" ht="15" customHeight="1" x14ac:dyDescent="0.35">
      <c r="A922" s="261" t="s">
        <v>3203</v>
      </c>
      <c r="B922" s="266">
        <v>883</v>
      </c>
      <c r="C922" s="50">
        <v>10151050</v>
      </c>
      <c r="D922" s="51" t="s">
        <v>1013</v>
      </c>
      <c r="E922" s="103" t="s">
        <v>2185</v>
      </c>
      <c r="F922" s="52">
        <v>6</v>
      </c>
      <c r="G922" s="135" t="s">
        <v>0</v>
      </c>
      <c r="H922" s="53" t="s">
        <v>493</v>
      </c>
      <c r="I922" s="158" t="s">
        <v>962</v>
      </c>
      <c r="J922" s="55" t="s">
        <v>2232</v>
      </c>
      <c r="K922" s="54" t="s">
        <v>4174</v>
      </c>
      <c r="L922" s="146" t="s">
        <v>845</v>
      </c>
      <c r="M922" s="180">
        <f t="shared" si="127"/>
        <v>27027</v>
      </c>
      <c r="N922" s="180">
        <f t="shared" si="128"/>
        <v>4504.5</v>
      </c>
      <c r="O922" s="180">
        <v>27027</v>
      </c>
      <c r="P922" s="65">
        <v>17740</v>
      </c>
      <c r="Q922" s="65">
        <f t="shared" si="129"/>
        <v>3902.8</v>
      </c>
      <c r="R922" s="65">
        <f t="shared" si="130"/>
        <v>21642.799999999999</v>
      </c>
      <c r="S922" s="272"/>
      <c r="T922" s="135">
        <v>36</v>
      </c>
      <c r="U922" s="270"/>
      <c r="V922" s="38">
        <v>20371</v>
      </c>
      <c r="W922" s="38">
        <f t="shared" si="131"/>
        <v>4481.62</v>
      </c>
      <c r="X922" s="38">
        <f t="shared" si="132"/>
        <v>24852.62</v>
      </c>
    </row>
    <row r="923" spans="1:24" ht="40" customHeight="1" x14ac:dyDescent="0.35">
      <c r="A923" s="261" t="s">
        <v>3204</v>
      </c>
      <c r="B923" s="135">
        <v>884</v>
      </c>
      <c r="C923" s="50">
        <v>10104697</v>
      </c>
      <c r="D923" s="51" t="s">
        <v>1044</v>
      </c>
      <c r="E923" s="103" t="s">
        <v>2185</v>
      </c>
      <c r="F923" s="52">
        <f>114-5-3-3-76-6</f>
        <v>21</v>
      </c>
      <c r="G923" s="135" t="s">
        <v>0</v>
      </c>
      <c r="H923" s="53" t="s">
        <v>493</v>
      </c>
      <c r="I923" s="158" t="s">
        <v>962</v>
      </c>
      <c r="J923" s="55" t="s">
        <v>955</v>
      </c>
      <c r="K923" s="54" t="s">
        <v>1044</v>
      </c>
      <c r="L923" s="146" t="s">
        <v>845</v>
      </c>
      <c r="M923" s="180">
        <f t="shared" si="127"/>
        <v>21606.19</v>
      </c>
      <c r="N923" s="180">
        <f t="shared" si="128"/>
        <v>1028.8699999999999</v>
      </c>
      <c r="O923" s="180">
        <f>117290.75/114*21</f>
        <v>21606.19</v>
      </c>
      <c r="P923" s="65">
        <f>18240/27*21</f>
        <v>14186.67</v>
      </c>
      <c r="Q923" s="65">
        <f t="shared" si="129"/>
        <v>3121.07</v>
      </c>
      <c r="R923" s="65">
        <f t="shared" si="130"/>
        <v>17307.740000000002</v>
      </c>
      <c r="S923" s="272"/>
      <c r="T923" s="135">
        <v>36</v>
      </c>
      <c r="U923" s="270"/>
      <c r="V923" s="265">
        <f>20938/27*21</f>
        <v>16285.11</v>
      </c>
      <c r="W923" s="265">
        <f t="shared" si="131"/>
        <v>3582.72</v>
      </c>
      <c r="X923" s="265">
        <f t="shared" si="132"/>
        <v>19867.830000000002</v>
      </c>
    </row>
    <row r="924" spans="1:24" s="24" customFormat="1" ht="32.15" customHeight="1" x14ac:dyDescent="0.35">
      <c r="A924" s="261" t="s">
        <v>3205</v>
      </c>
      <c r="B924" s="266">
        <v>885</v>
      </c>
      <c r="C924" s="50">
        <v>10104699</v>
      </c>
      <c r="D924" s="51" t="s">
        <v>1045</v>
      </c>
      <c r="E924" s="103" t="s">
        <v>2185</v>
      </c>
      <c r="F924" s="52">
        <f>58-5-11-3-6</f>
        <v>33</v>
      </c>
      <c r="G924" s="135" t="s">
        <v>0</v>
      </c>
      <c r="H924" s="53" t="s">
        <v>493</v>
      </c>
      <c r="I924" s="158" t="s">
        <v>962</v>
      </c>
      <c r="J924" s="158" t="s">
        <v>1917</v>
      </c>
      <c r="K924" s="54" t="s">
        <v>1045</v>
      </c>
      <c r="L924" s="146" t="s">
        <v>845</v>
      </c>
      <c r="M924" s="180">
        <f>O924</f>
        <v>37282.9</v>
      </c>
      <c r="N924" s="180">
        <f t="shared" si="128"/>
        <v>1129.78</v>
      </c>
      <c r="O924" s="180">
        <f>59878.6/53*33</f>
        <v>37282.9</v>
      </c>
      <c r="P924" s="65">
        <f>28930/39*33</f>
        <v>24479.23</v>
      </c>
      <c r="Q924" s="65">
        <f t="shared" si="129"/>
        <v>5385.43</v>
      </c>
      <c r="R924" s="65">
        <f t="shared" si="130"/>
        <v>29864.66</v>
      </c>
      <c r="S924" s="272"/>
      <c r="T924" s="135">
        <v>36</v>
      </c>
      <c r="U924" s="270"/>
      <c r="V924" s="265">
        <f>33210/39*33</f>
        <v>28100.77</v>
      </c>
      <c r="W924" s="265">
        <f t="shared" si="131"/>
        <v>6182.17</v>
      </c>
      <c r="X924" s="265">
        <f t="shared" si="132"/>
        <v>34282.94</v>
      </c>
    </row>
    <row r="925" spans="1:24" ht="31.5" customHeight="1" x14ac:dyDescent="0.35">
      <c r="A925" s="261" t="s">
        <v>3206</v>
      </c>
      <c r="B925" s="266">
        <v>886</v>
      </c>
      <c r="C925" s="50">
        <v>10104708</v>
      </c>
      <c r="D925" s="51" t="s">
        <v>1046</v>
      </c>
      <c r="E925" s="103" t="s">
        <v>2185</v>
      </c>
      <c r="F925" s="52">
        <f>76-1-5-5-2-46</f>
        <v>17</v>
      </c>
      <c r="G925" s="135" t="s">
        <v>0</v>
      </c>
      <c r="H925" s="53" t="s">
        <v>493</v>
      </c>
      <c r="I925" s="158" t="s">
        <v>962</v>
      </c>
      <c r="J925" s="158" t="s">
        <v>1917</v>
      </c>
      <c r="K925" s="54" t="s">
        <v>1046</v>
      </c>
      <c r="L925" s="146" t="s">
        <v>845</v>
      </c>
      <c r="M925" s="180">
        <f>75955.93/65*63</f>
        <v>73618.820000000007</v>
      </c>
      <c r="N925" s="180">
        <f>O925/F925</f>
        <v>1168.55</v>
      </c>
      <c r="O925" s="180">
        <f>75955.94/65*17</f>
        <v>19865.400000000001</v>
      </c>
      <c r="P925" s="65">
        <f>48330/63*17</f>
        <v>13041.43</v>
      </c>
      <c r="Q925" s="65">
        <f t="shared" si="129"/>
        <v>2869.11</v>
      </c>
      <c r="R925" s="65">
        <f t="shared" si="130"/>
        <v>15910.54</v>
      </c>
      <c r="S925" s="272"/>
      <c r="T925" s="135">
        <v>36</v>
      </c>
      <c r="U925" s="270"/>
      <c r="V925" s="265">
        <f>55488/63*17</f>
        <v>14972.95</v>
      </c>
      <c r="W925" s="265">
        <f t="shared" si="131"/>
        <v>3294.05</v>
      </c>
      <c r="X925" s="265">
        <f t="shared" si="132"/>
        <v>18267</v>
      </c>
    </row>
    <row r="926" spans="1:24" ht="33" customHeight="1" x14ac:dyDescent="0.35">
      <c r="A926" s="261" t="s">
        <v>3207</v>
      </c>
      <c r="B926" s="135">
        <v>887</v>
      </c>
      <c r="C926" s="50">
        <v>10101170</v>
      </c>
      <c r="D926" s="51" t="s">
        <v>1047</v>
      </c>
      <c r="E926" s="103" t="s">
        <v>2185</v>
      </c>
      <c r="F926" s="52">
        <f>10-2</f>
        <v>8</v>
      </c>
      <c r="G926" s="135" t="s">
        <v>0</v>
      </c>
      <c r="H926" s="53" t="s">
        <v>500</v>
      </c>
      <c r="I926" s="158" t="s">
        <v>962</v>
      </c>
      <c r="J926" s="55" t="s">
        <v>2232</v>
      </c>
      <c r="K926" s="54" t="s">
        <v>1047</v>
      </c>
      <c r="L926" s="146" t="s">
        <v>845</v>
      </c>
      <c r="M926" s="180">
        <f t="shared" si="127"/>
        <v>14970.7</v>
      </c>
      <c r="N926" s="180">
        <f t="shared" ref="N926:N975" si="133">O926/F926</f>
        <v>1871.34</v>
      </c>
      <c r="O926" s="180">
        <f>18713.37/10*8</f>
        <v>14970.7</v>
      </c>
      <c r="P926" s="65">
        <v>9990</v>
      </c>
      <c r="Q926" s="65">
        <f t="shared" si="129"/>
        <v>2197.8000000000002</v>
      </c>
      <c r="R926" s="65">
        <f t="shared" si="130"/>
        <v>12187.8</v>
      </c>
      <c r="S926" s="272"/>
      <c r="T926" s="135">
        <v>36</v>
      </c>
      <c r="U926" s="270"/>
      <c r="V926" s="38">
        <v>11468</v>
      </c>
      <c r="W926" s="38">
        <f t="shared" si="131"/>
        <v>2522.96</v>
      </c>
      <c r="X926" s="38">
        <f t="shared" si="132"/>
        <v>13990.96</v>
      </c>
    </row>
    <row r="927" spans="1:24" ht="34.5" customHeight="1" x14ac:dyDescent="0.35">
      <c r="A927" s="261" t="s">
        <v>3208</v>
      </c>
      <c r="B927" s="266">
        <v>888</v>
      </c>
      <c r="C927" s="50">
        <v>10101057</v>
      </c>
      <c r="D927" s="51" t="s">
        <v>1048</v>
      </c>
      <c r="E927" s="103" t="s">
        <v>2185</v>
      </c>
      <c r="F927" s="52">
        <f>10-1</f>
        <v>9</v>
      </c>
      <c r="G927" s="135" t="s">
        <v>0</v>
      </c>
      <c r="H927" s="53" t="s">
        <v>495</v>
      </c>
      <c r="I927" s="158" t="s">
        <v>962</v>
      </c>
      <c r="J927" s="55" t="s">
        <v>2232</v>
      </c>
      <c r="K927" s="54" t="s">
        <v>1048</v>
      </c>
      <c r="L927" s="146" t="s">
        <v>845</v>
      </c>
      <c r="M927" s="180">
        <f t="shared" si="127"/>
        <v>16650</v>
      </c>
      <c r="N927" s="180">
        <f t="shared" si="133"/>
        <v>1850</v>
      </c>
      <c r="O927" s="180">
        <f>18500/10*9</f>
        <v>16650</v>
      </c>
      <c r="P927" s="65">
        <v>11910</v>
      </c>
      <c r="Q927" s="65">
        <f t="shared" si="129"/>
        <v>2620.1999999999998</v>
      </c>
      <c r="R927" s="65">
        <f t="shared" si="130"/>
        <v>14530.2</v>
      </c>
      <c r="S927" s="272"/>
      <c r="T927" s="135">
        <v>36</v>
      </c>
      <c r="U927" s="270"/>
      <c r="V927" s="38">
        <v>13678</v>
      </c>
      <c r="W927" s="38">
        <f t="shared" si="131"/>
        <v>3009.16</v>
      </c>
      <c r="X927" s="38">
        <f t="shared" si="132"/>
        <v>16687.16</v>
      </c>
    </row>
    <row r="928" spans="1:24" ht="15" customHeight="1" x14ac:dyDescent="0.35">
      <c r="A928" s="261" t="s">
        <v>3209</v>
      </c>
      <c r="B928" s="266">
        <v>889</v>
      </c>
      <c r="C928" s="50">
        <v>10108380</v>
      </c>
      <c r="D928" s="51" t="s">
        <v>1055</v>
      </c>
      <c r="E928" s="103" t="s">
        <v>2185</v>
      </c>
      <c r="F928" s="52">
        <v>2</v>
      </c>
      <c r="G928" s="135" t="s">
        <v>0</v>
      </c>
      <c r="H928" s="53" t="s">
        <v>499</v>
      </c>
      <c r="I928" s="158" t="s">
        <v>962</v>
      </c>
      <c r="J928" s="55" t="s">
        <v>2232</v>
      </c>
      <c r="K928" s="54" t="s">
        <v>1055</v>
      </c>
      <c r="L928" s="146" t="s">
        <v>845</v>
      </c>
      <c r="M928" s="180">
        <f t="shared" si="127"/>
        <v>12492.69</v>
      </c>
      <c r="N928" s="180">
        <f t="shared" si="133"/>
        <v>6246.35</v>
      </c>
      <c r="O928" s="180">
        <v>12492.69</v>
      </c>
      <c r="P928" s="65">
        <v>8180</v>
      </c>
      <c r="Q928" s="65">
        <f t="shared" si="129"/>
        <v>1799.6</v>
      </c>
      <c r="R928" s="65">
        <f t="shared" si="130"/>
        <v>9979.6</v>
      </c>
      <c r="S928" s="272"/>
      <c r="T928" s="135">
        <v>36</v>
      </c>
      <c r="U928" s="270"/>
      <c r="V928" s="38">
        <v>9389</v>
      </c>
      <c r="W928" s="38">
        <f t="shared" si="131"/>
        <v>2065.58</v>
      </c>
      <c r="X928" s="38">
        <f t="shared" si="132"/>
        <v>11454.58</v>
      </c>
    </row>
    <row r="929" spans="1:24" ht="15" customHeight="1" x14ac:dyDescent="0.35">
      <c r="A929" s="261" t="s">
        <v>3210</v>
      </c>
      <c r="B929" s="135">
        <v>890</v>
      </c>
      <c r="C929" s="50">
        <v>10101469</v>
      </c>
      <c r="D929" s="51" t="s">
        <v>1056</v>
      </c>
      <c r="E929" s="103" t="s">
        <v>2185</v>
      </c>
      <c r="F929" s="52">
        <f>55-1</f>
        <v>54</v>
      </c>
      <c r="G929" s="135" t="s">
        <v>0</v>
      </c>
      <c r="H929" s="53" t="s">
        <v>500</v>
      </c>
      <c r="I929" s="158" t="s">
        <v>962</v>
      </c>
      <c r="J929" s="55" t="s">
        <v>2232</v>
      </c>
      <c r="K929" s="54" t="s">
        <v>1056</v>
      </c>
      <c r="L929" s="146" t="s">
        <v>845</v>
      </c>
      <c r="M929" s="180">
        <f t="shared" si="127"/>
        <v>64161.279999999999</v>
      </c>
      <c r="N929" s="180">
        <f t="shared" si="133"/>
        <v>1188.17</v>
      </c>
      <c r="O929" s="180">
        <f>65349.45/55*54</f>
        <v>64161.279999999999</v>
      </c>
      <c r="P929" s="65">
        <v>42810</v>
      </c>
      <c r="Q929" s="65">
        <f t="shared" si="129"/>
        <v>9418.2000000000007</v>
      </c>
      <c r="R929" s="65">
        <f t="shared" si="130"/>
        <v>52228.2</v>
      </c>
      <c r="S929" s="272"/>
      <c r="T929" s="135">
        <v>36</v>
      </c>
      <c r="U929" s="270"/>
      <c r="V929" s="38">
        <v>49150</v>
      </c>
      <c r="W929" s="38">
        <f t="shared" si="131"/>
        <v>10813</v>
      </c>
      <c r="X929" s="38">
        <f t="shared" si="132"/>
        <v>59963</v>
      </c>
    </row>
    <row r="930" spans="1:24" ht="15" customHeight="1" x14ac:dyDescent="0.35">
      <c r="A930" s="261" t="s">
        <v>3211</v>
      </c>
      <c r="B930" s="266">
        <v>891</v>
      </c>
      <c r="C930" s="50">
        <v>10122620</v>
      </c>
      <c r="D930" s="51" t="s">
        <v>1057</v>
      </c>
      <c r="E930" s="103" t="s">
        <v>2185</v>
      </c>
      <c r="F930" s="52">
        <v>17</v>
      </c>
      <c r="G930" s="135" t="s">
        <v>0</v>
      </c>
      <c r="H930" s="53" t="s">
        <v>499</v>
      </c>
      <c r="I930" s="158" t="s">
        <v>962</v>
      </c>
      <c r="J930" s="55" t="s">
        <v>2232</v>
      </c>
      <c r="K930" s="54" t="s">
        <v>1057</v>
      </c>
      <c r="L930" s="146" t="s">
        <v>845</v>
      </c>
      <c r="M930" s="180">
        <f t="shared" si="127"/>
        <v>33010.959999999999</v>
      </c>
      <c r="N930" s="180">
        <f t="shared" si="133"/>
        <v>1941.82</v>
      </c>
      <c r="O930" s="180">
        <v>33010.959999999999</v>
      </c>
      <c r="P930" s="65">
        <v>21610</v>
      </c>
      <c r="Q930" s="65">
        <f t="shared" si="129"/>
        <v>4754.2</v>
      </c>
      <c r="R930" s="65">
        <f t="shared" si="130"/>
        <v>26364.2</v>
      </c>
      <c r="S930" s="272"/>
      <c r="T930" s="135">
        <v>36</v>
      </c>
      <c r="U930" s="270"/>
      <c r="V930" s="38">
        <v>24808</v>
      </c>
      <c r="W930" s="38">
        <f t="shared" si="131"/>
        <v>5457.76</v>
      </c>
      <c r="X930" s="38">
        <f t="shared" si="132"/>
        <v>30265.759999999998</v>
      </c>
    </row>
    <row r="931" spans="1:24" ht="15" customHeight="1" x14ac:dyDescent="0.35">
      <c r="A931" s="261" t="s">
        <v>3212</v>
      </c>
      <c r="B931" s="266">
        <v>892</v>
      </c>
      <c r="C931" s="50">
        <v>10108176</v>
      </c>
      <c r="D931" s="51" t="s">
        <v>1058</v>
      </c>
      <c r="E931" s="103" t="s">
        <v>2185</v>
      </c>
      <c r="F931" s="52">
        <v>20</v>
      </c>
      <c r="G931" s="135" t="s">
        <v>0</v>
      </c>
      <c r="H931" s="53" t="s">
        <v>499</v>
      </c>
      <c r="I931" s="158" t="s">
        <v>962</v>
      </c>
      <c r="J931" s="55" t="s">
        <v>2232</v>
      </c>
      <c r="K931" s="54" t="s">
        <v>1058</v>
      </c>
      <c r="L931" s="146" t="s">
        <v>845</v>
      </c>
      <c r="M931" s="180">
        <f t="shared" si="127"/>
        <v>40528.800000000003</v>
      </c>
      <c r="N931" s="180">
        <f t="shared" si="133"/>
        <v>2026.44</v>
      </c>
      <c r="O931" s="180">
        <v>40528.800000000003</v>
      </c>
      <c r="P931" s="65">
        <v>26530</v>
      </c>
      <c r="Q931" s="65">
        <f t="shared" si="129"/>
        <v>5836.6</v>
      </c>
      <c r="R931" s="65">
        <f t="shared" si="130"/>
        <v>32366.6</v>
      </c>
      <c r="S931" s="272"/>
      <c r="T931" s="135">
        <v>36</v>
      </c>
      <c r="U931" s="270"/>
      <c r="V931" s="38">
        <v>30458</v>
      </c>
      <c r="W931" s="38">
        <f t="shared" si="131"/>
        <v>6700.76</v>
      </c>
      <c r="X931" s="38">
        <f t="shared" si="132"/>
        <v>37158.76</v>
      </c>
    </row>
    <row r="932" spans="1:24" ht="15" customHeight="1" x14ac:dyDescent="0.35">
      <c r="A932" s="261" t="s">
        <v>3213</v>
      </c>
      <c r="B932" s="135">
        <v>893</v>
      </c>
      <c r="C932" s="50">
        <v>10124454</v>
      </c>
      <c r="D932" s="51" t="s">
        <v>485</v>
      </c>
      <c r="E932" s="103" t="s">
        <v>2185</v>
      </c>
      <c r="F932" s="52">
        <v>30</v>
      </c>
      <c r="G932" s="135" t="s">
        <v>0</v>
      </c>
      <c r="H932" s="53" t="s">
        <v>499</v>
      </c>
      <c r="I932" s="158" t="s">
        <v>962</v>
      </c>
      <c r="J932" s="55" t="s">
        <v>2232</v>
      </c>
      <c r="K932" s="54" t="s">
        <v>485</v>
      </c>
      <c r="L932" s="146" t="s">
        <v>845</v>
      </c>
      <c r="M932" s="180">
        <f t="shared" si="127"/>
        <v>185505.84</v>
      </c>
      <c r="N932" s="180">
        <f t="shared" si="133"/>
        <v>6183.53</v>
      </c>
      <c r="O932" s="180">
        <v>185505.84</v>
      </c>
      <c r="P932" s="65">
        <v>121430</v>
      </c>
      <c r="Q932" s="65">
        <f t="shared" si="129"/>
        <v>26714.6</v>
      </c>
      <c r="R932" s="65">
        <f t="shared" si="130"/>
        <v>148144.6</v>
      </c>
      <c r="S932" s="272"/>
      <c r="T932" s="135">
        <v>36</v>
      </c>
      <c r="U932" s="270"/>
      <c r="V932" s="38">
        <v>139411</v>
      </c>
      <c r="W932" s="38">
        <f t="shared" si="131"/>
        <v>30670.42</v>
      </c>
      <c r="X932" s="38">
        <f t="shared" si="132"/>
        <v>170081.42</v>
      </c>
    </row>
    <row r="933" spans="1:24" ht="15" customHeight="1" x14ac:dyDescent="0.35">
      <c r="A933" s="261" t="s">
        <v>3214</v>
      </c>
      <c r="B933" s="266">
        <v>894</v>
      </c>
      <c r="C933" s="50">
        <v>10124455</v>
      </c>
      <c r="D933" s="51" t="s">
        <v>477</v>
      </c>
      <c r="E933" s="103" t="s">
        <v>2185</v>
      </c>
      <c r="F933" s="52">
        <v>18</v>
      </c>
      <c r="G933" s="135" t="s">
        <v>0</v>
      </c>
      <c r="H933" s="53" t="s">
        <v>499</v>
      </c>
      <c r="I933" s="158" t="s">
        <v>962</v>
      </c>
      <c r="J933" s="55" t="s">
        <v>2232</v>
      </c>
      <c r="K933" s="54" t="s">
        <v>477</v>
      </c>
      <c r="L933" s="146" t="s">
        <v>845</v>
      </c>
      <c r="M933" s="180">
        <f t="shared" si="127"/>
        <v>116680.28</v>
      </c>
      <c r="N933" s="180">
        <f t="shared" si="133"/>
        <v>6482.24</v>
      </c>
      <c r="O933" s="180">
        <v>116680.28</v>
      </c>
      <c r="P933" s="65">
        <v>76380</v>
      </c>
      <c r="Q933" s="65">
        <f t="shared" si="129"/>
        <v>16803.599999999999</v>
      </c>
      <c r="R933" s="65">
        <f t="shared" si="130"/>
        <v>93183.6</v>
      </c>
      <c r="S933" s="272"/>
      <c r="T933" s="135">
        <v>36</v>
      </c>
      <c r="U933" s="270"/>
      <c r="V933" s="38">
        <v>87688</v>
      </c>
      <c r="W933" s="38">
        <f t="shared" si="131"/>
        <v>19291.36</v>
      </c>
      <c r="X933" s="38">
        <f t="shared" si="132"/>
        <v>106979.36</v>
      </c>
    </row>
    <row r="934" spans="1:24" ht="15" customHeight="1" x14ac:dyDescent="0.35">
      <c r="A934" s="261" t="s">
        <v>3215</v>
      </c>
      <c r="B934" s="266">
        <v>895</v>
      </c>
      <c r="C934" s="50">
        <v>10015703</v>
      </c>
      <c r="D934" s="51" t="s">
        <v>1073</v>
      </c>
      <c r="E934" s="103" t="s">
        <v>2185</v>
      </c>
      <c r="F934" s="52">
        <v>3</v>
      </c>
      <c r="G934" s="135" t="s">
        <v>0</v>
      </c>
      <c r="H934" s="53" t="s">
        <v>500</v>
      </c>
      <c r="I934" s="158" t="s">
        <v>962</v>
      </c>
      <c r="J934" s="55" t="s">
        <v>2232</v>
      </c>
      <c r="K934" s="54" t="s">
        <v>1073</v>
      </c>
      <c r="L934" s="146" t="s">
        <v>845</v>
      </c>
      <c r="M934" s="180">
        <f t="shared" si="127"/>
        <v>7000.01</v>
      </c>
      <c r="N934" s="180">
        <f t="shared" si="133"/>
        <v>2333.34</v>
      </c>
      <c r="O934" s="180">
        <v>7000.01</v>
      </c>
      <c r="P934" s="65">
        <v>4670</v>
      </c>
      <c r="Q934" s="65">
        <f t="shared" si="129"/>
        <v>1027.4000000000001</v>
      </c>
      <c r="R934" s="65">
        <f t="shared" si="130"/>
        <v>5697.4</v>
      </c>
      <c r="S934" s="272"/>
      <c r="T934" s="135">
        <v>36</v>
      </c>
      <c r="U934" s="270"/>
      <c r="V934" s="38">
        <v>5362</v>
      </c>
      <c r="W934" s="38">
        <f t="shared" si="131"/>
        <v>1179.6400000000001</v>
      </c>
      <c r="X934" s="38">
        <f t="shared" si="132"/>
        <v>6541.64</v>
      </c>
    </row>
    <row r="935" spans="1:24" ht="24.75" customHeight="1" x14ac:dyDescent="0.35">
      <c r="A935" s="261" t="s">
        <v>3216</v>
      </c>
      <c r="B935" s="135">
        <v>896</v>
      </c>
      <c r="C935" s="50">
        <v>10104569</v>
      </c>
      <c r="D935" s="51" t="s">
        <v>1082</v>
      </c>
      <c r="E935" s="103" t="s">
        <v>2185</v>
      </c>
      <c r="F935" s="52">
        <v>17</v>
      </c>
      <c r="G935" s="135" t="s">
        <v>0</v>
      </c>
      <c r="H935" s="53" t="s">
        <v>500</v>
      </c>
      <c r="I935" s="158" t="s">
        <v>962</v>
      </c>
      <c r="J935" s="158" t="s">
        <v>1917</v>
      </c>
      <c r="K935" s="54" t="s">
        <v>1082</v>
      </c>
      <c r="L935" s="146" t="s">
        <v>845</v>
      </c>
      <c r="M935" s="180">
        <f t="shared" si="127"/>
        <v>30542.39</v>
      </c>
      <c r="N935" s="180">
        <f t="shared" si="133"/>
        <v>1796.61</v>
      </c>
      <c r="O935" s="180">
        <v>30542.39</v>
      </c>
      <c r="P935" s="65">
        <v>20380</v>
      </c>
      <c r="Q935" s="65">
        <f t="shared" si="129"/>
        <v>4483.6000000000004</v>
      </c>
      <c r="R935" s="65">
        <f t="shared" si="130"/>
        <v>24863.599999999999</v>
      </c>
      <c r="S935" s="272"/>
      <c r="T935" s="135">
        <v>36</v>
      </c>
      <c r="U935" s="270"/>
      <c r="V935" s="38">
        <v>23397</v>
      </c>
      <c r="W935" s="38">
        <f t="shared" si="131"/>
        <v>5147.34</v>
      </c>
      <c r="X935" s="38">
        <f t="shared" si="132"/>
        <v>28544.34</v>
      </c>
    </row>
    <row r="936" spans="1:24" ht="39" customHeight="1" x14ac:dyDescent="0.35">
      <c r="A936" s="261" t="s">
        <v>3217</v>
      </c>
      <c r="B936" s="266">
        <v>897</v>
      </c>
      <c r="C936" s="50">
        <v>10105138</v>
      </c>
      <c r="D936" s="51" t="s">
        <v>1083</v>
      </c>
      <c r="E936" s="103" t="s">
        <v>2185</v>
      </c>
      <c r="F936" s="52">
        <v>41</v>
      </c>
      <c r="G936" s="135" t="s">
        <v>0</v>
      </c>
      <c r="H936" s="53" t="s">
        <v>500</v>
      </c>
      <c r="I936" s="158" t="s">
        <v>962</v>
      </c>
      <c r="J936" s="158" t="s">
        <v>1917</v>
      </c>
      <c r="K936" s="54" t="s">
        <v>1083</v>
      </c>
      <c r="L936" s="146" t="s">
        <v>845</v>
      </c>
      <c r="M936" s="180">
        <f t="shared" si="127"/>
        <v>632913.25</v>
      </c>
      <c r="N936" s="180">
        <f t="shared" si="133"/>
        <v>15436.91</v>
      </c>
      <c r="O936" s="180">
        <v>632913.25</v>
      </c>
      <c r="P936" s="65">
        <v>422290</v>
      </c>
      <c r="Q936" s="65">
        <f t="shared" si="129"/>
        <v>92903.8</v>
      </c>
      <c r="R936" s="65">
        <f t="shared" si="130"/>
        <v>515193.8</v>
      </c>
      <c r="S936" s="272"/>
      <c r="T936" s="135">
        <v>36</v>
      </c>
      <c r="U936" s="270"/>
      <c r="V936" s="38">
        <v>484837</v>
      </c>
      <c r="W936" s="38">
        <f t="shared" si="131"/>
        <v>106664.14</v>
      </c>
      <c r="X936" s="38">
        <f t="shared" si="132"/>
        <v>591501.14</v>
      </c>
    </row>
    <row r="937" spans="1:24" ht="45" customHeight="1" x14ac:dyDescent="0.35">
      <c r="A937" s="261" t="s">
        <v>3218</v>
      </c>
      <c r="B937" s="266">
        <v>898</v>
      </c>
      <c r="C937" s="50">
        <v>10106484</v>
      </c>
      <c r="D937" s="51" t="s">
        <v>1084</v>
      </c>
      <c r="E937" s="103" t="s">
        <v>2185</v>
      </c>
      <c r="F937" s="52">
        <v>2</v>
      </c>
      <c r="G937" s="135" t="s">
        <v>0</v>
      </c>
      <c r="H937" s="53" t="s">
        <v>500</v>
      </c>
      <c r="I937" s="158" t="s">
        <v>962</v>
      </c>
      <c r="J937" s="55" t="s">
        <v>2232</v>
      </c>
      <c r="K937" s="54" t="s">
        <v>1084</v>
      </c>
      <c r="L937" s="146" t="s">
        <v>845</v>
      </c>
      <c r="M937" s="180">
        <f t="shared" si="127"/>
        <v>23741.88</v>
      </c>
      <c r="N937" s="180">
        <f t="shared" si="133"/>
        <v>11870.94</v>
      </c>
      <c r="O937" s="180">
        <v>23741.88</v>
      </c>
      <c r="P937" s="65">
        <v>15840</v>
      </c>
      <c r="Q937" s="65">
        <f t="shared" si="129"/>
        <v>3484.8</v>
      </c>
      <c r="R937" s="65">
        <f t="shared" si="130"/>
        <v>19324.8</v>
      </c>
      <c r="S937" s="272"/>
      <c r="T937" s="135">
        <v>36</v>
      </c>
      <c r="U937" s="270"/>
      <c r="V937" s="38">
        <v>18187</v>
      </c>
      <c r="W937" s="38">
        <f t="shared" si="131"/>
        <v>4001.14</v>
      </c>
      <c r="X937" s="38">
        <f t="shared" si="132"/>
        <v>22188.14</v>
      </c>
    </row>
    <row r="938" spans="1:24" ht="25.5" customHeight="1" x14ac:dyDescent="0.35">
      <c r="A938" s="261" t="s">
        <v>3219</v>
      </c>
      <c r="B938" s="135">
        <v>899</v>
      </c>
      <c r="C938" s="50">
        <v>10102082</v>
      </c>
      <c r="D938" s="51" t="s">
        <v>121</v>
      </c>
      <c r="E938" s="103" t="s">
        <v>2185</v>
      </c>
      <c r="F938" s="52">
        <v>7</v>
      </c>
      <c r="G938" s="135" t="s">
        <v>0</v>
      </c>
      <c r="H938" s="53" t="s">
        <v>500</v>
      </c>
      <c r="I938" s="158" t="s">
        <v>962</v>
      </c>
      <c r="J938" s="55" t="s">
        <v>2232</v>
      </c>
      <c r="K938" s="54" t="s">
        <v>1226</v>
      </c>
      <c r="L938" s="146" t="s">
        <v>845</v>
      </c>
      <c r="M938" s="180">
        <f t="shared" si="127"/>
        <v>31682</v>
      </c>
      <c r="N938" s="180">
        <f t="shared" si="133"/>
        <v>4526</v>
      </c>
      <c r="O938" s="180">
        <v>31682</v>
      </c>
      <c r="P938" s="65">
        <v>21140</v>
      </c>
      <c r="Q938" s="65">
        <f t="shared" si="129"/>
        <v>4650.8</v>
      </c>
      <c r="R938" s="65">
        <f t="shared" si="130"/>
        <v>25790.799999999999</v>
      </c>
      <c r="S938" s="272"/>
      <c r="T938" s="135">
        <v>36</v>
      </c>
      <c r="U938" s="270"/>
      <c r="V938" s="38">
        <v>24270</v>
      </c>
      <c r="W938" s="38">
        <f t="shared" si="131"/>
        <v>5339.4</v>
      </c>
      <c r="X938" s="38">
        <f t="shared" si="132"/>
        <v>29609.4</v>
      </c>
    </row>
    <row r="939" spans="1:24" ht="15" customHeight="1" x14ac:dyDescent="0.35">
      <c r="A939" s="261" t="s">
        <v>3220</v>
      </c>
      <c r="B939" s="266">
        <v>900</v>
      </c>
      <c r="C939" s="50">
        <v>10118041</v>
      </c>
      <c r="D939" s="51" t="s">
        <v>1086</v>
      </c>
      <c r="E939" s="103" t="s">
        <v>2185</v>
      </c>
      <c r="F939" s="52">
        <f>8-6</f>
        <v>2</v>
      </c>
      <c r="G939" s="135" t="s">
        <v>0</v>
      </c>
      <c r="H939" s="53" t="s">
        <v>500</v>
      </c>
      <c r="I939" s="158" t="s">
        <v>962</v>
      </c>
      <c r="J939" s="55" t="s">
        <v>2232</v>
      </c>
      <c r="K939" s="54" t="s">
        <v>1227</v>
      </c>
      <c r="L939" s="146" t="s">
        <v>845</v>
      </c>
      <c r="M939" s="180">
        <f t="shared" si="127"/>
        <v>37721.599999999999</v>
      </c>
      <c r="N939" s="180">
        <f t="shared" si="133"/>
        <v>18860.8</v>
      </c>
      <c r="O939" s="180">
        <f>150886.4/8*2</f>
        <v>37721.599999999999</v>
      </c>
      <c r="P939" s="65">
        <v>25170</v>
      </c>
      <c r="Q939" s="65">
        <f t="shared" si="129"/>
        <v>5537.4</v>
      </c>
      <c r="R939" s="65">
        <f t="shared" si="130"/>
        <v>30707.4</v>
      </c>
      <c r="S939" s="272"/>
      <c r="T939" s="135">
        <v>36</v>
      </c>
      <c r="U939" s="270"/>
      <c r="V939" s="38">
        <v>28896</v>
      </c>
      <c r="W939" s="38">
        <f t="shared" si="131"/>
        <v>6357.12</v>
      </c>
      <c r="X939" s="38">
        <f t="shared" si="132"/>
        <v>35253.120000000003</v>
      </c>
    </row>
    <row r="940" spans="1:24" ht="15" customHeight="1" x14ac:dyDescent="0.35">
      <c r="A940" s="261" t="s">
        <v>3221</v>
      </c>
      <c r="B940" s="266">
        <v>901</v>
      </c>
      <c r="C940" s="50">
        <v>10118052</v>
      </c>
      <c r="D940" s="51" t="s">
        <v>1087</v>
      </c>
      <c r="E940" s="103" t="s">
        <v>2185</v>
      </c>
      <c r="F940" s="52">
        <v>10</v>
      </c>
      <c r="G940" s="135" t="s">
        <v>0</v>
      </c>
      <c r="H940" s="53" t="s">
        <v>499</v>
      </c>
      <c r="I940" s="158" t="s">
        <v>962</v>
      </c>
      <c r="J940" s="55" t="s">
        <v>2232</v>
      </c>
      <c r="K940" s="54" t="s">
        <v>1228</v>
      </c>
      <c r="L940" s="146" t="s">
        <v>845</v>
      </c>
      <c r="M940" s="180">
        <f t="shared" si="127"/>
        <v>112020</v>
      </c>
      <c r="N940" s="180">
        <f t="shared" si="133"/>
        <v>11202</v>
      </c>
      <c r="O940" s="180">
        <v>112020</v>
      </c>
      <c r="P940" s="65">
        <v>73330</v>
      </c>
      <c r="Q940" s="65">
        <f t="shared" si="129"/>
        <v>16132.6</v>
      </c>
      <c r="R940" s="65">
        <f t="shared" si="130"/>
        <v>89462.6</v>
      </c>
      <c r="S940" s="272"/>
      <c r="T940" s="135">
        <v>36</v>
      </c>
      <c r="U940" s="270"/>
      <c r="V940" s="38">
        <v>84185</v>
      </c>
      <c r="W940" s="38">
        <f t="shared" si="131"/>
        <v>18520.7</v>
      </c>
      <c r="X940" s="38">
        <f t="shared" si="132"/>
        <v>102705.7</v>
      </c>
    </row>
    <row r="941" spans="1:24" ht="15" customHeight="1" x14ac:dyDescent="0.35">
      <c r="A941" s="261" t="s">
        <v>3222</v>
      </c>
      <c r="B941" s="135">
        <v>902</v>
      </c>
      <c r="C941" s="50">
        <v>10118009</v>
      </c>
      <c r="D941" s="51" t="s">
        <v>1088</v>
      </c>
      <c r="E941" s="103" t="s">
        <v>2185</v>
      </c>
      <c r="F941" s="52">
        <v>6</v>
      </c>
      <c r="G941" s="135" t="s">
        <v>0</v>
      </c>
      <c r="H941" s="53" t="s">
        <v>500</v>
      </c>
      <c r="I941" s="158" t="s">
        <v>962</v>
      </c>
      <c r="J941" s="55" t="s">
        <v>2232</v>
      </c>
      <c r="K941" s="54" t="s">
        <v>1229</v>
      </c>
      <c r="L941" s="146" t="s">
        <v>845</v>
      </c>
      <c r="M941" s="180">
        <f t="shared" si="127"/>
        <v>72038.399999999994</v>
      </c>
      <c r="N941" s="180">
        <f t="shared" si="133"/>
        <v>12006.4</v>
      </c>
      <c r="O941" s="180">
        <v>72038.399999999994</v>
      </c>
      <c r="P941" s="65">
        <v>48070</v>
      </c>
      <c r="Q941" s="65">
        <f t="shared" si="129"/>
        <v>10575.4</v>
      </c>
      <c r="R941" s="65">
        <f t="shared" si="130"/>
        <v>58645.4</v>
      </c>
      <c r="S941" s="272"/>
      <c r="T941" s="135">
        <v>36</v>
      </c>
      <c r="U941" s="270"/>
      <c r="V941" s="38">
        <v>55184</v>
      </c>
      <c r="W941" s="38">
        <f t="shared" si="131"/>
        <v>12140.48</v>
      </c>
      <c r="X941" s="38">
        <f t="shared" si="132"/>
        <v>67324.479999999996</v>
      </c>
    </row>
    <row r="942" spans="1:24" ht="15" customHeight="1" x14ac:dyDescent="0.35">
      <c r="A942" s="261" t="s">
        <v>3223</v>
      </c>
      <c r="B942" s="266">
        <v>903</v>
      </c>
      <c r="C942" s="50">
        <v>10118040</v>
      </c>
      <c r="D942" s="51" t="s">
        <v>1089</v>
      </c>
      <c r="E942" s="103" t="s">
        <v>2185</v>
      </c>
      <c r="F942" s="52">
        <v>6</v>
      </c>
      <c r="G942" s="135" t="s">
        <v>0</v>
      </c>
      <c r="H942" s="53" t="s">
        <v>500</v>
      </c>
      <c r="I942" s="158" t="s">
        <v>962</v>
      </c>
      <c r="J942" s="55" t="s">
        <v>2232</v>
      </c>
      <c r="K942" s="54" t="s">
        <v>1230</v>
      </c>
      <c r="L942" s="146" t="s">
        <v>845</v>
      </c>
      <c r="M942" s="180">
        <f t="shared" ref="M942:M975" si="134">O942</f>
        <v>82118.399999999994</v>
      </c>
      <c r="N942" s="180">
        <f t="shared" si="133"/>
        <v>13686.4</v>
      </c>
      <c r="O942" s="180">
        <v>82118.399999999994</v>
      </c>
      <c r="P942" s="65">
        <v>54790</v>
      </c>
      <c r="Q942" s="65">
        <f t="shared" si="129"/>
        <v>12053.8</v>
      </c>
      <c r="R942" s="65">
        <f t="shared" si="130"/>
        <v>66843.8</v>
      </c>
      <c r="S942" s="272"/>
      <c r="T942" s="135">
        <v>36</v>
      </c>
      <c r="U942" s="270"/>
      <c r="V942" s="38">
        <v>62906</v>
      </c>
      <c r="W942" s="38">
        <f t="shared" si="131"/>
        <v>13839.32</v>
      </c>
      <c r="X942" s="38">
        <f t="shared" si="132"/>
        <v>76745.320000000007</v>
      </c>
    </row>
    <row r="943" spans="1:24" ht="15" customHeight="1" x14ac:dyDescent="0.35">
      <c r="A943" s="261" t="s">
        <v>3224</v>
      </c>
      <c r="B943" s="266">
        <v>904</v>
      </c>
      <c r="C943" s="50">
        <v>10117838</v>
      </c>
      <c r="D943" s="51" t="s">
        <v>1090</v>
      </c>
      <c r="E943" s="103" t="s">
        <v>2185</v>
      </c>
      <c r="F943" s="52">
        <v>4</v>
      </c>
      <c r="G943" s="135" t="s">
        <v>0</v>
      </c>
      <c r="H943" s="53" t="s">
        <v>500</v>
      </c>
      <c r="I943" s="158" t="s">
        <v>962</v>
      </c>
      <c r="J943" s="55" t="s">
        <v>2232</v>
      </c>
      <c r="K943" s="54" t="s">
        <v>1231</v>
      </c>
      <c r="L943" s="146" t="s">
        <v>845</v>
      </c>
      <c r="M943" s="180">
        <f t="shared" si="134"/>
        <v>66124.800000000003</v>
      </c>
      <c r="N943" s="180">
        <f t="shared" si="133"/>
        <v>16531.2</v>
      </c>
      <c r="O943" s="180">
        <v>66124.800000000003</v>
      </c>
      <c r="P943" s="65">
        <v>44120</v>
      </c>
      <c r="Q943" s="65">
        <f t="shared" si="129"/>
        <v>9706.4</v>
      </c>
      <c r="R943" s="65">
        <f t="shared" si="130"/>
        <v>53826.400000000001</v>
      </c>
      <c r="S943" s="272"/>
      <c r="T943" s="135">
        <v>36</v>
      </c>
      <c r="U943" s="270"/>
      <c r="V943" s="38">
        <v>50654</v>
      </c>
      <c r="W943" s="38">
        <f t="shared" si="131"/>
        <v>11143.88</v>
      </c>
      <c r="X943" s="38">
        <f t="shared" si="132"/>
        <v>61797.88</v>
      </c>
    </row>
    <row r="944" spans="1:24" ht="15" customHeight="1" x14ac:dyDescent="0.35">
      <c r="A944" s="261" t="s">
        <v>3225</v>
      </c>
      <c r="B944" s="135">
        <v>905</v>
      </c>
      <c r="C944" s="50">
        <v>10117857</v>
      </c>
      <c r="D944" s="51" t="s">
        <v>1091</v>
      </c>
      <c r="E944" s="103" t="s">
        <v>2185</v>
      </c>
      <c r="F944" s="52">
        <v>5</v>
      </c>
      <c r="G944" s="135" t="s">
        <v>0</v>
      </c>
      <c r="H944" s="53" t="s">
        <v>500</v>
      </c>
      <c r="I944" s="158" t="s">
        <v>962</v>
      </c>
      <c r="J944" s="55" t="s">
        <v>2232</v>
      </c>
      <c r="K944" s="54" t="s">
        <v>1232</v>
      </c>
      <c r="L944" s="146" t="s">
        <v>845</v>
      </c>
      <c r="M944" s="180">
        <f t="shared" si="134"/>
        <v>100240</v>
      </c>
      <c r="N944" s="180">
        <f t="shared" si="133"/>
        <v>20048</v>
      </c>
      <c r="O944" s="180">
        <v>100240</v>
      </c>
      <c r="P944" s="65">
        <v>66880</v>
      </c>
      <c r="Q944" s="65">
        <f t="shared" si="129"/>
        <v>14713.6</v>
      </c>
      <c r="R944" s="65">
        <f t="shared" si="130"/>
        <v>81593.600000000006</v>
      </c>
      <c r="S944" s="272"/>
      <c r="T944" s="135">
        <v>36</v>
      </c>
      <c r="U944" s="270"/>
      <c r="V944" s="38">
        <v>76788</v>
      </c>
      <c r="W944" s="38">
        <f t="shared" si="131"/>
        <v>16893.36</v>
      </c>
      <c r="X944" s="38">
        <f t="shared" si="132"/>
        <v>93681.36</v>
      </c>
    </row>
    <row r="945" spans="1:24" ht="15" customHeight="1" x14ac:dyDescent="0.35">
      <c r="A945" s="261" t="s">
        <v>3226</v>
      </c>
      <c r="B945" s="266">
        <v>906</v>
      </c>
      <c r="C945" s="50">
        <v>10118030</v>
      </c>
      <c r="D945" s="51" t="s">
        <v>1092</v>
      </c>
      <c r="E945" s="103" t="s">
        <v>2185</v>
      </c>
      <c r="F945" s="52">
        <v>11</v>
      </c>
      <c r="G945" s="135" t="s">
        <v>0</v>
      </c>
      <c r="H945" s="53" t="s">
        <v>499</v>
      </c>
      <c r="I945" s="158" t="s">
        <v>962</v>
      </c>
      <c r="J945" s="55" t="s">
        <v>2232</v>
      </c>
      <c r="K945" s="54" t="s">
        <v>1233</v>
      </c>
      <c r="L945" s="146" t="s">
        <v>845</v>
      </c>
      <c r="M945" s="180">
        <f t="shared" si="134"/>
        <v>129141.36</v>
      </c>
      <c r="N945" s="180">
        <f t="shared" si="133"/>
        <v>11740.12</v>
      </c>
      <c r="O945" s="180">
        <v>129141.36</v>
      </c>
      <c r="P945" s="65">
        <v>84530</v>
      </c>
      <c r="Q945" s="65">
        <f t="shared" si="129"/>
        <v>18596.599999999999</v>
      </c>
      <c r="R945" s="65">
        <f t="shared" si="130"/>
        <v>103126.6</v>
      </c>
      <c r="S945" s="272"/>
      <c r="T945" s="135">
        <v>36</v>
      </c>
      <c r="U945" s="270"/>
      <c r="V945" s="38">
        <v>97052</v>
      </c>
      <c r="W945" s="38">
        <f t="shared" si="131"/>
        <v>21351.439999999999</v>
      </c>
      <c r="X945" s="38">
        <f t="shared" si="132"/>
        <v>118403.44</v>
      </c>
    </row>
    <row r="946" spans="1:24" ht="30" customHeight="1" x14ac:dyDescent="0.35">
      <c r="A946" s="261" t="s">
        <v>3227</v>
      </c>
      <c r="B946" s="266">
        <v>907</v>
      </c>
      <c r="C946" s="50">
        <v>10118020</v>
      </c>
      <c r="D946" s="51" t="s">
        <v>1093</v>
      </c>
      <c r="E946" s="103" t="s">
        <v>2185</v>
      </c>
      <c r="F946" s="52">
        <v>6</v>
      </c>
      <c r="G946" s="135" t="s">
        <v>0</v>
      </c>
      <c r="H946" s="53" t="s">
        <v>500</v>
      </c>
      <c r="I946" s="158" t="s">
        <v>962</v>
      </c>
      <c r="J946" s="55" t="s">
        <v>2232</v>
      </c>
      <c r="K946" s="54" t="s">
        <v>1234</v>
      </c>
      <c r="L946" s="146" t="s">
        <v>845</v>
      </c>
      <c r="M946" s="180">
        <f t="shared" si="134"/>
        <v>77616</v>
      </c>
      <c r="N946" s="180">
        <f t="shared" si="133"/>
        <v>12936</v>
      </c>
      <c r="O946" s="180">
        <v>77616</v>
      </c>
      <c r="P946" s="65">
        <v>51790</v>
      </c>
      <c r="Q946" s="65">
        <f t="shared" si="129"/>
        <v>11393.8</v>
      </c>
      <c r="R946" s="65">
        <f t="shared" si="130"/>
        <v>63183.8</v>
      </c>
      <c r="S946" s="272"/>
      <c r="T946" s="135">
        <v>36</v>
      </c>
      <c r="U946" s="270"/>
      <c r="V946" s="38">
        <v>59457</v>
      </c>
      <c r="W946" s="38">
        <f t="shared" si="131"/>
        <v>13080.54</v>
      </c>
      <c r="X946" s="38">
        <f t="shared" si="132"/>
        <v>72537.539999999994</v>
      </c>
    </row>
    <row r="947" spans="1:24" ht="30" customHeight="1" x14ac:dyDescent="0.35">
      <c r="A947" s="261" t="s">
        <v>3228</v>
      </c>
      <c r="B947" s="135">
        <v>908</v>
      </c>
      <c r="C947" s="50">
        <v>10117986</v>
      </c>
      <c r="D947" s="51" t="s">
        <v>1094</v>
      </c>
      <c r="E947" s="103" t="s">
        <v>2185</v>
      </c>
      <c r="F947" s="52">
        <v>10</v>
      </c>
      <c r="G947" s="135" t="s">
        <v>0</v>
      </c>
      <c r="H947" s="53" t="s">
        <v>500</v>
      </c>
      <c r="I947" s="158" t="s">
        <v>962</v>
      </c>
      <c r="J947" s="55" t="s">
        <v>2232</v>
      </c>
      <c r="K947" s="54" t="s">
        <v>1235</v>
      </c>
      <c r="L947" s="146" t="s">
        <v>845</v>
      </c>
      <c r="M947" s="180">
        <f t="shared" si="134"/>
        <v>171360</v>
      </c>
      <c r="N947" s="180">
        <f t="shared" si="133"/>
        <v>17136</v>
      </c>
      <c r="O947" s="180">
        <v>171360</v>
      </c>
      <c r="P947" s="65">
        <v>114330</v>
      </c>
      <c r="Q947" s="65">
        <f t="shared" si="129"/>
        <v>25152.6</v>
      </c>
      <c r="R947" s="65">
        <f t="shared" si="130"/>
        <v>139482.6</v>
      </c>
      <c r="S947" s="272"/>
      <c r="T947" s="135">
        <v>36</v>
      </c>
      <c r="U947" s="270"/>
      <c r="V947" s="38">
        <v>131269</v>
      </c>
      <c r="W947" s="38">
        <f t="shared" si="131"/>
        <v>28879.18</v>
      </c>
      <c r="X947" s="38">
        <f t="shared" si="132"/>
        <v>160148.18</v>
      </c>
    </row>
    <row r="948" spans="1:24" ht="15" customHeight="1" x14ac:dyDescent="0.35">
      <c r="A948" s="261" t="s">
        <v>3229</v>
      </c>
      <c r="B948" s="266">
        <v>909</v>
      </c>
      <c r="C948" s="50">
        <v>10111935</v>
      </c>
      <c r="D948" s="51" t="s">
        <v>1120</v>
      </c>
      <c r="E948" s="103" t="s">
        <v>2185</v>
      </c>
      <c r="F948" s="52">
        <v>3</v>
      </c>
      <c r="G948" s="135" t="s">
        <v>0</v>
      </c>
      <c r="H948" s="53" t="s">
        <v>500</v>
      </c>
      <c r="I948" s="158" t="s">
        <v>962</v>
      </c>
      <c r="J948" s="55" t="s">
        <v>2232</v>
      </c>
      <c r="K948" s="54" t="s">
        <v>1242</v>
      </c>
      <c r="L948" s="146" t="s">
        <v>845</v>
      </c>
      <c r="M948" s="180">
        <f t="shared" si="134"/>
        <v>18525.27</v>
      </c>
      <c r="N948" s="180">
        <f t="shared" si="133"/>
        <v>6175.09</v>
      </c>
      <c r="O948" s="180">
        <v>18525.27</v>
      </c>
      <c r="P948" s="65">
        <v>12190</v>
      </c>
      <c r="Q948" s="65">
        <f t="shared" si="129"/>
        <v>2681.8</v>
      </c>
      <c r="R948" s="65">
        <f t="shared" si="130"/>
        <v>14871.8</v>
      </c>
      <c r="S948" s="272"/>
      <c r="T948" s="135">
        <v>36</v>
      </c>
      <c r="U948" s="270"/>
      <c r="V948" s="38">
        <v>13995</v>
      </c>
      <c r="W948" s="38">
        <f t="shared" si="131"/>
        <v>3078.9</v>
      </c>
      <c r="X948" s="38">
        <f t="shared" si="132"/>
        <v>17073.900000000001</v>
      </c>
    </row>
    <row r="949" spans="1:24" ht="15" customHeight="1" x14ac:dyDescent="0.35">
      <c r="A949" s="261" t="s">
        <v>3230</v>
      </c>
      <c r="B949" s="266">
        <v>910</v>
      </c>
      <c r="C949" s="181">
        <v>10151749</v>
      </c>
      <c r="D949" s="103" t="s">
        <v>1247</v>
      </c>
      <c r="E949" s="103" t="s">
        <v>2164</v>
      </c>
      <c r="F949" s="177">
        <v>1</v>
      </c>
      <c r="G949" s="135" t="s">
        <v>0</v>
      </c>
      <c r="H949" s="173">
        <v>41428</v>
      </c>
      <c r="I949" s="173" t="s">
        <v>2158</v>
      </c>
      <c r="J949" s="158" t="s">
        <v>1917</v>
      </c>
      <c r="K949" s="182" t="s">
        <v>961</v>
      </c>
      <c r="L949" s="146" t="s">
        <v>845</v>
      </c>
      <c r="M949" s="180">
        <f t="shared" si="134"/>
        <v>32878</v>
      </c>
      <c r="N949" s="180">
        <f t="shared" si="133"/>
        <v>32878</v>
      </c>
      <c r="O949" s="180">
        <v>32878</v>
      </c>
      <c r="P949" s="65">
        <v>21570</v>
      </c>
      <c r="Q949" s="65">
        <f t="shared" si="129"/>
        <v>4745.3999999999996</v>
      </c>
      <c r="R949" s="65">
        <f t="shared" si="130"/>
        <v>26315.4</v>
      </c>
      <c r="S949" s="272"/>
      <c r="T949" s="135">
        <v>36</v>
      </c>
      <c r="U949" s="270"/>
      <c r="V949" s="38">
        <v>24766</v>
      </c>
      <c r="W949" s="38">
        <f t="shared" si="131"/>
        <v>5448.52</v>
      </c>
      <c r="X949" s="38">
        <f t="shared" si="132"/>
        <v>30214.52</v>
      </c>
    </row>
    <row r="950" spans="1:24" ht="15" customHeight="1" x14ac:dyDescent="0.35">
      <c r="A950" s="261" t="s">
        <v>3231</v>
      </c>
      <c r="B950" s="135">
        <v>911</v>
      </c>
      <c r="C950" s="181">
        <v>10157413</v>
      </c>
      <c r="D950" s="103" t="s">
        <v>1248</v>
      </c>
      <c r="E950" s="103" t="s">
        <v>2162</v>
      </c>
      <c r="F950" s="177">
        <v>1</v>
      </c>
      <c r="G950" s="135" t="s">
        <v>0</v>
      </c>
      <c r="H950" s="173">
        <v>40161</v>
      </c>
      <c r="I950" s="173" t="s">
        <v>2158</v>
      </c>
      <c r="J950" s="158" t="s">
        <v>1917</v>
      </c>
      <c r="K950" s="182" t="s">
        <v>961</v>
      </c>
      <c r="L950" s="146" t="s">
        <v>845</v>
      </c>
      <c r="M950" s="180">
        <f t="shared" si="134"/>
        <v>26399.93</v>
      </c>
      <c r="N950" s="180">
        <f t="shared" si="133"/>
        <v>26399.93</v>
      </c>
      <c r="O950" s="180">
        <v>26399.93</v>
      </c>
      <c r="P950" s="65">
        <v>20100</v>
      </c>
      <c r="Q950" s="65">
        <f t="shared" si="129"/>
        <v>4422</v>
      </c>
      <c r="R950" s="65">
        <f t="shared" si="130"/>
        <v>24522</v>
      </c>
      <c r="S950" s="272"/>
      <c r="T950" s="135">
        <v>36</v>
      </c>
      <c r="U950" s="270"/>
      <c r="V950" s="38">
        <v>23081</v>
      </c>
      <c r="W950" s="38">
        <f t="shared" si="131"/>
        <v>5077.82</v>
      </c>
      <c r="X950" s="38">
        <f t="shared" si="132"/>
        <v>28158.82</v>
      </c>
    </row>
    <row r="951" spans="1:24" ht="27" customHeight="1" x14ac:dyDescent="0.35">
      <c r="A951" s="261" t="s">
        <v>3232</v>
      </c>
      <c r="B951" s="266">
        <v>912</v>
      </c>
      <c r="C951" s="181">
        <v>10008132</v>
      </c>
      <c r="D951" s="103" t="s">
        <v>1249</v>
      </c>
      <c r="E951" s="103" t="s">
        <v>2162</v>
      </c>
      <c r="F951" s="177">
        <v>3</v>
      </c>
      <c r="G951" s="135" t="s">
        <v>0</v>
      </c>
      <c r="H951" s="173">
        <v>41364</v>
      </c>
      <c r="I951" s="173" t="s">
        <v>2158</v>
      </c>
      <c r="J951" s="158" t="s">
        <v>1917</v>
      </c>
      <c r="K951" s="182" t="s">
        <v>961</v>
      </c>
      <c r="L951" s="146" t="s">
        <v>845</v>
      </c>
      <c r="M951" s="180">
        <f t="shared" si="134"/>
        <v>14986.91</v>
      </c>
      <c r="N951" s="180">
        <f t="shared" si="133"/>
        <v>4995.6400000000003</v>
      </c>
      <c r="O951" s="180">
        <v>14986.91</v>
      </c>
      <c r="P951" s="65">
        <v>9860</v>
      </c>
      <c r="Q951" s="65">
        <f t="shared" si="129"/>
        <v>2169.1999999999998</v>
      </c>
      <c r="R951" s="65">
        <f t="shared" si="130"/>
        <v>12029.2</v>
      </c>
      <c r="S951" s="272"/>
      <c r="T951" s="135">
        <v>36</v>
      </c>
      <c r="U951" s="270"/>
      <c r="V951" s="38">
        <v>11316</v>
      </c>
      <c r="W951" s="38">
        <f t="shared" si="131"/>
        <v>2489.52</v>
      </c>
      <c r="X951" s="38">
        <f t="shared" si="132"/>
        <v>13805.52</v>
      </c>
    </row>
    <row r="952" spans="1:24" ht="15" customHeight="1" x14ac:dyDescent="0.35">
      <c r="A952" s="261" t="s">
        <v>3233</v>
      </c>
      <c r="B952" s="266">
        <v>913</v>
      </c>
      <c r="C952" s="181">
        <v>10015319</v>
      </c>
      <c r="D952" s="103" t="s">
        <v>1250</v>
      </c>
      <c r="E952" s="103" t="s">
        <v>2162</v>
      </c>
      <c r="F952" s="177">
        <v>3</v>
      </c>
      <c r="G952" s="135" t="s">
        <v>0</v>
      </c>
      <c r="H952" s="173" t="s">
        <v>1285</v>
      </c>
      <c r="I952" s="173" t="s">
        <v>2158</v>
      </c>
      <c r="J952" s="158" t="s">
        <v>1917</v>
      </c>
      <c r="K952" s="182" t="s">
        <v>961</v>
      </c>
      <c r="L952" s="146" t="s">
        <v>845</v>
      </c>
      <c r="M952" s="180">
        <f t="shared" si="134"/>
        <v>10361.57</v>
      </c>
      <c r="N952" s="180">
        <f t="shared" si="133"/>
        <v>3453.86</v>
      </c>
      <c r="O952" s="180">
        <v>10361.57</v>
      </c>
      <c r="P952" s="65">
        <v>6810</v>
      </c>
      <c r="Q952" s="65">
        <f t="shared" si="129"/>
        <v>1498.2</v>
      </c>
      <c r="R952" s="65">
        <f t="shared" si="130"/>
        <v>8308.2000000000007</v>
      </c>
      <c r="S952" s="272"/>
      <c r="T952" s="135">
        <v>36</v>
      </c>
      <c r="U952" s="270"/>
      <c r="V952" s="38">
        <v>7823</v>
      </c>
      <c r="W952" s="38">
        <f t="shared" si="131"/>
        <v>1721.06</v>
      </c>
      <c r="X952" s="38">
        <f t="shared" si="132"/>
        <v>9544.06</v>
      </c>
    </row>
    <row r="953" spans="1:24" ht="15" customHeight="1" x14ac:dyDescent="0.35">
      <c r="A953" s="261" t="s">
        <v>3234</v>
      </c>
      <c r="B953" s="135">
        <v>914</v>
      </c>
      <c r="C953" s="181">
        <v>10014351</v>
      </c>
      <c r="D953" s="103" t="s">
        <v>1251</v>
      </c>
      <c r="E953" s="103" t="s">
        <v>2162</v>
      </c>
      <c r="F953" s="177">
        <v>5</v>
      </c>
      <c r="G953" s="135" t="s">
        <v>0</v>
      </c>
      <c r="H953" s="173" t="s">
        <v>1286</v>
      </c>
      <c r="I953" s="173" t="s">
        <v>2158</v>
      </c>
      <c r="J953" s="158" t="s">
        <v>1917</v>
      </c>
      <c r="K953" s="182" t="s">
        <v>961</v>
      </c>
      <c r="L953" s="146" t="s">
        <v>845</v>
      </c>
      <c r="M953" s="180">
        <f t="shared" si="134"/>
        <v>12101.69</v>
      </c>
      <c r="N953" s="180">
        <f t="shared" si="133"/>
        <v>2420.34</v>
      </c>
      <c r="O953" s="180">
        <v>12101.69</v>
      </c>
      <c r="P953" s="65">
        <v>7940</v>
      </c>
      <c r="Q953" s="65">
        <f t="shared" ref="Q953:Q1015" si="135">P953*0.22</f>
        <v>1746.8</v>
      </c>
      <c r="R953" s="65">
        <f t="shared" ref="R953:R1015" si="136">P953+Q953</f>
        <v>9686.7999999999993</v>
      </c>
      <c r="S953" s="272"/>
      <c r="T953" s="135">
        <v>36</v>
      </c>
      <c r="U953" s="270"/>
      <c r="V953" s="38">
        <v>9121</v>
      </c>
      <c r="W953" s="38">
        <f t="shared" ref="W953:W1015" si="137">V953*0.22</f>
        <v>2006.62</v>
      </c>
      <c r="X953" s="38">
        <f t="shared" si="132"/>
        <v>11127.62</v>
      </c>
    </row>
    <row r="954" spans="1:24" ht="33" customHeight="1" x14ac:dyDescent="0.35">
      <c r="A954" s="261" t="s">
        <v>3235</v>
      </c>
      <c r="B954" s="266">
        <v>915</v>
      </c>
      <c r="C954" s="181">
        <v>10014349</v>
      </c>
      <c r="D954" s="103" t="s">
        <v>1252</v>
      </c>
      <c r="E954" s="103" t="s">
        <v>2162</v>
      </c>
      <c r="F954" s="177">
        <v>7</v>
      </c>
      <c r="G954" s="135" t="s">
        <v>0</v>
      </c>
      <c r="H954" s="173">
        <v>42003</v>
      </c>
      <c r="I954" s="173" t="s">
        <v>2158</v>
      </c>
      <c r="J954" s="158" t="s">
        <v>1917</v>
      </c>
      <c r="K954" s="182" t="s">
        <v>961</v>
      </c>
      <c r="L954" s="146" t="s">
        <v>845</v>
      </c>
      <c r="M954" s="180">
        <f t="shared" si="134"/>
        <v>13596.97</v>
      </c>
      <c r="N954" s="180">
        <f t="shared" si="133"/>
        <v>1942.42</v>
      </c>
      <c r="O954" s="180">
        <v>13596.97</v>
      </c>
      <c r="P954" s="65">
        <v>8680</v>
      </c>
      <c r="Q954" s="65">
        <f t="shared" si="135"/>
        <v>1909.6</v>
      </c>
      <c r="R954" s="65">
        <f t="shared" si="136"/>
        <v>10589.6</v>
      </c>
      <c r="S954" s="272"/>
      <c r="T954" s="135">
        <v>36</v>
      </c>
      <c r="U954" s="270"/>
      <c r="V954" s="38">
        <v>9961</v>
      </c>
      <c r="W954" s="38">
        <f t="shared" si="137"/>
        <v>2191.42</v>
      </c>
      <c r="X954" s="38">
        <f t="shared" si="132"/>
        <v>12152.42</v>
      </c>
    </row>
    <row r="955" spans="1:24" ht="15" customHeight="1" x14ac:dyDescent="0.35">
      <c r="A955" s="261" t="s">
        <v>3236</v>
      </c>
      <c r="B955" s="266">
        <v>916</v>
      </c>
      <c r="C955" s="181">
        <v>10015225</v>
      </c>
      <c r="D955" s="103" t="s">
        <v>1253</v>
      </c>
      <c r="E955" s="103" t="s">
        <v>2162</v>
      </c>
      <c r="F955" s="177">
        <v>12</v>
      </c>
      <c r="G955" s="135" t="s">
        <v>0</v>
      </c>
      <c r="H955" s="173">
        <v>41856</v>
      </c>
      <c r="I955" s="173" t="s">
        <v>2158</v>
      </c>
      <c r="J955" s="158" t="s">
        <v>1917</v>
      </c>
      <c r="K955" s="182" t="s">
        <v>961</v>
      </c>
      <c r="L955" s="146" t="s">
        <v>845</v>
      </c>
      <c r="M955" s="180">
        <f t="shared" si="134"/>
        <v>17718.12</v>
      </c>
      <c r="N955" s="180">
        <f t="shared" si="133"/>
        <v>1476.51</v>
      </c>
      <c r="O955" s="180">
        <v>17718.12</v>
      </c>
      <c r="P955" s="65">
        <v>11370</v>
      </c>
      <c r="Q955" s="65">
        <f t="shared" si="135"/>
        <v>2501.4</v>
      </c>
      <c r="R955" s="65">
        <f t="shared" si="136"/>
        <v>13871.4</v>
      </c>
      <c r="S955" s="272"/>
      <c r="T955" s="135">
        <v>36</v>
      </c>
      <c r="U955" s="270"/>
      <c r="V955" s="38">
        <v>13050</v>
      </c>
      <c r="W955" s="38">
        <f t="shared" si="137"/>
        <v>2871</v>
      </c>
      <c r="X955" s="38">
        <f t="shared" ref="X955:X1017" si="138">V955+W955</f>
        <v>15921</v>
      </c>
    </row>
    <row r="956" spans="1:24" ht="15" customHeight="1" x14ac:dyDescent="0.35">
      <c r="A956" s="261" t="s">
        <v>3237</v>
      </c>
      <c r="B956" s="135">
        <v>917</v>
      </c>
      <c r="C956" s="181">
        <v>10014343</v>
      </c>
      <c r="D956" s="103" t="s">
        <v>1261</v>
      </c>
      <c r="E956" s="103" t="s">
        <v>2162</v>
      </c>
      <c r="F956" s="177">
        <v>2</v>
      </c>
      <c r="G956" s="135" t="s">
        <v>0</v>
      </c>
      <c r="H956" s="173">
        <v>42004</v>
      </c>
      <c r="I956" s="173" t="s">
        <v>2158</v>
      </c>
      <c r="J956" s="158" t="s">
        <v>1917</v>
      </c>
      <c r="K956" s="182" t="s">
        <v>961</v>
      </c>
      <c r="L956" s="146" t="s">
        <v>845</v>
      </c>
      <c r="M956" s="180">
        <f t="shared" si="134"/>
        <v>9776.27</v>
      </c>
      <c r="N956" s="180">
        <f t="shared" si="133"/>
        <v>4888.1400000000003</v>
      </c>
      <c r="O956" s="180">
        <v>9776.27</v>
      </c>
      <c r="P956" s="65">
        <v>6240</v>
      </c>
      <c r="Q956" s="65">
        <f t="shared" si="135"/>
        <v>1372.8</v>
      </c>
      <c r="R956" s="65">
        <f t="shared" si="136"/>
        <v>7612.8</v>
      </c>
      <c r="S956" s="272"/>
      <c r="T956" s="135">
        <v>36</v>
      </c>
      <c r="U956" s="270"/>
      <c r="V956" s="38">
        <v>7162</v>
      </c>
      <c r="W956" s="38">
        <f t="shared" si="137"/>
        <v>1575.64</v>
      </c>
      <c r="X956" s="38">
        <f t="shared" si="138"/>
        <v>8737.64</v>
      </c>
    </row>
    <row r="957" spans="1:24" ht="25.5" customHeight="1" x14ac:dyDescent="0.35">
      <c r="A957" s="261" t="s">
        <v>3238</v>
      </c>
      <c r="B957" s="266">
        <v>918</v>
      </c>
      <c r="C957" s="103">
        <v>10007550</v>
      </c>
      <c r="D957" s="103" t="s">
        <v>2198</v>
      </c>
      <c r="E957" s="103" t="s">
        <v>686</v>
      </c>
      <c r="F957" s="177">
        <v>1</v>
      </c>
      <c r="G957" s="135" t="s">
        <v>0</v>
      </c>
      <c r="H957" s="135">
        <v>2014</v>
      </c>
      <c r="I957" s="183" t="s">
        <v>976</v>
      </c>
      <c r="J957" s="158" t="s">
        <v>1917</v>
      </c>
      <c r="K957" s="158" t="s">
        <v>961</v>
      </c>
      <c r="L957" s="173" t="s">
        <v>845</v>
      </c>
      <c r="M957" s="174">
        <f t="shared" si="134"/>
        <v>10806.99</v>
      </c>
      <c r="N957" s="174">
        <f t="shared" si="133"/>
        <v>10806.99</v>
      </c>
      <c r="O957" s="174">
        <v>10806.99</v>
      </c>
      <c r="P957" s="65">
        <v>6940</v>
      </c>
      <c r="Q957" s="65">
        <f t="shared" si="135"/>
        <v>1526.8</v>
      </c>
      <c r="R957" s="65">
        <f t="shared" si="136"/>
        <v>8466.7999999999993</v>
      </c>
      <c r="S957" s="272"/>
      <c r="T957" s="135">
        <v>36</v>
      </c>
      <c r="U957" s="270"/>
      <c r="V957" s="38">
        <v>7970</v>
      </c>
      <c r="W957" s="38">
        <f t="shared" si="137"/>
        <v>1753.4</v>
      </c>
      <c r="X957" s="38">
        <f t="shared" si="138"/>
        <v>9723.4</v>
      </c>
    </row>
    <row r="958" spans="1:24" ht="15" customHeight="1" x14ac:dyDescent="0.35">
      <c r="A958" s="261" t="s">
        <v>3239</v>
      </c>
      <c r="B958" s="266">
        <v>919</v>
      </c>
      <c r="C958" s="103">
        <v>102029237</v>
      </c>
      <c r="D958" s="103" t="s">
        <v>2100</v>
      </c>
      <c r="E958" s="103" t="s">
        <v>2147</v>
      </c>
      <c r="F958" s="177">
        <v>4</v>
      </c>
      <c r="G958" s="135" t="s">
        <v>0</v>
      </c>
      <c r="H958" s="135">
        <v>2007</v>
      </c>
      <c r="I958" s="183" t="s">
        <v>972</v>
      </c>
      <c r="J958" s="158" t="s">
        <v>1917</v>
      </c>
      <c r="K958" s="158" t="s">
        <v>961</v>
      </c>
      <c r="L958" s="173" t="s">
        <v>845</v>
      </c>
      <c r="M958" s="174">
        <f t="shared" si="134"/>
        <v>100844.48</v>
      </c>
      <c r="N958" s="174">
        <f t="shared" si="133"/>
        <v>25211.119999999999</v>
      </c>
      <c r="O958" s="174">
        <v>100844.48</v>
      </c>
      <c r="P958" s="65">
        <v>91590</v>
      </c>
      <c r="Q958" s="65">
        <f t="shared" si="135"/>
        <v>20149.8</v>
      </c>
      <c r="R958" s="65">
        <f t="shared" si="136"/>
        <v>111739.8</v>
      </c>
      <c r="S958" s="272"/>
      <c r="T958" s="135">
        <v>36</v>
      </c>
      <c r="U958" s="270"/>
      <c r="V958" s="38">
        <v>105161</v>
      </c>
      <c r="W958" s="38">
        <f t="shared" si="137"/>
        <v>23135.42</v>
      </c>
      <c r="X958" s="38">
        <f t="shared" si="138"/>
        <v>128296.42</v>
      </c>
    </row>
    <row r="959" spans="1:24" ht="15" customHeight="1" x14ac:dyDescent="0.35">
      <c r="A959" s="261" t="s">
        <v>3240</v>
      </c>
      <c r="B959" s="135">
        <v>920</v>
      </c>
      <c r="C959" s="103">
        <v>102029280</v>
      </c>
      <c r="D959" s="103" t="s">
        <v>2112</v>
      </c>
      <c r="E959" s="103" t="s">
        <v>2147</v>
      </c>
      <c r="F959" s="177">
        <v>4</v>
      </c>
      <c r="G959" s="135" t="s">
        <v>0</v>
      </c>
      <c r="H959" s="135">
        <v>2006</v>
      </c>
      <c r="I959" s="183" t="s">
        <v>972</v>
      </c>
      <c r="J959" s="158" t="s">
        <v>1917</v>
      </c>
      <c r="K959" s="184" t="s">
        <v>961</v>
      </c>
      <c r="L959" s="173" t="s">
        <v>845</v>
      </c>
      <c r="M959" s="174">
        <f t="shared" si="134"/>
        <v>27544.44</v>
      </c>
      <c r="N959" s="174">
        <f t="shared" si="133"/>
        <v>6886.11</v>
      </c>
      <c r="O959" s="174">
        <v>27544.44</v>
      </c>
      <c r="P959" s="65">
        <v>26640</v>
      </c>
      <c r="Q959" s="65">
        <f t="shared" si="135"/>
        <v>5860.8</v>
      </c>
      <c r="R959" s="65">
        <f t="shared" si="136"/>
        <v>32500.799999999999</v>
      </c>
      <c r="S959" s="272"/>
      <c r="T959" s="135">
        <v>36</v>
      </c>
      <c r="U959" s="270"/>
      <c r="V959" s="38">
        <v>30590</v>
      </c>
      <c r="W959" s="38">
        <f t="shared" si="137"/>
        <v>6729.8</v>
      </c>
      <c r="X959" s="38">
        <f t="shared" si="138"/>
        <v>37319.800000000003</v>
      </c>
    </row>
    <row r="960" spans="1:24" ht="15" customHeight="1" x14ac:dyDescent="0.35">
      <c r="A960" s="261" t="s">
        <v>3241</v>
      </c>
      <c r="B960" s="266">
        <v>921</v>
      </c>
      <c r="C960" s="103">
        <v>10009908</v>
      </c>
      <c r="D960" s="103" t="s">
        <v>2122</v>
      </c>
      <c r="E960" s="103" t="s">
        <v>2147</v>
      </c>
      <c r="F960" s="177">
        <v>27</v>
      </c>
      <c r="G960" s="135" t="s">
        <v>0</v>
      </c>
      <c r="H960" s="135">
        <v>2006</v>
      </c>
      <c r="I960" s="183" t="s">
        <v>972</v>
      </c>
      <c r="J960" s="158" t="s">
        <v>1917</v>
      </c>
      <c r="K960" s="184" t="s">
        <v>961</v>
      </c>
      <c r="L960" s="173" t="s">
        <v>845</v>
      </c>
      <c r="M960" s="174">
        <f t="shared" si="134"/>
        <v>182867.22</v>
      </c>
      <c r="N960" s="174">
        <f t="shared" si="133"/>
        <v>6772.86</v>
      </c>
      <c r="O960" s="174">
        <v>182867.22</v>
      </c>
      <c r="P960" s="65">
        <v>176890</v>
      </c>
      <c r="Q960" s="65">
        <f t="shared" si="135"/>
        <v>38915.800000000003</v>
      </c>
      <c r="R960" s="65">
        <f t="shared" si="136"/>
        <v>215805.8</v>
      </c>
      <c r="S960" s="272"/>
      <c r="T960" s="135">
        <v>36</v>
      </c>
      <c r="U960" s="270"/>
      <c r="V960" s="38">
        <v>203085</v>
      </c>
      <c r="W960" s="38">
        <f t="shared" si="137"/>
        <v>44678.7</v>
      </c>
      <c r="X960" s="38">
        <f t="shared" si="138"/>
        <v>247763.7</v>
      </c>
    </row>
    <row r="961" spans="1:24" ht="15" customHeight="1" x14ac:dyDescent="0.35">
      <c r="A961" s="261" t="s">
        <v>3242</v>
      </c>
      <c r="B961" s="266">
        <v>922</v>
      </c>
      <c r="C961" s="103">
        <v>102029160</v>
      </c>
      <c r="D961" s="103" t="s">
        <v>2123</v>
      </c>
      <c r="E961" s="103" t="s">
        <v>2147</v>
      </c>
      <c r="F961" s="177">
        <v>4</v>
      </c>
      <c r="G961" s="135" t="s">
        <v>0</v>
      </c>
      <c r="H961" s="135">
        <v>2006</v>
      </c>
      <c r="I961" s="183" t="s">
        <v>972</v>
      </c>
      <c r="J961" s="158" t="s">
        <v>1917</v>
      </c>
      <c r="K961" s="158" t="s">
        <v>961</v>
      </c>
      <c r="L961" s="173" t="s">
        <v>845</v>
      </c>
      <c r="M961" s="174">
        <f t="shared" si="134"/>
        <v>51900</v>
      </c>
      <c r="N961" s="174">
        <f t="shared" si="133"/>
        <v>12975</v>
      </c>
      <c r="O961" s="174">
        <v>51900</v>
      </c>
      <c r="P961" s="65">
        <v>50200</v>
      </c>
      <c r="Q961" s="65">
        <f t="shared" si="135"/>
        <v>11044</v>
      </c>
      <c r="R961" s="65">
        <f t="shared" si="136"/>
        <v>61244</v>
      </c>
      <c r="S961" s="272"/>
      <c r="T961" s="135">
        <v>36</v>
      </c>
      <c r="U961" s="270"/>
      <c r="V961" s="38">
        <v>57638</v>
      </c>
      <c r="W961" s="38">
        <f t="shared" si="137"/>
        <v>12680.36</v>
      </c>
      <c r="X961" s="38">
        <f t="shared" si="138"/>
        <v>70318.36</v>
      </c>
    </row>
    <row r="962" spans="1:24" ht="15" customHeight="1" x14ac:dyDescent="0.35">
      <c r="A962" s="261" t="s">
        <v>3243</v>
      </c>
      <c r="B962" s="135">
        <v>923</v>
      </c>
      <c r="C962" s="103">
        <v>10105272</v>
      </c>
      <c r="D962" s="103" t="s">
        <v>2133</v>
      </c>
      <c r="E962" s="103" t="s">
        <v>2147</v>
      </c>
      <c r="F962" s="177">
        <v>3</v>
      </c>
      <c r="G962" s="135" t="s">
        <v>0</v>
      </c>
      <c r="H962" s="135">
        <v>2006</v>
      </c>
      <c r="I962" s="183" t="s">
        <v>972</v>
      </c>
      <c r="J962" s="158" t="s">
        <v>1917</v>
      </c>
      <c r="K962" s="158" t="s">
        <v>961</v>
      </c>
      <c r="L962" s="173" t="s">
        <v>845</v>
      </c>
      <c r="M962" s="174">
        <f t="shared" si="134"/>
        <v>22335</v>
      </c>
      <c r="N962" s="174">
        <f t="shared" si="133"/>
        <v>7445</v>
      </c>
      <c r="O962" s="174">
        <v>22335</v>
      </c>
      <c r="P962" s="65">
        <v>21600</v>
      </c>
      <c r="Q962" s="65">
        <f t="shared" si="135"/>
        <v>4752</v>
      </c>
      <c r="R962" s="65">
        <f t="shared" si="136"/>
        <v>26352</v>
      </c>
      <c r="S962" s="272"/>
      <c r="T962" s="135">
        <v>36</v>
      </c>
      <c r="U962" s="270"/>
      <c r="V962" s="38">
        <v>24804</v>
      </c>
      <c r="W962" s="38">
        <f t="shared" si="137"/>
        <v>5456.88</v>
      </c>
      <c r="X962" s="38">
        <f t="shared" si="138"/>
        <v>30260.880000000001</v>
      </c>
    </row>
    <row r="963" spans="1:24" ht="15" customHeight="1" x14ac:dyDescent="0.35">
      <c r="A963" s="261" t="s">
        <v>3244</v>
      </c>
      <c r="B963" s="266">
        <v>924</v>
      </c>
      <c r="C963" s="181">
        <v>10123958</v>
      </c>
      <c r="D963" s="103" t="s">
        <v>46</v>
      </c>
      <c r="E963" s="59" t="s">
        <v>2167</v>
      </c>
      <c r="F963" s="177">
        <v>2</v>
      </c>
      <c r="G963" s="135" t="s">
        <v>0</v>
      </c>
      <c r="H963" s="182">
        <v>2014</v>
      </c>
      <c r="I963" s="4" t="s">
        <v>957</v>
      </c>
      <c r="J963" s="173" t="s">
        <v>1917</v>
      </c>
      <c r="K963" s="182" t="s">
        <v>2063</v>
      </c>
      <c r="L963" s="182" t="s">
        <v>1919</v>
      </c>
      <c r="M963" s="174">
        <f t="shared" si="134"/>
        <v>1352.54</v>
      </c>
      <c r="N963" s="174">
        <f t="shared" si="133"/>
        <v>676.27</v>
      </c>
      <c r="O963" s="174">
        <v>1352.54</v>
      </c>
      <c r="P963" s="65">
        <v>1250</v>
      </c>
      <c r="Q963" s="65">
        <f t="shared" si="135"/>
        <v>275</v>
      </c>
      <c r="R963" s="65">
        <f t="shared" si="136"/>
        <v>1525</v>
      </c>
      <c r="S963" s="272"/>
      <c r="T963" s="135">
        <v>36</v>
      </c>
      <c r="U963" s="270"/>
      <c r="V963" s="38">
        <v>1438</v>
      </c>
      <c r="W963" s="38">
        <f t="shared" si="137"/>
        <v>316.36</v>
      </c>
      <c r="X963" s="38">
        <f t="shared" si="138"/>
        <v>1754.36</v>
      </c>
    </row>
    <row r="964" spans="1:24" ht="46.5" customHeight="1" x14ac:dyDescent="0.35">
      <c r="A964" s="261" t="s">
        <v>3245</v>
      </c>
      <c r="B964" s="266">
        <v>925</v>
      </c>
      <c r="C964" s="181">
        <v>10123496</v>
      </c>
      <c r="D964" s="103" t="s">
        <v>25</v>
      </c>
      <c r="E964" s="59" t="s">
        <v>2167</v>
      </c>
      <c r="F964" s="177">
        <v>1</v>
      </c>
      <c r="G964" s="135" t="s">
        <v>0</v>
      </c>
      <c r="H964" s="173">
        <v>40179</v>
      </c>
      <c r="I964" s="4" t="s">
        <v>957</v>
      </c>
      <c r="J964" s="185" t="s">
        <v>2220</v>
      </c>
      <c r="K964" s="173" t="s">
        <v>1981</v>
      </c>
      <c r="L964" s="173" t="s">
        <v>2097</v>
      </c>
      <c r="M964" s="174">
        <f t="shared" si="134"/>
        <v>29773.48</v>
      </c>
      <c r="N964" s="174">
        <f t="shared" si="133"/>
        <v>29773.48</v>
      </c>
      <c r="O964" s="174">
        <v>29773.48</v>
      </c>
      <c r="P964" s="65">
        <v>27550</v>
      </c>
      <c r="Q964" s="65">
        <f t="shared" si="135"/>
        <v>6061</v>
      </c>
      <c r="R964" s="65">
        <f t="shared" si="136"/>
        <v>33611</v>
      </c>
      <c r="S964" s="272"/>
      <c r="T964" s="135">
        <v>36</v>
      </c>
      <c r="U964" s="270"/>
      <c r="V964" s="38">
        <v>31627</v>
      </c>
      <c r="W964" s="38">
        <f t="shared" si="137"/>
        <v>6957.94</v>
      </c>
      <c r="X964" s="38">
        <f t="shared" si="138"/>
        <v>38584.94</v>
      </c>
    </row>
    <row r="965" spans="1:24" ht="39.65" customHeight="1" x14ac:dyDescent="0.35">
      <c r="A965" s="261" t="s">
        <v>3246</v>
      </c>
      <c r="B965" s="135">
        <v>926</v>
      </c>
      <c r="C965" s="181">
        <v>10102082</v>
      </c>
      <c r="D965" s="103" t="s">
        <v>121</v>
      </c>
      <c r="E965" s="59" t="s">
        <v>2167</v>
      </c>
      <c r="F965" s="177">
        <v>161</v>
      </c>
      <c r="G965" s="135" t="s">
        <v>0</v>
      </c>
      <c r="H965" s="182" t="s">
        <v>2145</v>
      </c>
      <c r="I965" s="4" t="s">
        <v>957</v>
      </c>
      <c r="J965" s="146" t="s">
        <v>2218</v>
      </c>
      <c r="K965" s="173" t="s">
        <v>1226</v>
      </c>
      <c r="L965" s="173" t="s">
        <v>2097</v>
      </c>
      <c r="M965" s="174">
        <f t="shared" si="134"/>
        <v>728686.1</v>
      </c>
      <c r="N965" s="174">
        <f t="shared" si="133"/>
        <v>4526</v>
      </c>
      <c r="O965" s="174">
        <v>728686.1</v>
      </c>
      <c r="P965" s="65">
        <v>704980</v>
      </c>
      <c r="Q965" s="65">
        <f t="shared" si="135"/>
        <v>155095.6</v>
      </c>
      <c r="R965" s="65">
        <f t="shared" si="136"/>
        <v>860075.6</v>
      </c>
      <c r="S965" s="272"/>
      <c r="T965" s="135">
        <v>36</v>
      </c>
      <c r="U965" s="270"/>
      <c r="V965" s="38">
        <v>809394</v>
      </c>
      <c r="W965" s="38">
        <f t="shared" si="137"/>
        <v>178066.68</v>
      </c>
      <c r="X965" s="38">
        <f t="shared" si="138"/>
        <v>987460.68</v>
      </c>
    </row>
    <row r="966" spans="1:24" ht="51" customHeight="1" x14ac:dyDescent="0.35">
      <c r="A966" s="261" t="s">
        <v>3247</v>
      </c>
      <c r="B966" s="266">
        <v>927</v>
      </c>
      <c r="C966" s="181">
        <v>10110475</v>
      </c>
      <c r="D966" s="103" t="s">
        <v>21</v>
      </c>
      <c r="E966" s="59" t="s">
        <v>2167</v>
      </c>
      <c r="F966" s="177">
        <v>1</v>
      </c>
      <c r="G966" s="135" t="s">
        <v>0</v>
      </c>
      <c r="H966" s="182">
        <v>2014</v>
      </c>
      <c r="I966" s="4" t="s">
        <v>957</v>
      </c>
      <c r="J966" s="185" t="s">
        <v>2015</v>
      </c>
      <c r="K966" s="182" t="s">
        <v>2016</v>
      </c>
      <c r="L966" s="173" t="s">
        <v>2097</v>
      </c>
      <c r="M966" s="174">
        <f t="shared" si="134"/>
        <v>3494.51</v>
      </c>
      <c r="N966" s="174">
        <f t="shared" si="133"/>
        <v>3494.51</v>
      </c>
      <c r="O966" s="174">
        <v>3494.51</v>
      </c>
      <c r="P966" s="65">
        <v>3250</v>
      </c>
      <c r="Q966" s="65">
        <f t="shared" si="135"/>
        <v>715</v>
      </c>
      <c r="R966" s="65">
        <f t="shared" si="136"/>
        <v>3965</v>
      </c>
      <c r="S966" s="272"/>
      <c r="T966" s="135">
        <v>36</v>
      </c>
      <c r="U966" s="270"/>
      <c r="V966" s="38">
        <v>3737</v>
      </c>
      <c r="W966" s="38">
        <f t="shared" si="137"/>
        <v>822.14</v>
      </c>
      <c r="X966" s="38">
        <f t="shared" si="138"/>
        <v>4559.1400000000003</v>
      </c>
    </row>
    <row r="967" spans="1:24" ht="23.25" customHeight="1" x14ac:dyDescent="0.35">
      <c r="A967" s="261" t="s">
        <v>3248</v>
      </c>
      <c r="B967" s="266">
        <v>928</v>
      </c>
      <c r="C967" s="181">
        <v>10131355</v>
      </c>
      <c r="D967" s="103" t="s">
        <v>26</v>
      </c>
      <c r="E967" s="59" t="s">
        <v>2167</v>
      </c>
      <c r="F967" s="177">
        <v>1</v>
      </c>
      <c r="G967" s="135" t="s">
        <v>0</v>
      </c>
      <c r="H967" s="182">
        <v>2014</v>
      </c>
      <c r="I967" s="4" t="s">
        <v>957</v>
      </c>
      <c r="J967" s="173" t="s">
        <v>1917</v>
      </c>
      <c r="K967" s="182" t="s">
        <v>2017</v>
      </c>
      <c r="L967" s="173" t="s">
        <v>2097</v>
      </c>
      <c r="M967" s="174">
        <f t="shared" si="134"/>
        <v>28077</v>
      </c>
      <c r="N967" s="174">
        <f t="shared" si="133"/>
        <v>28077</v>
      </c>
      <c r="O967" s="174">
        <v>28077</v>
      </c>
      <c r="P967" s="65">
        <v>26150</v>
      </c>
      <c r="Q967" s="65">
        <f t="shared" si="135"/>
        <v>5753</v>
      </c>
      <c r="R967" s="65">
        <f t="shared" si="136"/>
        <v>31903</v>
      </c>
      <c r="S967" s="272"/>
      <c r="T967" s="135">
        <v>36</v>
      </c>
      <c r="U967" s="270"/>
      <c r="V967" s="38">
        <v>30022</v>
      </c>
      <c r="W967" s="38">
        <f t="shared" si="137"/>
        <v>6604.84</v>
      </c>
      <c r="X967" s="38">
        <f t="shared" si="138"/>
        <v>36626.839999999997</v>
      </c>
    </row>
    <row r="968" spans="1:24" ht="57" customHeight="1" x14ac:dyDescent="0.35">
      <c r="A968" s="261" t="s">
        <v>3249</v>
      </c>
      <c r="B968" s="135">
        <v>929</v>
      </c>
      <c r="C968" s="181">
        <v>10015908</v>
      </c>
      <c r="D968" s="103" t="s">
        <v>38</v>
      </c>
      <c r="E968" s="59" t="s">
        <v>2167</v>
      </c>
      <c r="F968" s="177">
        <v>2</v>
      </c>
      <c r="G968" s="135" t="s">
        <v>0</v>
      </c>
      <c r="H968" s="182">
        <v>2014</v>
      </c>
      <c r="I968" s="4" t="s">
        <v>957</v>
      </c>
      <c r="J968" s="185" t="s">
        <v>2216</v>
      </c>
      <c r="K968" s="182" t="s">
        <v>2019</v>
      </c>
      <c r="L968" s="173" t="s">
        <v>2097</v>
      </c>
      <c r="M968" s="174">
        <f t="shared" si="134"/>
        <v>8195.7199999999993</v>
      </c>
      <c r="N968" s="174">
        <f t="shared" si="133"/>
        <v>4097.8599999999997</v>
      </c>
      <c r="O968" s="174">
        <v>8195.7199999999993</v>
      </c>
      <c r="P968" s="65">
        <v>7630</v>
      </c>
      <c r="Q968" s="65">
        <f t="shared" si="135"/>
        <v>1678.6</v>
      </c>
      <c r="R968" s="65">
        <f t="shared" si="136"/>
        <v>9308.6</v>
      </c>
      <c r="S968" s="272"/>
      <c r="T968" s="135">
        <v>36</v>
      </c>
      <c r="U968" s="270"/>
      <c r="V968" s="38">
        <v>8764</v>
      </c>
      <c r="W968" s="38">
        <f t="shared" si="137"/>
        <v>1928.08</v>
      </c>
      <c r="X968" s="38">
        <f t="shared" si="138"/>
        <v>10692.08</v>
      </c>
    </row>
    <row r="969" spans="1:24" ht="15" customHeight="1" x14ac:dyDescent="0.35">
      <c r="A969" s="261" t="s">
        <v>3250</v>
      </c>
      <c r="B969" s="266">
        <v>930</v>
      </c>
      <c r="C969" s="181">
        <v>10127030</v>
      </c>
      <c r="D969" s="103" t="s">
        <v>48</v>
      </c>
      <c r="E969" s="59" t="s">
        <v>2167</v>
      </c>
      <c r="F969" s="177">
        <v>2</v>
      </c>
      <c r="G969" s="135" t="s">
        <v>0</v>
      </c>
      <c r="H969" s="182">
        <v>2014</v>
      </c>
      <c r="I969" s="4" t="s">
        <v>957</v>
      </c>
      <c r="J969" s="182" t="s">
        <v>2211</v>
      </c>
      <c r="K969" s="182" t="s">
        <v>2021</v>
      </c>
      <c r="L969" s="173" t="s">
        <v>2097</v>
      </c>
      <c r="M969" s="174">
        <f t="shared" si="134"/>
        <v>23064.48</v>
      </c>
      <c r="N969" s="174">
        <f t="shared" si="133"/>
        <v>11532.24</v>
      </c>
      <c r="O969" s="174">
        <v>23064.48</v>
      </c>
      <c r="P969" s="65">
        <v>21480</v>
      </c>
      <c r="Q969" s="65">
        <f t="shared" si="135"/>
        <v>4725.6000000000004</v>
      </c>
      <c r="R969" s="65">
        <f t="shared" si="136"/>
        <v>26205.599999999999</v>
      </c>
      <c r="S969" s="272"/>
      <c r="T969" s="135">
        <v>36</v>
      </c>
      <c r="U969" s="270"/>
      <c r="V969" s="38">
        <v>24663</v>
      </c>
      <c r="W969" s="38">
        <f t="shared" si="137"/>
        <v>5425.86</v>
      </c>
      <c r="X969" s="38">
        <f t="shared" si="138"/>
        <v>30088.86</v>
      </c>
    </row>
    <row r="970" spans="1:24" ht="23.15" customHeight="1" x14ac:dyDescent="0.35">
      <c r="A970" s="261" t="s">
        <v>3251</v>
      </c>
      <c r="B970" s="266">
        <v>931</v>
      </c>
      <c r="C970" s="181">
        <v>10051079</v>
      </c>
      <c r="D970" s="103" t="s">
        <v>55</v>
      </c>
      <c r="E970" s="59" t="s">
        <v>2167</v>
      </c>
      <c r="F970" s="177">
        <v>3</v>
      </c>
      <c r="G970" s="135" t="s">
        <v>0</v>
      </c>
      <c r="H970" s="182">
        <v>2014</v>
      </c>
      <c r="I970" s="4" t="s">
        <v>957</v>
      </c>
      <c r="J970" s="182" t="s">
        <v>2215</v>
      </c>
      <c r="K970" s="182" t="s">
        <v>2022</v>
      </c>
      <c r="L970" s="173" t="s">
        <v>2097</v>
      </c>
      <c r="M970" s="174">
        <f t="shared" si="134"/>
        <v>1545.12</v>
      </c>
      <c r="N970" s="174">
        <f t="shared" si="133"/>
        <v>515.04</v>
      </c>
      <c r="O970" s="174">
        <v>1545.12</v>
      </c>
      <c r="P970" s="65">
        <v>1440</v>
      </c>
      <c r="Q970" s="65">
        <f t="shared" si="135"/>
        <v>316.8</v>
      </c>
      <c r="R970" s="65">
        <f t="shared" si="136"/>
        <v>1756.8</v>
      </c>
      <c r="S970" s="272"/>
      <c r="T970" s="135">
        <v>36</v>
      </c>
      <c r="U970" s="270"/>
      <c r="V970" s="38">
        <v>1652</v>
      </c>
      <c r="W970" s="38">
        <f t="shared" si="137"/>
        <v>363.44</v>
      </c>
      <c r="X970" s="38">
        <f t="shared" si="138"/>
        <v>2015.44</v>
      </c>
    </row>
    <row r="971" spans="1:24" ht="31.5" customHeight="1" x14ac:dyDescent="0.35">
      <c r="A971" s="261" t="s">
        <v>3252</v>
      </c>
      <c r="B971" s="135">
        <v>932</v>
      </c>
      <c r="C971" s="181">
        <v>10019156</v>
      </c>
      <c r="D971" s="103" t="s">
        <v>71</v>
      </c>
      <c r="E971" s="59" t="s">
        <v>2167</v>
      </c>
      <c r="F971" s="177">
        <v>5</v>
      </c>
      <c r="G971" s="135" t="s">
        <v>0</v>
      </c>
      <c r="H971" s="182">
        <v>2014</v>
      </c>
      <c r="I971" s="4" t="s">
        <v>957</v>
      </c>
      <c r="J971" s="185" t="s">
        <v>2214</v>
      </c>
      <c r="K971" s="182" t="s">
        <v>2025</v>
      </c>
      <c r="L971" s="173" t="s">
        <v>2097</v>
      </c>
      <c r="M971" s="174">
        <f t="shared" si="134"/>
        <v>14500</v>
      </c>
      <c r="N971" s="174">
        <f t="shared" si="133"/>
        <v>2900</v>
      </c>
      <c r="O971" s="174">
        <v>14500</v>
      </c>
      <c r="P971" s="65">
        <v>13500</v>
      </c>
      <c r="Q971" s="65">
        <f t="shared" si="135"/>
        <v>2970</v>
      </c>
      <c r="R971" s="65">
        <f t="shared" si="136"/>
        <v>16470</v>
      </c>
      <c r="S971" s="272"/>
      <c r="T971" s="135">
        <v>36</v>
      </c>
      <c r="U971" s="270"/>
      <c r="V971" s="38">
        <v>15505</v>
      </c>
      <c r="W971" s="38">
        <f t="shared" si="137"/>
        <v>3411.1</v>
      </c>
      <c r="X971" s="38">
        <f t="shared" si="138"/>
        <v>18916.099999999999</v>
      </c>
    </row>
    <row r="972" spans="1:24" ht="32.15" customHeight="1" x14ac:dyDescent="0.35">
      <c r="A972" s="261" t="s">
        <v>3253</v>
      </c>
      <c r="B972" s="266">
        <v>933</v>
      </c>
      <c r="C972" s="181">
        <v>10015746</v>
      </c>
      <c r="D972" s="103" t="s">
        <v>76</v>
      </c>
      <c r="E972" s="59" t="s">
        <v>2167</v>
      </c>
      <c r="F972" s="177">
        <v>6</v>
      </c>
      <c r="G972" s="135" t="s">
        <v>0</v>
      </c>
      <c r="H972" s="182">
        <v>2014</v>
      </c>
      <c r="I972" s="4" t="s">
        <v>957</v>
      </c>
      <c r="J972" s="185" t="s">
        <v>2213</v>
      </c>
      <c r="K972" s="182" t="s">
        <v>2028</v>
      </c>
      <c r="L972" s="173" t="s">
        <v>2097</v>
      </c>
      <c r="M972" s="174">
        <f t="shared" si="134"/>
        <v>35122.800000000003</v>
      </c>
      <c r="N972" s="174">
        <f t="shared" si="133"/>
        <v>5853.8</v>
      </c>
      <c r="O972" s="174">
        <v>35122.800000000003</v>
      </c>
      <c r="P972" s="65">
        <v>32710</v>
      </c>
      <c r="Q972" s="65">
        <f t="shared" si="135"/>
        <v>7196.2</v>
      </c>
      <c r="R972" s="65">
        <f t="shared" si="136"/>
        <v>39906.199999999997</v>
      </c>
      <c r="S972" s="272"/>
      <c r="T972" s="135">
        <v>36</v>
      </c>
      <c r="U972" s="270"/>
      <c r="V972" s="38">
        <v>37556</v>
      </c>
      <c r="W972" s="38">
        <f t="shared" si="137"/>
        <v>8262.32</v>
      </c>
      <c r="X972" s="38">
        <f t="shared" si="138"/>
        <v>45818.32</v>
      </c>
    </row>
    <row r="973" spans="1:24" ht="15" customHeight="1" x14ac:dyDescent="0.35">
      <c r="A973" s="261" t="s">
        <v>3254</v>
      </c>
      <c r="B973" s="266">
        <v>934</v>
      </c>
      <c r="C973" s="181">
        <v>10129515</v>
      </c>
      <c r="D973" s="103" t="s">
        <v>79</v>
      </c>
      <c r="E973" s="103" t="s">
        <v>2167</v>
      </c>
      <c r="F973" s="177">
        <f>7-3</f>
        <v>4</v>
      </c>
      <c r="G973" s="135" t="s">
        <v>0</v>
      </c>
      <c r="H973" s="182">
        <v>2014</v>
      </c>
      <c r="I973" s="4" t="s">
        <v>957</v>
      </c>
      <c r="J973" s="182" t="s">
        <v>2212</v>
      </c>
      <c r="K973" s="182" t="s">
        <v>2031</v>
      </c>
      <c r="L973" s="173" t="s">
        <v>2097</v>
      </c>
      <c r="M973" s="174">
        <f t="shared" si="134"/>
        <v>40280.26</v>
      </c>
      <c r="N973" s="174">
        <f t="shared" si="133"/>
        <v>10070.07</v>
      </c>
      <c r="O973" s="174">
        <f>70490.46/7*4</f>
        <v>40280.26</v>
      </c>
      <c r="P973" s="65">
        <v>37520</v>
      </c>
      <c r="Q973" s="65">
        <f t="shared" si="135"/>
        <v>8254.4</v>
      </c>
      <c r="R973" s="65">
        <f t="shared" si="136"/>
        <v>45774.400000000001</v>
      </c>
      <c r="S973" s="272"/>
      <c r="T973" s="135">
        <v>36</v>
      </c>
      <c r="U973" s="270"/>
      <c r="V973" s="38">
        <v>43071</v>
      </c>
      <c r="W973" s="38">
        <f t="shared" si="137"/>
        <v>9475.6200000000008</v>
      </c>
      <c r="X973" s="38">
        <f t="shared" si="138"/>
        <v>52546.62</v>
      </c>
    </row>
    <row r="974" spans="1:24" ht="15" customHeight="1" x14ac:dyDescent="0.35">
      <c r="A974" s="261" t="s">
        <v>3255</v>
      </c>
      <c r="B974" s="135">
        <v>935</v>
      </c>
      <c r="C974" s="181">
        <v>10152919</v>
      </c>
      <c r="D974" s="103" t="s">
        <v>111</v>
      </c>
      <c r="E974" s="59" t="s">
        <v>2167</v>
      </c>
      <c r="F974" s="177">
        <f>59-10</f>
        <v>49</v>
      </c>
      <c r="G974" s="135" t="s">
        <v>0</v>
      </c>
      <c r="H974" s="182">
        <v>2014</v>
      </c>
      <c r="I974" s="4" t="s">
        <v>957</v>
      </c>
      <c r="J974" s="182" t="s">
        <v>959</v>
      </c>
      <c r="K974" s="182" t="s">
        <v>2043</v>
      </c>
      <c r="L974" s="173" t="s">
        <v>2097</v>
      </c>
      <c r="M974" s="174">
        <f t="shared" si="134"/>
        <v>92100.72</v>
      </c>
      <c r="N974" s="174">
        <f t="shared" si="133"/>
        <v>1879.61</v>
      </c>
      <c r="O974" s="174">
        <f>110896.78/59*49</f>
        <v>92100.72</v>
      </c>
      <c r="P974" s="65">
        <v>85780</v>
      </c>
      <c r="Q974" s="65">
        <f t="shared" si="135"/>
        <v>18871.599999999999</v>
      </c>
      <c r="R974" s="65">
        <f t="shared" si="136"/>
        <v>104651.6</v>
      </c>
      <c r="S974" s="272"/>
      <c r="T974" s="135">
        <v>36</v>
      </c>
      <c r="U974" s="270"/>
      <c r="V974" s="38">
        <v>98482</v>
      </c>
      <c r="W974" s="38">
        <f t="shared" si="137"/>
        <v>21666.04</v>
      </c>
      <c r="X974" s="38">
        <f t="shared" si="138"/>
        <v>120148.04</v>
      </c>
    </row>
    <row r="975" spans="1:24" ht="29.5" customHeight="1" x14ac:dyDescent="0.35">
      <c r="A975" s="261" t="s">
        <v>3256</v>
      </c>
      <c r="B975" s="266">
        <v>936</v>
      </c>
      <c r="C975" s="181">
        <v>10103092</v>
      </c>
      <c r="D975" s="103" t="s">
        <v>137</v>
      </c>
      <c r="E975" s="103" t="s">
        <v>2167</v>
      </c>
      <c r="F975" s="177">
        <f>1007-493-264</f>
        <v>250</v>
      </c>
      <c r="G975" s="135" t="s">
        <v>0</v>
      </c>
      <c r="H975" s="182">
        <v>2014</v>
      </c>
      <c r="I975" s="4" t="s">
        <v>957</v>
      </c>
      <c r="J975" s="185" t="s">
        <v>2209</v>
      </c>
      <c r="K975" s="182" t="s">
        <v>2051</v>
      </c>
      <c r="L975" s="173" t="s">
        <v>2097</v>
      </c>
      <c r="M975" s="174">
        <f t="shared" si="134"/>
        <v>943838.97</v>
      </c>
      <c r="N975" s="174">
        <f t="shared" si="133"/>
        <v>3775.36</v>
      </c>
      <c r="O975" s="174">
        <f>3801783.36/1007*250</f>
        <v>943838.97</v>
      </c>
      <c r="P975" s="65">
        <v>879040</v>
      </c>
      <c r="Q975" s="65">
        <f t="shared" si="135"/>
        <v>193388.79999999999</v>
      </c>
      <c r="R975" s="65">
        <f t="shared" si="136"/>
        <v>1072428.8</v>
      </c>
      <c r="S975" s="276"/>
      <c r="T975" s="135">
        <v>36</v>
      </c>
      <c r="U975" s="270"/>
      <c r="V975" s="38">
        <v>1009236</v>
      </c>
      <c r="W975" s="38">
        <f t="shared" si="137"/>
        <v>222031.92</v>
      </c>
      <c r="X975" s="38">
        <f t="shared" si="138"/>
        <v>1231267.92</v>
      </c>
    </row>
    <row r="976" spans="1:24" ht="15" customHeight="1" x14ac:dyDescent="0.35">
      <c r="A976" s="56"/>
      <c r="B976" s="23"/>
      <c r="C976" s="77"/>
      <c r="D976" s="74"/>
      <c r="E976" s="74"/>
      <c r="F976" s="75"/>
      <c r="G976" s="64"/>
      <c r="H976" s="101"/>
      <c r="I976" s="4"/>
      <c r="J976" s="115"/>
      <c r="K976" s="101"/>
      <c r="L976" s="61"/>
      <c r="M976" s="65"/>
      <c r="N976" s="65"/>
      <c r="O976" s="126">
        <f>SUM(O879:O975)</f>
        <v>12113928.25</v>
      </c>
      <c r="P976" s="126">
        <f>SUM(P879:P975)</f>
        <v>8862447.3300000001</v>
      </c>
      <c r="Q976" s="126">
        <f>SUM(Q879:Q975)</f>
        <v>1949738.41</v>
      </c>
      <c r="R976" s="126">
        <f>SUM(R879:R975)</f>
        <v>10812185.74</v>
      </c>
      <c r="S976" s="72">
        <f>R976/100*10</f>
        <v>1081218.57</v>
      </c>
      <c r="T976" s="73">
        <v>36</v>
      </c>
      <c r="U976" s="271"/>
      <c r="V976" s="38"/>
      <c r="W976" s="38"/>
      <c r="X976" s="38"/>
    </row>
    <row r="977" spans="1:24" ht="30.75" customHeight="1" x14ac:dyDescent="0.35">
      <c r="A977" s="56" t="s">
        <v>3257</v>
      </c>
      <c r="B977" s="2">
        <v>937</v>
      </c>
      <c r="C977" s="77">
        <v>10148684</v>
      </c>
      <c r="D977" s="74" t="s">
        <v>1515</v>
      </c>
      <c r="E977" s="103" t="s">
        <v>2167</v>
      </c>
      <c r="F977" s="75">
        <v>6</v>
      </c>
      <c r="G977" s="64" t="s">
        <v>0</v>
      </c>
      <c r="H977" s="78">
        <v>41640</v>
      </c>
      <c r="I977" s="4" t="s">
        <v>957</v>
      </c>
      <c r="J977" s="63" t="s">
        <v>2205</v>
      </c>
      <c r="K977" s="63" t="s">
        <v>961</v>
      </c>
      <c r="L977" s="69" t="s">
        <v>950</v>
      </c>
      <c r="M977" s="70">
        <v>5887.74</v>
      </c>
      <c r="N977" s="70">
        <v>981.29</v>
      </c>
      <c r="O977" s="70">
        <v>5887.74</v>
      </c>
      <c r="P977" s="65">
        <v>7450</v>
      </c>
      <c r="Q977" s="65">
        <f t="shared" si="135"/>
        <v>1639</v>
      </c>
      <c r="R977" s="65">
        <f t="shared" si="136"/>
        <v>9089</v>
      </c>
      <c r="S977" s="125"/>
      <c r="T977" s="64">
        <v>37</v>
      </c>
      <c r="U977" s="273" t="s">
        <v>2268</v>
      </c>
      <c r="V977" s="38">
        <v>7447</v>
      </c>
      <c r="W977" s="38">
        <f t="shared" si="137"/>
        <v>1638.34</v>
      </c>
      <c r="X977" s="38">
        <f t="shared" si="138"/>
        <v>9085.34</v>
      </c>
    </row>
    <row r="978" spans="1:24" ht="15" customHeight="1" x14ac:dyDescent="0.35">
      <c r="A978" s="56"/>
      <c r="B978" s="15"/>
      <c r="C978" s="77"/>
      <c r="D978" s="74"/>
      <c r="E978" s="74"/>
      <c r="F978" s="75"/>
      <c r="G978" s="64"/>
      <c r="H978" s="78"/>
      <c r="I978" s="4"/>
      <c r="J978" s="63"/>
      <c r="K978" s="63"/>
      <c r="L978" s="69"/>
      <c r="M978" s="70"/>
      <c r="N978" s="70"/>
      <c r="O978" s="71">
        <f>O977</f>
        <v>5887.74</v>
      </c>
      <c r="P978" s="71">
        <f t="shared" ref="P978:R978" si="139">P977</f>
        <v>7450</v>
      </c>
      <c r="Q978" s="71">
        <f t="shared" si="139"/>
        <v>1639</v>
      </c>
      <c r="R978" s="71">
        <f t="shared" si="139"/>
        <v>9089</v>
      </c>
      <c r="S978" s="72">
        <f>R978/100*10</f>
        <v>908.9</v>
      </c>
      <c r="T978" s="73">
        <v>37</v>
      </c>
      <c r="U978" s="275"/>
      <c r="V978" s="38"/>
      <c r="W978" s="38"/>
      <c r="X978" s="38"/>
    </row>
    <row r="979" spans="1:24" ht="64.5" customHeight="1" x14ac:dyDescent="0.35">
      <c r="A979" s="56" t="s">
        <v>4520</v>
      </c>
      <c r="B979" s="64">
        <v>938</v>
      </c>
      <c r="C979" s="186">
        <v>102011796</v>
      </c>
      <c r="D979" s="187" t="s">
        <v>4531</v>
      </c>
      <c r="E979" s="188" t="s">
        <v>4535</v>
      </c>
      <c r="F979" s="75">
        <v>3</v>
      </c>
      <c r="G979" s="64" t="s">
        <v>0</v>
      </c>
      <c r="H979" s="61">
        <v>42919</v>
      </c>
      <c r="I979" s="64" t="s">
        <v>1316</v>
      </c>
      <c r="J979" s="63" t="s">
        <v>4536</v>
      </c>
      <c r="K979" s="189" t="s">
        <v>4537</v>
      </c>
      <c r="L979" s="146" t="s">
        <v>845</v>
      </c>
      <c r="M979" s="190">
        <v>16933.05</v>
      </c>
      <c r="N979" s="70">
        <f>O979/F979</f>
        <v>5644.35</v>
      </c>
      <c r="O979" s="190">
        <v>16933.05</v>
      </c>
      <c r="P979" s="65">
        <v>7420</v>
      </c>
      <c r="Q979" s="65">
        <f t="shared" si="135"/>
        <v>1632.4</v>
      </c>
      <c r="R979" s="65">
        <f t="shared" si="136"/>
        <v>9052.4</v>
      </c>
      <c r="S979" s="278"/>
      <c r="T979" s="64">
        <v>38</v>
      </c>
      <c r="U979" s="279" t="s">
        <v>4545</v>
      </c>
      <c r="V979" s="38">
        <v>8286</v>
      </c>
      <c r="W979" s="38">
        <f t="shared" si="137"/>
        <v>1822.92</v>
      </c>
      <c r="X979" s="38">
        <f t="shared" si="138"/>
        <v>10108.92</v>
      </c>
    </row>
    <row r="980" spans="1:24" ht="60.75" customHeight="1" x14ac:dyDescent="0.35">
      <c r="A980" s="56" t="s">
        <v>4521</v>
      </c>
      <c r="B980" s="64">
        <v>939</v>
      </c>
      <c r="C980" s="186">
        <v>102011767</v>
      </c>
      <c r="D980" s="187" t="s">
        <v>4532</v>
      </c>
      <c r="E980" s="188" t="s">
        <v>4535</v>
      </c>
      <c r="F980" s="75">
        <v>1</v>
      </c>
      <c r="G980" s="64" t="s">
        <v>0</v>
      </c>
      <c r="H980" s="61">
        <v>42919</v>
      </c>
      <c r="I980" s="64" t="s">
        <v>1316</v>
      </c>
      <c r="J980" s="63" t="s">
        <v>4536</v>
      </c>
      <c r="K980" s="189" t="s">
        <v>4538</v>
      </c>
      <c r="L980" s="146" t="s">
        <v>845</v>
      </c>
      <c r="M980" s="190">
        <v>5644.35</v>
      </c>
      <c r="N980" s="70">
        <f t="shared" ref="N980:N989" si="140">O980/F980</f>
        <v>5644.35</v>
      </c>
      <c r="O980" s="190">
        <v>5644.35</v>
      </c>
      <c r="P980" s="65">
        <v>2470</v>
      </c>
      <c r="Q980" s="65">
        <f t="shared" si="135"/>
        <v>543.4</v>
      </c>
      <c r="R980" s="65">
        <f t="shared" si="136"/>
        <v>3013.4</v>
      </c>
      <c r="S980" s="268"/>
      <c r="T980" s="64">
        <v>38</v>
      </c>
      <c r="U980" s="280"/>
      <c r="V980" s="38">
        <v>2762</v>
      </c>
      <c r="W980" s="38">
        <f t="shared" si="137"/>
        <v>607.64</v>
      </c>
      <c r="X980" s="38">
        <f t="shared" si="138"/>
        <v>3369.64</v>
      </c>
    </row>
    <row r="981" spans="1:24" ht="50.15" customHeight="1" x14ac:dyDescent="0.35">
      <c r="A981" s="56" t="s">
        <v>4522</v>
      </c>
      <c r="B981" s="64">
        <v>940</v>
      </c>
      <c r="C981" s="186">
        <v>102010965</v>
      </c>
      <c r="D981" s="191" t="s">
        <v>4261</v>
      </c>
      <c r="E981" s="188" t="s">
        <v>4116</v>
      </c>
      <c r="F981" s="75">
        <v>52</v>
      </c>
      <c r="G981" s="64" t="s">
        <v>0</v>
      </c>
      <c r="H981" s="61">
        <v>42972</v>
      </c>
      <c r="I981" s="64" t="s">
        <v>1316</v>
      </c>
      <c r="J981" s="63" t="s">
        <v>4536</v>
      </c>
      <c r="K981" s="189" t="s">
        <v>4261</v>
      </c>
      <c r="L981" s="146" t="s">
        <v>845</v>
      </c>
      <c r="M981" s="190">
        <v>808.6</v>
      </c>
      <c r="N981" s="70">
        <f t="shared" si="140"/>
        <v>15.55</v>
      </c>
      <c r="O981" s="190">
        <v>808.6</v>
      </c>
      <c r="P981" s="65">
        <v>350</v>
      </c>
      <c r="Q981" s="65">
        <f t="shared" si="135"/>
        <v>77</v>
      </c>
      <c r="R981" s="65">
        <f t="shared" si="136"/>
        <v>427</v>
      </c>
      <c r="S981" s="268"/>
      <c r="T981" s="64">
        <v>38</v>
      </c>
      <c r="U981" s="280"/>
      <c r="V981" s="38">
        <v>396</v>
      </c>
      <c r="W981" s="38">
        <f t="shared" si="137"/>
        <v>87.12</v>
      </c>
      <c r="X981" s="38">
        <f t="shared" si="138"/>
        <v>483.12</v>
      </c>
    </row>
    <row r="982" spans="1:24" ht="64.5" customHeight="1" x14ac:dyDescent="0.35">
      <c r="A982" s="56" t="s">
        <v>4523</v>
      </c>
      <c r="B982" s="64">
        <v>941</v>
      </c>
      <c r="C982" s="186">
        <v>102011759</v>
      </c>
      <c r="D982" s="191" t="s">
        <v>4533</v>
      </c>
      <c r="E982" s="188" t="s">
        <v>4116</v>
      </c>
      <c r="F982" s="75">
        <v>1</v>
      </c>
      <c r="G982" s="64" t="s">
        <v>0</v>
      </c>
      <c r="H982" s="61">
        <v>42972</v>
      </c>
      <c r="I982" s="64" t="s">
        <v>1316</v>
      </c>
      <c r="J982" s="63" t="s">
        <v>4536</v>
      </c>
      <c r="K982" s="189" t="s">
        <v>4539</v>
      </c>
      <c r="L982" s="146" t="s">
        <v>845</v>
      </c>
      <c r="M982" s="190">
        <v>6542.25</v>
      </c>
      <c r="N982" s="70">
        <f t="shared" si="140"/>
        <v>6542.25</v>
      </c>
      <c r="O982" s="190">
        <v>6542.25</v>
      </c>
      <c r="P982" s="65">
        <v>2870</v>
      </c>
      <c r="Q982" s="65">
        <f t="shared" si="135"/>
        <v>631.4</v>
      </c>
      <c r="R982" s="65">
        <f t="shared" si="136"/>
        <v>3501.4</v>
      </c>
      <c r="S982" s="268"/>
      <c r="T982" s="64">
        <v>38</v>
      </c>
      <c r="U982" s="280"/>
      <c r="V982" s="38">
        <v>3201</v>
      </c>
      <c r="W982" s="38">
        <f t="shared" si="137"/>
        <v>704.22</v>
      </c>
      <c r="X982" s="38">
        <f t="shared" si="138"/>
        <v>3905.22</v>
      </c>
    </row>
    <row r="983" spans="1:24" ht="50.15" customHeight="1" x14ac:dyDescent="0.35">
      <c r="A983" s="56" t="s">
        <v>4524</v>
      </c>
      <c r="B983" s="64">
        <v>942</v>
      </c>
      <c r="C983" s="186">
        <v>102011762</v>
      </c>
      <c r="D983" s="191" t="s">
        <v>4266</v>
      </c>
      <c r="E983" s="188" t="s">
        <v>4116</v>
      </c>
      <c r="F983" s="75">
        <v>4</v>
      </c>
      <c r="G983" s="64" t="s">
        <v>0</v>
      </c>
      <c r="H983" s="61">
        <v>42972</v>
      </c>
      <c r="I983" s="64" t="s">
        <v>1316</v>
      </c>
      <c r="J983" s="63" t="s">
        <v>4536</v>
      </c>
      <c r="K983" s="189" t="s">
        <v>4540</v>
      </c>
      <c r="L983" s="146" t="s">
        <v>845</v>
      </c>
      <c r="M983" s="190">
        <v>2948.88</v>
      </c>
      <c r="N983" s="70">
        <f t="shared" si="140"/>
        <v>737.22</v>
      </c>
      <c r="O983" s="190">
        <v>2948.88</v>
      </c>
      <c r="P983" s="65">
        <v>1290</v>
      </c>
      <c r="Q983" s="65">
        <f t="shared" si="135"/>
        <v>283.8</v>
      </c>
      <c r="R983" s="65">
        <f t="shared" si="136"/>
        <v>1573.8</v>
      </c>
      <c r="S983" s="268"/>
      <c r="T983" s="64">
        <v>38</v>
      </c>
      <c r="U983" s="280"/>
      <c r="V983" s="38">
        <v>1443</v>
      </c>
      <c r="W983" s="38">
        <f t="shared" si="137"/>
        <v>317.45999999999998</v>
      </c>
      <c r="X983" s="38">
        <f t="shared" si="138"/>
        <v>1760.46</v>
      </c>
    </row>
    <row r="984" spans="1:24" ht="60" customHeight="1" x14ac:dyDescent="0.35">
      <c r="A984" s="56" t="s">
        <v>4525</v>
      </c>
      <c r="B984" s="64">
        <v>943</v>
      </c>
      <c r="C984" s="186">
        <v>102011777</v>
      </c>
      <c r="D984" s="191" t="s">
        <v>4534</v>
      </c>
      <c r="E984" s="188" t="s">
        <v>4116</v>
      </c>
      <c r="F984" s="75">
        <v>1</v>
      </c>
      <c r="G984" s="64" t="s">
        <v>0</v>
      </c>
      <c r="H984" s="61">
        <v>42972</v>
      </c>
      <c r="I984" s="64" t="s">
        <v>1316</v>
      </c>
      <c r="J984" s="63" t="s">
        <v>4536</v>
      </c>
      <c r="K984" s="189" t="s">
        <v>4541</v>
      </c>
      <c r="L984" s="146" t="s">
        <v>845</v>
      </c>
      <c r="M984" s="190">
        <v>1266.69</v>
      </c>
      <c r="N984" s="70">
        <f t="shared" si="140"/>
        <v>1266.69</v>
      </c>
      <c r="O984" s="190">
        <v>1266.69</v>
      </c>
      <c r="P984" s="65">
        <v>550</v>
      </c>
      <c r="Q984" s="65">
        <f t="shared" si="135"/>
        <v>121</v>
      </c>
      <c r="R984" s="65">
        <f t="shared" si="136"/>
        <v>671</v>
      </c>
      <c r="S984" s="268"/>
      <c r="T984" s="64">
        <v>38</v>
      </c>
      <c r="U984" s="280"/>
      <c r="V984" s="38">
        <v>620</v>
      </c>
      <c r="W984" s="38">
        <f t="shared" si="137"/>
        <v>136.4</v>
      </c>
      <c r="X984" s="38">
        <f t="shared" si="138"/>
        <v>756.4</v>
      </c>
    </row>
    <row r="985" spans="1:24" ht="56.15" customHeight="1" x14ac:dyDescent="0.35">
      <c r="A985" s="56" t="s">
        <v>4526</v>
      </c>
      <c r="B985" s="64">
        <v>944</v>
      </c>
      <c r="C985" s="186">
        <v>102011781</v>
      </c>
      <c r="D985" s="191" t="s">
        <v>4220</v>
      </c>
      <c r="E985" s="188" t="s">
        <v>4116</v>
      </c>
      <c r="F985" s="75">
        <v>8</v>
      </c>
      <c r="G985" s="64" t="s">
        <v>0</v>
      </c>
      <c r="H985" s="61">
        <v>42972</v>
      </c>
      <c r="I985" s="64" t="s">
        <v>1316</v>
      </c>
      <c r="J985" s="63" t="s">
        <v>4536</v>
      </c>
      <c r="K985" s="189" t="s">
        <v>4542</v>
      </c>
      <c r="L985" s="146" t="s">
        <v>845</v>
      </c>
      <c r="M985" s="190">
        <v>812.16</v>
      </c>
      <c r="N985" s="70">
        <f t="shared" si="140"/>
        <v>101.52</v>
      </c>
      <c r="O985" s="190">
        <v>812.16</v>
      </c>
      <c r="P985" s="65">
        <v>360</v>
      </c>
      <c r="Q985" s="65">
        <f t="shared" si="135"/>
        <v>79.2</v>
      </c>
      <c r="R985" s="65">
        <f t="shared" si="136"/>
        <v>439.2</v>
      </c>
      <c r="S985" s="268"/>
      <c r="T985" s="64">
        <v>38</v>
      </c>
      <c r="U985" s="280"/>
      <c r="V985" s="38">
        <v>397</v>
      </c>
      <c r="W985" s="38">
        <f t="shared" si="137"/>
        <v>87.34</v>
      </c>
      <c r="X985" s="38">
        <f t="shared" si="138"/>
        <v>484.34</v>
      </c>
    </row>
    <row r="986" spans="1:24" ht="50.15" customHeight="1" x14ac:dyDescent="0.35">
      <c r="A986" s="56" t="s">
        <v>4527</v>
      </c>
      <c r="B986" s="64">
        <v>945</v>
      </c>
      <c r="C986" s="186">
        <v>102011786</v>
      </c>
      <c r="D986" s="191" t="s">
        <v>4307</v>
      </c>
      <c r="E986" s="188" t="s">
        <v>4116</v>
      </c>
      <c r="F986" s="75">
        <v>1</v>
      </c>
      <c r="G986" s="64" t="s">
        <v>0</v>
      </c>
      <c r="H986" s="61">
        <v>42527</v>
      </c>
      <c r="I986" s="64" t="s">
        <v>1316</v>
      </c>
      <c r="J986" s="63" t="s">
        <v>4536</v>
      </c>
      <c r="K986" s="189" t="s">
        <v>4307</v>
      </c>
      <c r="L986" s="146" t="s">
        <v>845</v>
      </c>
      <c r="M986" s="190">
        <v>69348.7</v>
      </c>
      <c r="N986" s="70">
        <f t="shared" si="140"/>
        <v>69348.7</v>
      </c>
      <c r="O986" s="190">
        <v>69348.7</v>
      </c>
      <c r="P986" s="65">
        <v>30370</v>
      </c>
      <c r="Q986" s="65">
        <f t="shared" si="135"/>
        <v>6681.4</v>
      </c>
      <c r="R986" s="65">
        <f t="shared" si="136"/>
        <v>37051.4</v>
      </c>
      <c r="S986" s="268"/>
      <c r="T986" s="64">
        <v>38</v>
      </c>
      <c r="U986" s="280"/>
      <c r="V986" s="38">
        <v>33933</v>
      </c>
      <c r="W986" s="38">
        <f t="shared" si="137"/>
        <v>7465.26</v>
      </c>
      <c r="X986" s="38">
        <f t="shared" si="138"/>
        <v>41398.26</v>
      </c>
    </row>
    <row r="987" spans="1:24" ht="61.5" customHeight="1" x14ac:dyDescent="0.35">
      <c r="A987" s="56" t="s">
        <v>4528</v>
      </c>
      <c r="B987" s="64">
        <v>946</v>
      </c>
      <c r="C987" s="186">
        <v>102011833</v>
      </c>
      <c r="D987" s="191" t="s">
        <v>4262</v>
      </c>
      <c r="E987" s="188" t="s">
        <v>4116</v>
      </c>
      <c r="F987" s="75">
        <v>3</v>
      </c>
      <c r="G987" s="64" t="s">
        <v>0</v>
      </c>
      <c r="H987" s="61">
        <v>42534</v>
      </c>
      <c r="I987" s="64" t="s">
        <v>1316</v>
      </c>
      <c r="J987" s="63" t="s">
        <v>4536</v>
      </c>
      <c r="K987" s="189" t="s">
        <v>4539</v>
      </c>
      <c r="L987" s="146" t="s">
        <v>845</v>
      </c>
      <c r="M987" s="190">
        <v>21772.26</v>
      </c>
      <c r="N987" s="70">
        <f t="shared" si="140"/>
        <v>7257.42</v>
      </c>
      <c r="O987" s="190">
        <v>21772.26</v>
      </c>
      <c r="P987" s="65">
        <v>9530</v>
      </c>
      <c r="Q987" s="65">
        <f t="shared" si="135"/>
        <v>2096.6</v>
      </c>
      <c r="R987" s="65">
        <f t="shared" si="136"/>
        <v>11626.6</v>
      </c>
      <c r="S987" s="268"/>
      <c r="T987" s="64">
        <v>38</v>
      </c>
      <c r="U987" s="280"/>
      <c r="V987" s="38">
        <v>10654</v>
      </c>
      <c r="W987" s="38">
        <f t="shared" si="137"/>
        <v>2343.88</v>
      </c>
      <c r="X987" s="38">
        <f t="shared" si="138"/>
        <v>12997.88</v>
      </c>
    </row>
    <row r="988" spans="1:24" ht="59.25" customHeight="1" x14ac:dyDescent="0.35">
      <c r="A988" s="56" t="s">
        <v>4529</v>
      </c>
      <c r="B988" s="64">
        <v>947</v>
      </c>
      <c r="C988" s="186">
        <v>102017497</v>
      </c>
      <c r="D988" s="191" t="s">
        <v>4269</v>
      </c>
      <c r="E988" s="188" t="s">
        <v>4116</v>
      </c>
      <c r="F988" s="75">
        <v>16</v>
      </c>
      <c r="G988" s="64" t="s">
        <v>0</v>
      </c>
      <c r="H988" s="61">
        <v>42972</v>
      </c>
      <c r="I988" s="64" t="s">
        <v>1316</v>
      </c>
      <c r="J988" s="63" t="s">
        <v>4536</v>
      </c>
      <c r="K988" s="189" t="s">
        <v>4543</v>
      </c>
      <c r="L988" s="146" t="s">
        <v>845</v>
      </c>
      <c r="M988" s="190">
        <v>5608.96</v>
      </c>
      <c r="N988" s="70">
        <f t="shared" si="140"/>
        <v>350.56</v>
      </c>
      <c r="O988" s="190">
        <v>5608.96</v>
      </c>
      <c r="P988" s="65">
        <v>2460</v>
      </c>
      <c r="Q988" s="65">
        <f t="shared" si="135"/>
        <v>541.20000000000005</v>
      </c>
      <c r="R988" s="65">
        <f t="shared" si="136"/>
        <v>3001.2</v>
      </c>
      <c r="S988" s="268"/>
      <c r="T988" s="64">
        <v>38</v>
      </c>
      <c r="U988" s="280"/>
      <c r="V988" s="38">
        <v>2745</v>
      </c>
      <c r="W988" s="38">
        <f t="shared" si="137"/>
        <v>603.9</v>
      </c>
      <c r="X988" s="38">
        <f t="shared" si="138"/>
        <v>3348.9</v>
      </c>
    </row>
    <row r="989" spans="1:24" ht="58.5" customHeight="1" x14ac:dyDescent="0.35">
      <c r="A989" s="56" t="s">
        <v>4530</v>
      </c>
      <c r="B989" s="64">
        <v>948</v>
      </c>
      <c r="C989" s="186">
        <v>102018905</v>
      </c>
      <c r="D989" s="191" t="s">
        <v>4263</v>
      </c>
      <c r="E989" s="188" t="s">
        <v>4116</v>
      </c>
      <c r="F989" s="75">
        <v>2</v>
      </c>
      <c r="G989" s="64" t="s">
        <v>0</v>
      </c>
      <c r="H989" s="61">
        <v>42972</v>
      </c>
      <c r="I989" s="64" t="s">
        <v>1316</v>
      </c>
      <c r="J989" s="63" t="s">
        <v>4536</v>
      </c>
      <c r="K989" s="189" t="s">
        <v>4544</v>
      </c>
      <c r="L989" s="146" t="s">
        <v>845</v>
      </c>
      <c r="M989" s="190">
        <v>2561.54</v>
      </c>
      <c r="N989" s="70">
        <f t="shared" si="140"/>
        <v>1280.77</v>
      </c>
      <c r="O989" s="190">
        <v>2561.54</v>
      </c>
      <c r="P989" s="65">
        <v>1120</v>
      </c>
      <c r="Q989" s="65">
        <f t="shared" si="135"/>
        <v>246.4</v>
      </c>
      <c r="R989" s="65">
        <f t="shared" si="136"/>
        <v>1366.4</v>
      </c>
      <c r="S989" s="269"/>
      <c r="T989" s="64">
        <v>38</v>
      </c>
      <c r="U989" s="280"/>
      <c r="V989" s="38">
        <v>1253</v>
      </c>
      <c r="W989" s="38">
        <f t="shared" si="137"/>
        <v>275.66000000000003</v>
      </c>
      <c r="X989" s="38">
        <f t="shared" si="138"/>
        <v>1528.66</v>
      </c>
    </row>
    <row r="990" spans="1:24" ht="15" customHeight="1" x14ac:dyDescent="0.35">
      <c r="A990" s="56"/>
      <c r="B990" s="15"/>
      <c r="C990" s="77"/>
      <c r="D990" s="74"/>
      <c r="E990" s="74"/>
      <c r="F990" s="75"/>
      <c r="G990" s="64"/>
      <c r="H990" s="61"/>
      <c r="I990" s="62"/>
      <c r="J990" s="63"/>
      <c r="K990" s="88"/>
      <c r="L990" s="88"/>
      <c r="M990" s="76"/>
      <c r="N990" s="76"/>
      <c r="O990" s="81">
        <f>SUM(O989:O989)</f>
        <v>2561.54</v>
      </c>
      <c r="P990" s="81">
        <f>SUM(P979:P989)</f>
        <v>58790</v>
      </c>
      <c r="Q990" s="81">
        <f t="shared" ref="Q990" si="141">SUM(Q989:Q989)</f>
        <v>246.4</v>
      </c>
      <c r="R990" s="81">
        <f>SUM(R979:R989)</f>
        <v>71723.8</v>
      </c>
      <c r="S990" s="72">
        <f>R990/100*10</f>
        <v>7172.38</v>
      </c>
      <c r="T990" s="73">
        <v>38</v>
      </c>
      <c r="U990" s="281"/>
      <c r="V990" s="38"/>
      <c r="W990" s="38"/>
      <c r="X990" s="38"/>
    </row>
    <row r="991" spans="1:24" ht="15" customHeight="1" x14ac:dyDescent="0.35">
      <c r="A991" s="56" t="s">
        <v>3258</v>
      </c>
      <c r="B991" s="2">
        <v>949</v>
      </c>
      <c r="C991" s="39">
        <v>10142577</v>
      </c>
      <c r="D991" s="40" t="s">
        <v>1309</v>
      </c>
      <c r="E991" s="40" t="s">
        <v>2174</v>
      </c>
      <c r="F991" s="43">
        <v>7</v>
      </c>
      <c r="G991" s="64" t="s">
        <v>0</v>
      </c>
      <c r="H991" s="42" t="s">
        <v>494</v>
      </c>
      <c r="I991" s="94" t="s">
        <v>1316</v>
      </c>
      <c r="J991" s="63" t="s">
        <v>1917</v>
      </c>
      <c r="K991" s="63" t="s">
        <v>961</v>
      </c>
      <c r="L991" s="69" t="s">
        <v>950</v>
      </c>
      <c r="M991" s="70">
        <f t="shared" ref="M991:M1035" si="142">O991</f>
        <v>1185965.54</v>
      </c>
      <c r="N991" s="70">
        <f t="shared" ref="N991:N995" si="143">O991/F991</f>
        <v>169423.65</v>
      </c>
      <c r="O991" s="70">
        <v>1185965.54</v>
      </c>
      <c r="P991" s="65">
        <v>1971510</v>
      </c>
      <c r="Q991" s="65">
        <f t="shared" si="135"/>
        <v>433732.2</v>
      </c>
      <c r="R991" s="65">
        <f t="shared" si="136"/>
        <v>2405242.2000000002</v>
      </c>
      <c r="S991" s="272"/>
      <c r="T991" s="64">
        <v>39</v>
      </c>
      <c r="U991" s="270" t="s">
        <v>4549</v>
      </c>
      <c r="V991" s="38">
        <v>2149952</v>
      </c>
      <c r="W991" s="38">
        <f t="shared" si="137"/>
        <v>472989.44</v>
      </c>
      <c r="X991" s="38">
        <f t="shared" si="138"/>
        <v>2622941.44</v>
      </c>
    </row>
    <row r="992" spans="1:24" ht="15" customHeight="1" x14ac:dyDescent="0.35">
      <c r="A992" s="56" t="s">
        <v>3259</v>
      </c>
      <c r="B992" s="2">
        <v>950</v>
      </c>
      <c r="C992" s="39">
        <v>102001009</v>
      </c>
      <c r="D992" s="40" t="s">
        <v>1310</v>
      </c>
      <c r="E992" s="40" t="s">
        <v>2174</v>
      </c>
      <c r="F992" s="43">
        <v>1</v>
      </c>
      <c r="G992" s="64" t="s">
        <v>0</v>
      </c>
      <c r="H992" s="42" t="s">
        <v>494</v>
      </c>
      <c r="I992" s="94" t="s">
        <v>1316</v>
      </c>
      <c r="J992" s="63" t="s">
        <v>1917</v>
      </c>
      <c r="K992" s="63" t="s">
        <v>961</v>
      </c>
      <c r="L992" s="69" t="s">
        <v>950</v>
      </c>
      <c r="M992" s="70">
        <f t="shared" si="142"/>
        <v>263145</v>
      </c>
      <c r="N992" s="70">
        <f t="shared" si="143"/>
        <v>263145</v>
      </c>
      <c r="O992" s="70">
        <v>263145</v>
      </c>
      <c r="P992" s="65">
        <v>437440</v>
      </c>
      <c r="Q992" s="65">
        <f t="shared" si="135"/>
        <v>96236.800000000003</v>
      </c>
      <c r="R992" s="65">
        <f t="shared" si="136"/>
        <v>533676.80000000005</v>
      </c>
      <c r="S992" s="272"/>
      <c r="T992" s="64">
        <v>39</v>
      </c>
      <c r="U992" s="274"/>
      <c r="V992" s="38">
        <v>477037</v>
      </c>
      <c r="W992" s="38">
        <f t="shared" si="137"/>
        <v>104948.14</v>
      </c>
      <c r="X992" s="38">
        <f t="shared" si="138"/>
        <v>581985.14</v>
      </c>
    </row>
    <row r="993" spans="1:24" ht="15" customHeight="1" x14ac:dyDescent="0.35">
      <c r="A993" s="56" t="s">
        <v>3260</v>
      </c>
      <c r="B993" s="2">
        <v>951</v>
      </c>
      <c r="C993" s="39">
        <v>102001047</v>
      </c>
      <c r="D993" s="40" t="s">
        <v>1311</v>
      </c>
      <c r="E993" s="40" t="s">
        <v>2174</v>
      </c>
      <c r="F993" s="43">
        <v>4</v>
      </c>
      <c r="G993" s="64" t="s">
        <v>0</v>
      </c>
      <c r="H993" s="42" t="s">
        <v>494</v>
      </c>
      <c r="I993" s="94" t="s">
        <v>1316</v>
      </c>
      <c r="J993" s="63" t="s">
        <v>1917</v>
      </c>
      <c r="K993" s="63" t="s">
        <v>961</v>
      </c>
      <c r="L993" s="69" t="s">
        <v>950</v>
      </c>
      <c r="M993" s="70">
        <f t="shared" si="142"/>
        <v>970978.99</v>
      </c>
      <c r="N993" s="70">
        <f t="shared" si="143"/>
        <v>242744.75</v>
      </c>
      <c r="O993" s="70">
        <v>970978.99</v>
      </c>
      <c r="P993" s="65">
        <v>1614120</v>
      </c>
      <c r="Q993" s="65">
        <f t="shared" si="135"/>
        <v>355106.4</v>
      </c>
      <c r="R993" s="65">
        <f t="shared" si="136"/>
        <v>1969226.4</v>
      </c>
      <c r="S993" s="272"/>
      <c r="T993" s="64">
        <v>39</v>
      </c>
      <c r="U993" s="274"/>
      <c r="V993" s="38">
        <v>1760218</v>
      </c>
      <c r="W993" s="38">
        <f t="shared" si="137"/>
        <v>387247.96</v>
      </c>
      <c r="X993" s="38">
        <f t="shared" si="138"/>
        <v>2147465.96</v>
      </c>
    </row>
    <row r="994" spans="1:24" ht="27" customHeight="1" x14ac:dyDescent="0.35">
      <c r="A994" s="56" t="s">
        <v>3261</v>
      </c>
      <c r="B994" s="2">
        <v>952</v>
      </c>
      <c r="C994" s="11">
        <v>10158758</v>
      </c>
      <c r="D994" s="3" t="s">
        <v>1376</v>
      </c>
      <c r="E994" s="59" t="s">
        <v>2167</v>
      </c>
      <c r="F994" s="14">
        <v>7</v>
      </c>
      <c r="G994" s="64" t="s">
        <v>0</v>
      </c>
      <c r="H994" s="5">
        <v>41579</v>
      </c>
      <c r="I994" s="4" t="s">
        <v>957</v>
      </c>
      <c r="J994" s="6" t="s">
        <v>1378</v>
      </c>
      <c r="K994" s="63" t="s">
        <v>961</v>
      </c>
      <c r="L994" s="69" t="s">
        <v>950</v>
      </c>
      <c r="M994" s="70">
        <f t="shared" si="142"/>
        <v>2975000</v>
      </c>
      <c r="N994" s="70">
        <f t="shared" si="143"/>
        <v>425000</v>
      </c>
      <c r="O994" s="70">
        <v>2975000</v>
      </c>
      <c r="P994" s="65">
        <v>4880750</v>
      </c>
      <c r="Q994" s="65">
        <f t="shared" si="135"/>
        <v>1073765</v>
      </c>
      <c r="R994" s="65">
        <f t="shared" si="136"/>
        <v>5954515</v>
      </c>
      <c r="S994" s="272"/>
      <c r="T994" s="64">
        <v>39</v>
      </c>
      <c r="U994" s="274"/>
      <c r="V994" s="38">
        <v>5322521</v>
      </c>
      <c r="W994" s="38">
        <f t="shared" si="137"/>
        <v>1170954.6200000001</v>
      </c>
      <c r="X994" s="38">
        <f t="shared" si="138"/>
        <v>6493475.6200000001</v>
      </c>
    </row>
    <row r="995" spans="1:24" ht="31.5" customHeight="1" x14ac:dyDescent="0.35">
      <c r="A995" s="56" t="s">
        <v>3262</v>
      </c>
      <c r="B995" s="2">
        <v>953</v>
      </c>
      <c r="C995" s="11">
        <v>10158754</v>
      </c>
      <c r="D995" s="3" t="s">
        <v>1377</v>
      </c>
      <c r="E995" s="59" t="s">
        <v>2167</v>
      </c>
      <c r="F995" s="14">
        <v>1</v>
      </c>
      <c r="G995" s="64" t="s">
        <v>0</v>
      </c>
      <c r="H995" s="5">
        <v>41579</v>
      </c>
      <c r="I995" s="4" t="s">
        <v>957</v>
      </c>
      <c r="J995" s="6" t="s">
        <v>1379</v>
      </c>
      <c r="K995" s="63" t="s">
        <v>961</v>
      </c>
      <c r="L995" s="69" t="s">
        <v>950</v>
      </c>
      <c r="M995" s="70">
        <f t="shared" si="142"/>
        <v>368000</v>
      </c>
      <c r="N995" s="70">
        <f t="shared" si="143"/>
        <v>368000</v>
      </c>
      <c r="O995" s="70">
        <v>368000</v>
      </c>
      <c r="P995" s="65">
        <v>603740</v>
      </c>
      <c r="Q995" s="65">
        <f t="shared" si="135"/>
        <v>132822.79999999999</v>
      </c>
      <c r="R995" s="65">
        <f t="shared" si="136"/>
        <v>736562.8</v>
      </c>
      <c r="S995" s="272"/>
      <c r="T995" s="64">
        <v>39</v>
      </c>
      <c r="U995" s="274"/>
      <c r="V995" s="38">
        <v>658382</v>
      </c>
      <c r="W995" s="38">
        <f t="shared" si="137"/>
        <v>144844.04</v>
      </c>
      <c r="X995" s="38">
        <f t="shared" si="138"/>
        <v>803226.04</v>
      </c>
    </row>
    <row r="996" spans="1:24" ht="15" customHeight="1" x14ac:dyDescent="0.35">
      <c r="A996" s="56"/>
      <c r="B996" s="15"/>
      <c r="C996" s="11"/>
      <c r="D996" s="3"/>
      <c r="E996" s="59"/>
      <c r="F996" s="14"/>
      <c r="G996" s="64"/>
      <c r="H996" s="5"/>
      <c r="I996" s="4"/>
      <c r="J996" s="63"/>
      <c r="K996" s="63"/>
      <c r="L996" s="69"/>
      <c r="M996" s="70"/>
      <c r="N996" s="70"/>
      <c r="O996" s="71">
        <f>SUM(O991:O995)</f>
        <v>5763089.5300000003</v>
      </c>
      <c r="P996" s="71">
        <f>SUM(P991:P995)</f>
        <v>9507560</v>
      </c>
      <c r="Q996" s="71">
        <f>SUM(Q991:Q995)</f>
        <v>2091663.2</v>
      </c>
      <c r="R996" s="71">
        <f>SUM(R991:R995)</f>
        <v>11599223.199999999</v>
      </c>
      <c r="S996" s="72">
        <f>R996/100*10</f>
        <v>1159922.32</v>
      </c>
      <c r="T996" s="73">
        <v>39</v>
      </c>
      <c r="U996" s="275"/>
      <c r="V996" s="38"/>
      <c r="W996" s="38"/>
      <c r="X996" s="38"/>
    </row>
    <row r="997" spans="1:24" ht="26.5" customHeight="1" x14ac:dyDescent="0.35">
      <c r="A997" s="56" t="s">
        <v>3263</v>
      </c>
      <c r="B997" s="2">
        <v>954</v>
      </c>
      <c r="C997" s="89">
        <v>10110104</v>
      </c>
      <c r="D997" s="90" t="s">
        <v>589</v>
      </c>
      <c r="E997" s="74" t="s">
        <v>684</v>
      </c>
      <c r="F997" s="91">
        <v>5</v>
      </c>
      <c r="G997" s="64" t="s">
        <v>0</v>
      </c>
      <c r="H997" s="61">
        <v>42004</v>
      </c>
      <c r="I997" s="107" t="s">
        <v>976</v>
      </c>
      <c r="J997" s="63" t="s">
        <v>1917</v>
      </c>
      <c r="K997" s="108" t="s">
        <v>526</v>
      </c>
      <c r="L997" s="64" t="s">
        <v>845</v>
      </c>
      <c r="M997" s="65">
        <f t="shared" si="142"/>
        <v>1211591.1200000001</v>
      </c>
      <c r="N997" s="65">
        <f>O997/F997</f>
        <v>242318.22</v>
      </c>
      <c r="O997" s="65">
        <v>1211591.1200000001</v>
      </c>
      <c r="P997" s="65">
        <v>1391410</v>
      </c>
      <c r="Q997" s="65">
        <f t="shared" si="135"/>
        <v>306110.2</v>
      </c>
      <c r="R997" s="65">
        <f t="shared" si="136"/>
        <v>1697520.2</v>
      </c>
      <c r="S997" s="267"/>
      <c r="T997" s="64">
        <v>40</v>
      </c>
      <c r="U997" s="273" t="s">
        <v>4549</v>
      </c>
      <c r="V997" s="38">
        <v>1496144</v>
      </c>
      <c r="W997" s="38">
        <f t="shared" si="137"/>
        <v>329151.68</v>
      </c>
      <c r="X997" s="38">
        <f t="shared" si="138"/>
        <v>1825295.68</v>
      </c>
    </row>
    <row r="998" spans="1:24" ht="121.5" customHeight="1" x14ac:dyDescent="0.35">
      <c r="A998" s="56" t="s">
        <v>3264</v>
      </c>
      <c r="B998" s="2">
        <v>955</v>
      </c>
      <c r="C998" s="89">
        <v>10142765</v>
      </c>
      <c r="D998" s="90" t="s">
        <v>590</v>
      </c>
      <c r="E998" s="74" t="s">
        <v>684</v>
      </c>
      <c r="F998" s="91">
        <f>3-1-1</f>
        <v>1</v>
      </c>
      <c r="G998" s="64" t="s">
        <v>0</v>
      </c>
      <c r="H998" s="61">
        <v>42004</v>
      </c>
      <c r="I998" s="107" t="s">
        <v>976</v>
      </c>
      <c r="J998" s="88" t="s">
        <v>977</v>
      </c>
      <c r="K998" s="108" t="s">
        <v>692</v>
      </c>
      <c r="L998" s="64" t="s">
        <v>845</v>
      </c>
      <c r="M998" s="65">
        <f t="shared" si="142"/>
        <v>110680.85</v>
      </c>
      <c r="N998" s="65">
        <f>O998/F998</f>
        <v>110680.85</v>
      </c>
      <c r="O998" s="65">
        <v>110680.85</v>
      </c>
      <c r="P998" s="65">
        <v>109760</v>
      </c>
      <c r="Q998" s="65">
        <f t="shared" si="135"/>
        <v>24147.200000000001</v>
      </c>
      <c r="R998" s="65">
        <f t="shared" si="136"/>
        <v>133907.20000000001</v>
      </c>
      <c r="S998" s="272"/>
      <c r="T998" s="64">
        <v>40</v>
      </c>
      <c r="U998" s="274"/>
      <c r="V998" s="38">
        <v>118027</v>
      </c>
      <c r="W998" s="38">
        <f t="shared" si="137"/>
        <v>25965.94</v>
      </c>
      <c r="X998" s="38">
        <f t="shared" si="138"/>
        <v>143992.94</v>
      </c>
    </row>
    <row r="999" spans="1:24" ht="15" customHeight="1" x14ac:dyDescent="0.35">
      <c r="A999" s="56" t="s">
        <v>3265</v>
      </c>
      <c r="B999" s="2">
        <v>956</v>
      </c>
      <c r="C999" s="89">
        <v>102001031</v>
      </c>
      <c r="D999" s="90" t="s">
        <v>591</v>
      </c>
      <c r="E999" s="74" t="s">
        <v>685</v>
      </c>
      <c r="F999" s="91">
        <f>4-1</f>
        <v>3</v>
      </c>
      <c r="G999" s="64" t="s">
        <v>0</v>
      </c>
      <c r="H999" s="61">
        <v>42004</v>
      </c>
      <c r="I999" s="107" t="s">
        <v>976</v>
      </c>
      <c r="J999" s="63" t="s">
        <v>1917</v>
      </c>
      <c r="K999" s="108" t="s">
        <v>694</v>
      </c>
      <c r="L999" s="64" t="s">
        <v>845</v>
      </c>
      <c r="M999" s="65">
        <f t="shared" si="142"/>
        <v>42840</v>
      </c>
      <c r="N999" s="65">
        <f>O999/F999</f>
        <v>14280</v>
      </c>
      <c r="O999" s="65">
        <f>57120/4*3</f>
        <v>42840</v>
      </c>
      <c r="P999" s="65">
        <v>42490</v>
      </c>
      <c r="Q999" s="65">
        <f t="shared" si="135"/>
        <v>9347.7999999999993</v>
      </c>
      <c r="R999" s="65">
        <f t="shared" si="136"/>
        <v>51837.8</v>
      </c>
      <c r="S999" s="272"/>
      <c r="T999" s="64">
        <v>40</v>
      </c>
      <c r="U999" s="274"/>
      <c r="V999" s="38">
        <v>45683</v>
      </c>
      <c r="W999" s="38">
        <f t="shared" si="137"/>
        <v>10050.26</v>
      </c>
      <c r="X999" s="38">
        <f t="shared" si="138"/>
        <v>55733.26</v>
      </c>
    </row>
    <row r="1000" spans="1:24" ht="15" customHeight="1" x14ac:dyDescent="0.35">
      <c r="A1000" s="56" t="s">
        <v>3266</v>
      </c>
      <c r="B1000" s="2">
        <v>957</v>
      </c>
      <c r="C1000" s="77">
        <v>10141883</v>
      </c>
      <c r="D1000" s="74" t="s">
        <v>256</v>
      </c>
      <c r="E1000" s="59" t="s">
        <v>2182</v>
      </c>
      <c r="F1000" s="75">
        <v>1</v>
      </c>
      <c r="G1000" s="64" t="s">
        <v>0</v>
      </c>
      <c r="H1000" s="101" t="s">
        <v>2145</v>
      </c>
      <c r="I1000" s="61" t="s">
        <v>976</v>
      </c>
      <c r="J1000" s="63" t="s">
        <v>1917</v>
      </c>
      <c r="K1000" s="61" t="s">
        <v>961</v>
      </c>
      <c r="L1000" s="69" t="s">
        <v>2093</v>
      </c>
      <c r="M1000" s="70">
        <f t="shared" si="142"/>
        <v>65347.54</v>
      </c>
      <c r="N1000" s="70">
        <f>O1000/F1000</f>
        <v>65347.54</v>
      </c>
      <c r="O1000" s="70">
        <v>65347.54</v>
      </c>
      <c r="P1000" s="65">
        <v>72980</v>
      </c>
      <c r="Q1000" s="65">
        <f t="shared" si="135"/>
        <v>16055.6</v>
      </c>
      <c r="R1000" s="65">
        <f t="shared" si="136"/>
        <v>89035.6</v>
      </c>
      <c r="S1000" s="272"/>
      <c r="T1000" s="64">
        <v>40</v>
      </c>
      <c r="U1000" s="274"/>
      <c r="V1000" s="38">
        <v>78470</v>
      </c>
      <c r="W1000" s="38">
        <f t="shared" si="137"/>
        <v>17263.400000000001</v>
      </c>
      <c r="X1000" s="38">
        <f t="shared" si="138"/>
        <v>95733.4</v>
      </c>
    </row>
    <row r="1001" spans="1:24" ht="15" customHeight="1" x14ac:dyDescent="0.35">
      <c r="A1001" s="56" t="s">
        <v>3267</v>
      </c>
      <c r="B1001" s="2">
        <v>958</v>
      </c>
      <c r="C1001" s="77">
        <v>10142830</v>
      </c>
      <c r="D1001" s="74" t="s">
        <v>257</v>
      </c>
      <c r="E1001" s="59" t="s">
        <v>2182</v>
      </c>
      <c r="F1001" s="75">
        <v>1</v>
      </c>
      <c r="G1001" s="64" t="s">
        <v>0</v>
      </c>
      <c r="H1001" s="101" t="s">
        <v>2145</v>
      </c>
      <c r="I1001" s="61" t="s">
        <v>976</v>
      </c>
      <c r="J1001" s="63" t="s">
        <v>1917</v>
      </c>
      <c r="K1001" s="61" t="s">
        <v>961</v>
      </c>
      <c r="L1001" s="69" t="s">
        <v>2093</v>
      </c>
      <c r="M1001" s="70">
        <f t="shared" si="142"/>
        <v>48862.77</v>
      </c>
      <c r="N1001" s="70">
        <f>O1001/F1001</f>
        <v>48862.77</v>
      </c>
      <c r="O1001" s="70">
        <v>48862.77</v>
      </c>
      <c r="P1001" s="65">
        <v>54570</v>
      </c>
      <c r="Q1001" s="65">
        <f t="shared" si="135"/>
        <v>12005.4</v>
      </c>
      <c r="R1001" s="65">
        <f t="shared" si="136"/>
        <v>66575.399999999994</v>
      </c>
      <c r="S1001" s="276"/>
      <c r="T1001" s="64">
        <v>40</v>
      </c>
      <c r="U1001" s="274"/>
      <c r="V1001" s="38">
        <v>58675</v>
      </c>
      <c r="W1001" s="38">
        <f t="shared" si="137"/>
        <v>12908.5</v>
      </c>
      <c r="X1001" s="38">
        <f t="shared" si="138"/>
        <v>71583.5</v>
      </c>
    </row>
    <row r="1002" spans="1:24" ht="15" customHeight="1" x14ac:dyDescent="0.35">
      <c r="A1002" s="56"/>
      <c r="B1002" s="15"/>
      <c r="C1002" s="77"/>
      <c r="D1002" s="74"/>
      <c r="E1002" s="59"/>
      <c r="F1002" s="75"/>
      <c r="G1002" s="64"/>
      <c r="H1002" s="101"/>
      <c r="I1002" s="61"/>
      <c r="J1002" s="63"/>
      <c r="K1002" s="61"/>
      <c r="L1002" s="69"/>
      <c r="M1002" s="70"/>
      <c r="N1002" s="70"/>
      <c r="O1002" s="138">
        <f>SUM(O997:O1001)</f>
        <v>1479322.28</v>
      </c>
      <c r="P1002" s="138">
        <f t="shared" ref="P1002:R1002" si="144">SUM(P997:P1001)</f>
        <v>1671210</v>
      </c>
      <c r="Q1002" s="138">
        <f t="shared" si="144"/>
        <v>367666.2</v>
      </c>
      <c r="R1002" s="138">
        <f t="shared" si="144"/>
        <v>2038876.2</v>
      </c>
      <c r="S1002" s="72">
        <f>R1002/100*10</f>
        <v>203887.62</v>
      </c>
      <c r="T1002" s="73">
        <v>40</v>
      </c>
      <c r="U1002" s="275"/>
      <c r="V1002" s="38"/>
      <c r="W1002" s="38"/>
      <c r="X1002" s="38"/>
    </row>
    <row r="1003" spans="1:24" ht="29.5" customHeight="1" x14ac:dyDescent="0.35">
      <c r="A1003" s="56" t="s">
        <v>3268</v>
      </c>
      <c r="B1003" s="2">
        <v>959</v>
      </c>
      <c r="C1003" s="77">
        <v>102003298</v>
      </c>
      <c r="D1003" s="74" t="s">
        <v>1428</v>
      </c>
      <c r="E1003" s="59" t="s">
        <v>2167</v>
      </c>
      <c r="F1003" s="75">
        <v>1</v>
      </c>
      <c r="G1003" s="64" t="s">
        <v>0</v>
      </c>
      <c r="H1003" s="78">
        <v>42150</v>
      </c>
      <c r="I1003" s="4" t="s">
        <v>957</v>
      </c>
      <c r="J1003" s="63" t="s">
        <v>2234</v>
      </c>
      <c r="K1003" s="63" t="s">
        <v>961</v>
      </c>
      <c r="L1003" s="69" t="s">
        <v>950</v>
      </c>
      <c r="M1003" s="70">
        <f t="shared" si="142"/>
        <v>15249.3</v>
      </c>
      <c r="N1003" s="70">
        <f>O1003/F1003</f>
        <v>15249.3</v>
      </c>
      <c r="O1003" s="70">
        <v>15249.3</v>
      </c>
      <c r="P1003" s="65">
        <v>23690</v>
      </c>
      <c r="Q1003" s="65">
        <f t="shared" si="135"/>
        <v>5211.8</v>
      </c>
      <c r="R1003" s="65">
        <f t="shared" si="136"/>
        <v>28901.8</v>
      </c>
      <c r="S1003" s="267"/>
      <c r="T1003" s="64">
        <v>41</v>
      </c>
      <c r="U1003" s="273" t="s">
        <v>2269</v>
      </c>
      <c r="V1003" s="38">
        <v>25472</v>
      </c>
      <c r="W1003" s="38">
        <f t="shared" si="137"/>
        <v>5603.84</v>
      </c>
      <c r="X1003" s="38">
        <f t="shared" si="138"/>
        <v>31075.84</v>
      </c>
    </row>
    <row r="1004" spans="1:24" ht="15" customHeight="1" x14ac:dyDescent="0.35">
      <c r="A1004" s="56" t="s">
        <v>3269</v>
      </c>
      <c r="B1004" s="2">
        <v>960</v>
      </c>
      <c r="C1004" s="77">
        <v>102003295</v>
      </c>
      <c r="D1004" s="74" t="s">
        <v>1429</v>
      </c>
      <c r="E1004" s="59" t="s">
        <v>2167</v>
      </c>
      <c r="F1004" s="75">
        <v>1</v>
      </c>
      <c r="G1004" s="64" t="s">
        <v>0</v>
      </c>
      <c r="H1004" s="78">
        <v>42150</v>
      </c>
      <c r="I1004" s="4" t="s">
        <v>957</v>
      </c>
      <c r="J1004" s="63" t="s">
        <v>2241</v>
      </c>
      <c r="K1004" s="63" t="s">
        <v>961</v>
      </c>
      <c r="L1004" s="69" t="s">
        <v>950</v>
      </c>
      <c r="M1004" s="70">
        <f t="shared" si="142"/>
        <v>13399.9</v>
      </c>
      <c r="N1004" s="70">
        <f>O1004/F1004</f>
        <v>13399.9</v>
      </c>
      <c r="O1004" s="70">
        <v>13399.9</v>
      </c>
      <c r="P1004" s="65">
        <v>20820</v>
      </c>
      <c r="Q1004" s="65">
        <f t="shared" si="135"/>
        <v>4580.3999999999996</v>
      </c>
      <c r="R1004" s="65">
        <f t="shared" si="136"/>
        <v>25400.400000000001</v>
      </c>
      <c r="S1004" s="272"/>
      <c r="T1004" s="64">
        <v>41</v>
      </c>
      <c r="U1004" s="274"/>
      <c r="V1004" s="38">
        <v>22383</v>
      </c>
      <c r="W1004" s="38">
        <f t="shared" si="137"/>
        <v>4924.26</v>
      </c>
      <c r="X1004" s="38">
        <f t="shared" si="138"/>
        <v>27307.26</v>
      </c>
    </row>
    <row r="1005" spans="1:24" ht="15" customHeight="1" x14ac:dyDescent="0.35">
      <c r="A1005" s="56" t="s">
        <v>3270</v>
      </c>
      <c r="B1005" s="2">
        <v>961</v>
      </c>
      <c r="C1005" s="77">
        <v>102003296</v>
      </c>
      <c r="D1005" s="74" t="s">
        <v>1430</v>
      </c>
      <c r="E1005" s="59" t="s">
        <v>2167</v>
      </c>
      <c r="F1005" s="75">
        <v>1</v>
      </c>
      <c r="G1005" s="64" t="s">
        <v>0</v>
      </c>
      <c r="H1005" s="78">
        <v>42150</v>
      </c>
      <c r="I1005" s="4" t="s">
        <v>957</v>
      </c>
      <c r="J1005" s="63" t="s">
        <v>2235</v>
      </c>
      <c r="K1005" s="63" t="s">
        <v>961</v>
      </c>
      <c r="L1005" s="69" t="s">
        <v>950</v>
      </c>
      <c r="M1005" s="70">
        <f t="shared" si="142"/>
        <v>17629.439999999999</v>
      </c>
      <c r="N1005" s="70">
        <f>O1005/F1005</f>
        <v>17629.439999999999</v>
      </c>
      <c r="O1005" s="70">
        <v>17629.439999999999</v>
      </c>
      <c r="P1005" s="65">
        <v>27390</v>
      </c>
      <c r="Q1005" s="65">
        <f t="shared" si="135"/>
        <v>6025.8</v>
      </c>
      <c r="R1005" s="65">
        <f t="shared" si="136"/>
        <v>33415.800000000003</v>
      </c>
      <c r="S1005" s="272"/>
      <c r="T1005" s="64">
        <v>41</v>
      </c>
      <c r="U1005" s="274"/>
      <c r="V1005" s="38">
        <v>29447</v>
      </c>
      <c r="W1005" s="38">
        <f t="shared" si="137"/>
        <v>6478.34</v>
      </c>
      <c r="X1005" s="38">
        <f t="shared" si="138"/>
        <v>35925.339999999997</v>
      </c>
    </row>
    <row r="1006" spans="1:24" ht="15" customHeight="1" x14ac:dyDescent="0.35">
      <c r="A1006" s="56" t="s">
        <v>3271</v>
      </c>
      <c r="B1006" s="2">
        <v>962</v>
      </c>
      <c r="C1006" s="77">
        <v>102003299</v>
      </c>
      <c r="D1006" s="74" t="s">
        <v>1431</v>
      </c>
      <c r="E1006" s="59" t="s">
        <v>2167</v>
      </c>
      <c r="F1006" s="75">
        <v>1</v>
      </c>
      <c r="G1006" s="64" t="s">
        <v>0</v>
      </c>
      <c r="H1006" s="78">
        <v>42150</v>
      </c>
      <c r="I1006" s="4" t="s">
        <v>957</v>
      </c>
      <c r="J1006" s="63" t="s">
        <v>1917</v>
      </c>
      <c r="K1006" s="63" t="s">
        <v>961</v>
      </c>
      <c r="L1006" s="69" t="s">
        <v>950</v>
      </c>
      <c r="M1006" s="70">
        <f t="shared" si="142"/>
        <v>10528.6</v>
      </c>
      <c r="N1006" s="70">
        <f>O1006/F1006</f>
        <v>10528.6</v>
      </c>
      <c r="O1006" s="70">
        <v>10528.6</v>
      </c>
      <c r="P1006" s="65">
        <v>16360</v>
      </c>
      <c r="Q1006" s="65">
        <f t="shared" si="135"/>
        <v>3599.2</v>
      </c>
      <c r="R1006" s="65">
        <f t="shared" si="136"/>
        <v>19959.2</v>
      </c>
      <c r="S1006" s="272"/>
      <c r="T1006" s="64">
        <v>41</v>
      </c>
      <c r="U1006" s="274"/>
      <c r="V1006" s="38">
        <v>17587</v>
      </c>
      <c r="W1006" s="38">
        <f t="shared" si="137"/>
        <v>3869.14</v>
      </c>
      <c r="X1006" s="38">
        <f t="shared" si="138"/>
        <v>21456.14</v>
      </c>
    </row>
    <row r="1007" spans="1:24" ht="15" customHeight="1" x14ac:dyDescent="0.35">
      <c r="A1007" s="56" t="s">
        <v>3272</v>
      </c>
      <c r="B1007" s="2">
        <v>963</v>
      </c>
      <c r="C1007" s="77">
        <v>102003322</v>
      </c>
      <c r="D1007" s="74" t="s">
        <v>1432</v>
      </c>
      <c r="E1007" s="59" t="s">
        <v>2167</v>
      </c>
      <c r="F1007" s="75">
        <v>1</v>
      </c>
      <c r="G1007" s="64" t="s">
        <v>0</v>
      </c>
      <c r="H1007" s="78">
        <v>42145</v>
      </c>
      <c r="I1007" s="4" t="s">
        <v>957</v>
      </c>
      <c r="J1007" s="63" t="s">
        <v>2240</v>
      </c>
      <c r="K1007" s="63" t="s">
        <v>961</v>
      </c>
      <c r="L1007" s="69" t="s">
        <v>950</v>
      </c>
      <c r="M1007" s="70">
        <f t="shared" si="142"/>
        <v>25530.880000000001</v>
      </c>
      <c r="N1007" s="70">
        <f>O1007/F1007</f>
        <v>25530.880000000001</v>
      </c>
      <c r="O1007" s="70">
        <v>25530.880000000001</v>
      </c>
      <c r="P1007" s="65">
        <v>39660</v>
      </c>
      <c r="Q1007" s="65">
        <f t="shared" si="135"/>
        <v>8725.2000000000007</v>
      </c>
      <c r="R1007" s="65">
        <f t="shared" si="136"/>
        <v>48385.2</v>
      </c>
      <c r="S1007" s="276"/>
      <c r="T1007" s="64">
        <v>41</v>
      </c>
      <c r="U1007" s="274"/>
      <c r="V1007" s="38">
        <v>42646</v>
      </c>
      <c r="W1007" s="38">
        <f t="shared" si="137"/>
        <v>9382.1200000000008</v>
      </c>
      <c r="X1007" s="38">
        <f t="shared" si="138"/>
        <v>52028.12</v>
      </c>
    </row>
    <row r="1008" spans="1:24" ht="15" customHeight="1" x14ac:dyDescent="0.35">
      <c r="A1008" s="56"/>
      <c r="B1008" s="15"/>
      <c r="C1008" s="77"/>
      <c r="D1008" s="74"/>
      <c r="E1008" s="74"/>
      <c r="F1008" s="75"/>
      <c r="G1008" s="64"/>
      <c r="H1008" s="78"/>
      <c r="I1008" s="4"/>
      <c r="J1008" s="63"/>
      <c r="K1008" s="63"/>
      <c r="L1008" s="69"/>
      <c r="M1008" s="70"/>
      <c r="N1008" s="70"/>
      <c r="O1008" s="71">
        <f>SUM(O1003:O1007)</f>
        <v>82338.12</v>
      </c>
      <c r="P1008" s="71">
        <f t="shared" ref="P1008:R1008" si="145">SUM(P1003:P1007)</f>
        <v>127920</v>
      </c>
      <c r="Q1008" s="71">
        <f t="shared" si="145"/>
        <v>28142.400000000001</v>
      </c>
      <c r="R1008" s="71">
        <f t="shared" si="145"/>
        <v>156062.39999999999</v>
      </c>
      <c r="S1008" s="72">
        <f>R1008/100*10</f>
        <v>15606.24</v>
      </c>
      <c r="T1008" s="73">
        <v>41</v>
      </c>
      <c r="U1008" s="275"/>
      <c r="V1008" s="38"/>
      <c r="W1008" s="38"/>
      <c r="X1008" s="38"/>
    </row>
    <row r="1009" spans="1:24" ht="15" customHeight="1" x14ac:dyDescent="0.35">
      <c r="A1009" s="56" t="s">
        <v>3273</v>
      </c>
      <c r="B1009" s="2">
        <v>964</v>
      </c>
      <c r="C1009" s="77">
        <v>102003023</v>
      </c>
      <c r="D1009" s="192" t="s">
        <v>519</v>
      </c>
      <c r="E1009" s="74" t="s">
        <v>2170</v>
      </c>
      <c r="F1009" s="75">
        <v>2</v>
      </c>
      <c r="G1009" s="75" t="s">
        <v>0</v>
      </c>
      <c r="H1009" s="193">
        <v>42558</v>
      </c>
      <c r="I1009" s="61" t="s">
        <v>962</v>
      </c>
      <c r="J1009" s="63" t="s">
        <v>1917</v>
      </c>
      <c r="K1009" s="193" t="s">
        <v>969</v>
      </c>
      <c r="L1009" s="61" t="s">
        <v>950</v>
      </c>
      <c r="M1009" s="65">
        <f t="shared" si="142"/>
        <v>37449.980000000003</v>
      </c>
      <c r="N1009" s="65">
        <f t="shared" ref="N1009:N1020" si="146">O1009/F1009</f>
        <v>18724.990000000002</v>
      </c>
      <c r="O1009" s="65">
        <v>37449.980000000003</v>
      </c>
      <c r="P1009" s="65">
        <v>47490</v>
      </c>
      <c r="Q1009" s="65">
        <f t="shared" si="135"/>
        <v>10447.799999999999</v>
      </c>
      <c r="R1009" s="65">
        <f t="shared" si="136"/>
        <v>57937.8</v>
      </c>
      <c r="S1009" s="267"/>
      <c r="T1009" s="64">
        <v>42</v>
      </c>
      <c r="U1009" s="273" t="s">
        <v>2306</v>
      </c>
      <c r="V1009" s="38">
        <v>53065</v>
      </c>
      <c r="W1009" s="38">
        <f t="shared" si="137"/>
        <v>11674.3</v>
      </c>
      <c r="X1009" s="38">
        <f t="shared" si="138"/>
        <v>64739.3</v>
      </c>
    </row>
    <row r="1010" spans="1:24" ht="15" customHeight="1" x14ac:dyDescent="0.35">
      <c r="A1010" s="56" t="s">
        <v>3274</v>
      </c>
      <c r="B1010" s="2">
        <v>965</v>
      </c>
      <c r="C1010" s="77">
        <v>102003195</v>
      </c>
      <c r="D1010" s="192" t="s">
        <v>520</v>
      </c>
      <c r="E1010" s="74" t="s">
        <v>2170</v>
      </c>
      <c r="F1010" s="75">
        <v>1</v>
      </c>
      <c r="G1010" s="75" t="s">
        <v>0</v>
      </c>
      <c r="H1010" s="193">
        <v>42558</v>
      </c>
      <c r="I1010" s="61" t="s">
        <v>962</v>
      </c>
      <c r="J1010" s="63" t="s">
        <v>1917</v>
      </c>
      <c r="K1010" s="193" t="s">
        <v>963</v>
      </c>
      <c r="L1010" s="61" t="s">
        <v>950</v>
      </c>
      <c r="M1010" s="65">
        <f t="shared" si="142"/>
        <v>69824.7</v>
      </c>
      <c r="N1010" s="65">
        <f t="shared" si="146"/>
        <v>69824.7</v>
      </c>
      <c r="O1010" s="65">
        <v>69824.7</v>
      </c>
      <c r="P1010" s="65">
        <v>68570</v>
      </c>
      <c r="Q1010" s="65">
        <f t="shared" si="135"/>
        <v>15085.4</v>
      </c>
      <c r="R1010" s="65">
        <f t="shared" si="136"/>
        <v>83655.399999999994</v>
      </c>
      <c r="S1010" s="272"/>
      <c r="T1010" s="64">
        <v>42</v>
      </c>
      <c r="U1010" s="274"/>
      <c r="V1010" s="38">
        <v>76620</v>
      </c>
      <c r="W1010" s="38">
        <f t="shared" si="137"/>
        <v>16856.400000000001</v>
      </c>
      <c r="X1010" s="38">
        <f t="shared" si="138"/>
        <v>93476.4</v>
      </c>
    </row>
    <row r="1011" spans="1:24" ht="15" customHeight="1" x14ac:dyDescent="0.35">
      <c r="A1011" s="56" t="s">
        <v>3275</v>
      </c>
      <c r="B1011" s="2">
        <v>966</v>
      </c>
      <c r="C1011" s="77">
        <v>102003186</v>
      </c>
      <c r="D1011" s="192" t="s">
        <v>521</v>
      </c>
      <c r="E1011" s="74" t="s">
        <v>2170</v>
      </c>
      <c r="F1011" s="75">
        <v>1</v>
      </c>
      <c r="G1011" s="75" t="s">
        <v>0</v>
      </c>
      <c r="H1011" s="193">
        <v>42558</v>
      </c>
      <c r="I1011" s="61" t="s">
        <v>962</v>
      </c>
      <c r="J1011" s="63" t="s">
        <v>1917</v>
      </c>
      <c r="K1011" s="193" t="s">
        <v>964</v>
      </c>
      <c r="L1011" s="61" t="s">
        <v>950</v>
      </c>
      <c r="M1011" s="65">
        <f t="shared" si="142"/>
        <v>74403.360000000001</v>
      </c>
      <c r="N1011" s="65">
        <f t="shared" si="146"/>
        <v>74403.360000000001</v>
      </c>
      <c r="O1011" s="65">
        <v>74403.360000000001</v>
      </c>
      <c r="P1011" s="65">
        <v>73070</v>
      </c>
      <c r="Q1011" s="65">
        <f t="shared" si="135"/>
        <v>16075.4</v>
      </c>
      <c r="R1011" s="65">
        <f t="shared" si="136"/>
        <v>89145.4</v>
      </c>
      <c r="S1011" s="272"/>
      <c r="T1011" s="64">
        <v>42</v>
      </c>
      <c r="U1011" s="274"/>
      <c r="V1011" s="38">
        <v>81644</v>
      </c>
      <c r="W1011" s="38">
        <f t="shared" si="137"/>
        <v>17961.68</v>
      </c>
      <c r="X1011" s="38">
        <f t="shared" si="138"/>
        <v>99605.68</v>
      </c>
    </row>
    <row r="1012" spans="1:24" ht="15" customHeight="1" x14ac:dyDescent="0.35">
      <c r="A1012" s="56" t="s">
        <v>3276</v>
      </c>
      <c r="B1012" s="2">
        <v>967</v>
      </c>
      <c r="C1012" s="77">
        <v>102003193</v>
      </c>
      <c r="D1012" s="192" t="s">
        <v>522</v>
      </c>
      <c r="E1012" s="74" t="s">
        <v>2170</v>
      </c>
      <c r="F1012" s="75">
        <v>1</v>
      </c>
      <c r="G1012" s="75" t="s">
        <v>0</v>
      </c>
      <c r="H1012" s="193">
        <v>42558</v>
      </c>
      <c r="I1012" s="61" t="s">
        <v>962</v>
      </c>
      <c r="J1012" s="63" t="s">
        <v>1917</v>
      </c>
      <c r="K1012" s="193" t="s">
        <v>965</v>
      </c>
      <c r="L1012" s="61" t="s">
        <v>950</v>
      </c>
      <c r="M1012" s="65">
        <f t="shared" si="142"/>
        <v>57233.36</v>
      </c>
      <c r="N1012" s="65">
        <f t="shared" si="146"/>
        <v>57233.36</v>
      </c>
      <c r="O1012" s="65">
        <v>57233.36</v>
      </c>
      <c r="P1012" s="65">
        <v>56210</v>
      </c>
      <c r="Q1012" s="65">
        <f t="shared" si="135"/>
        <v>12366.2</v>
      </c>
      <c r="R1012" s="65">
        <f t="shared" si="136"/>
        <v>68576.2</v>
      </c>
      <c r="S1012" s="272"/>
      <c r="T1012" s="64">
        <v>42</v>
      </c>
      <c r="U1012" s="274"/>
      <c r="V1012" s="38">
        <v>62803</v>
      </c>
      <c r="W1012" s="38">
        <f t="shared" si="137"/>
        <v>13816.66</v>
      </c>
      <c r="X1012" s="38">
        <f t="shared" si="138"/>
        <v>76619.66</v>
      </c>
    </row>
    <row r="1013" spans="1:24" ht="18" customHeight="1" x14ac:dyDescent="0.35">
      <c r="A1013" s="56" t="s">
        <v>3277</v>
      </c>
      <c r="B1013" s="2">
        <v>968</v>
      </c>
      <c r="C1013" s="77">
        <v>102003025</v>
      </c>
      <c r="D1013" s="192" t="s">
        <v>523</v>
      </c>
      <c r="E1013" s="74" t="s">
        <v>2170</v>
      </c>
      <c r="F1013" s="75">
        <v>1</v>
      </c>
      <c r="G1013" s="75" t="s">
        <v>0</v>
      </c>
      <c r="H1013" s="193">
        <v>42558</v>
      </c>
      <c r="I1013" s="61" t="s">
        <v>962</v>
      </c>
      <c r="J1013" s="63" t="s">
        <v>1917</v>
      </c>
      <c r="K1013" s="193" t="s">
        <v>966</v>
      </c>
      <c r="L1013" s="61" t="s">
        <v>950</v>
      </c>
      <c r="M1013" s="65">
        <f t="shared" si="142"/>
        <v>60412.01</v>
      </c>
      <c r="N1013" s="65">
        <f t="shared" si="146"/>
        <v>60412.01</v>
      </c>
      <c r="O1013" s="65">
        <v>60412.01</v>
      </c>
      <c r="P1013" s="65">
        <v>59330</v>
      </c>
      <c r="Q1013" s="65">
        <f t="shared" si="135"/>
        <v>13052.6</v>
      </c>
      <c r="R1013" s="65">
        <f t="shared" si="136"/>
        <v>72382.600000000006</v>
      </c>
      <c r="S1013" s="272"/>
      <c r="T1013" s="64">
        <v>42</v>
      </c>
      <c r="U1013" s="274"/>
      <c r="V1013" s="38">
        <v>66291</v>
      </c>
      <c r="W1013" s="38">
        <f t="shared" si="137"/>
        <v>14584.02</v>
      </c>
      <c r="X1013" s="38">
        <f t="shared" si="138"/>
        <v>80875.02</v>
      </c>
    </row>
    <row r="1014" spans="1:24" ht="30" customHeight="1" x14ac:dyDescent="0.35">
      <c r="A1014" s="56" t="s">
        <v>3278</v>
      </c>
      <c r="B1014" s="2">
        <v>969</v>
      </c>
      <c r="C1014" s="77">
        <v>102003194</v>
      </c>
      <c r="D1014" s="192" t="s">
        <v>524</v>
      </c>
      <c r="E1014" s="74" t="s">
        <v>2170</v>
      </c>
      <c r="F1014" s="75">
        <v>1</v>
      </c>
      <c r="G1014" s="75" t="s">
        <v>0</v>
      </c>
      <c r="H1014" s="193">
        <v>42558</v>
      </c>
      <c r="I1014" s="61" t="s">
        <v>962</v>
      </c>
      <c r="J1014" s="63" t="s">
        <v>1917</v>
      </c>
      <c r="K1014" s="193" t="s">
        <v>967</v>
      </c>
      <c r="L1014" s="61" t="s">
        <v>950</v>
      </c>
      <c r="M1014" s="65">
        <f t="shared" si="142"/>
        <v>219679.23</v>
      </c>
      <c r="N1014" s="65">
        <f t="shared" si="146"/>
        <v>219679.23</v>
      </c>
      <c r="O1014" s="65">
        <v>219679.23</v>
      </c>
      <c r="P1014" s="65">
        <v>170890</v>
      </c>
      <c r="Q1014" s="65">
        <f t="shared" si="135"/>
        <v>37595.800000000003</v>
      </c>
      <c r="R1014" s="65">
        <f t="shared" si="136"/>
        <v>208485.8</v>
      </c>
      <c r="S1014" s="272"/>
      <c r="T1014" s="64">
        <v>42</v>
      </c>
      <c r="U1014" s="274"/>
      <c r="V1014" s="38">
        <v>190940</v>
      </c>
      <c r="W1014" s="38">
        <f t="shared" si="137"/>
        <v>42006.8</v>
      </c>
      <c r="X1014" s="38">
        <f t="shared" si="138"/>
        <v>232946.8</v>
      </c>
    </row>
    <row r="1015" spans="1:24" ht="30" customHeight="1" x14ac:dyDescent="0.35">
      <c r="A1015" s="56" t="s">
        <v>3279</v>
      </c>
      <c r="B1015" s="2">
        <v>970</v>
      </c>
      <c r="C1015" s="77">
        <v>10117813</v>
      </c>
      <c r="D1015" s="74" t="s">
        <v>1497</v>
      </c>
      <c r="E1015" s="103" t="s">
        <v>2167</v>
      </c>
      <c r="F1015" s="75">
        <v>304</v>
      </c>
      <c r="G1015" s="64" t="s">
        <v>0</v>
      </c>
      <c r="H1015" s="78">
        <v>40179</v>
      </c>
      <c r="I1015" s="4" t="s">
        <v>957</v>
      </c>
      <c r="J1015" s="63" t="s">
        <v>1917</v>
      </c>
      <c r="K1015" s="63" t="s">
        <v>961</v>
      </c>
      <c r="L1015" s="69" t="s">
        <v>950</v>
      </c>
      <c r="M1015" s="70">
        <f t="shared" si="142"/>
        <v>457340.64</v>
      </c>
      <c r="N1015" s="70">
        <f t="shared" si="146"/>
        <v>1504.41</v>
      </c>
      <c r="O1015" s="70">
        <v>457340.64</v>
      </c>
      <c r="P1015" s="65">
        <v>942720</v>
      </c>
      <c r="Q1015" s="65">
        <f t="shared" si="135"/>
        <v>207398.39999999999</v>
      </c>
      <c r="R1015" s="65">
        <f t="shared" si="136"/>
        <v>1150118.3999999999</v>
      </c>
      <c r="S1015" s="272"/>
      <c r="T1015" s="64">
        <v>42</v>
      </c>
      <c r="U1015" s="274"/>
      <c r="V1015" s="38">
        <v>1053317</v>
      </c>
      <c r="W1015" s="38">
        <f t="shared" si="137"/>
        <v>231729.74</v>
      </c>
      <c r="X1015" s="38">
        <f t="shared" si="138"/>
        <v>1285046.74</v>
      </c>
    </row>
    <row r="1016" spans="1:24" ht="39" customHeight="1" x14ac:dyDescent="0.35">
      <c r="A1016" s="56" t="s">
        <v>3280</v>
      </c>
      <c r="B1016" s="2">
        <v>971</v>
      </c>
      <c r="C1016" s="77">
        <v>10112726</v>
      </c>
      <c r="D1016" s="74" t="s">
        <v>1648</v>
      </c>
      <c r="E1016" s="103" t="s">
        <v>2167</v>
      </c>
      <c r="F1016" s="75">
        <v>1</v>
      </c>
      <c r="G1016" s="64" t="s">
        <v>0</v>
      </c>
      <c r="H1016" s="78">
        <v>40891</v>
      </c>
      <c r="I1016" s="4" t="s">
        <v>957</v>
      </c>
      <c r="J1016" s="63" t="s">
        <v>1917</v>
      </c>
      <c r="K1016" s="63" t="s">
        <v>961</v>
      </c>
      <c r="L1016" s="69" t="s">
        <v>950</v>
      </c>
      <c r="M1016" s="70">
        <f t="shared" si="142"/>
        <v>1216.0999999999999</v>
      </c>
      <c r="N1016" s="70">
        <f t="shared" si="146"/>
        <v>1216.0999999999999</v>
      </c>
      <c r="O1016" s="70">
        <v>1216.0999999999999</v>
      </c>
      <c r="P1016" s="65">
        <v>2660</v>
      </c>
      <c r="Q1016" s="65">
        <f t="shared" ref="Q1016:Q1079" si="147">P1016*0.22</f>
        <v>585.20000000000005</v>
      </c>
      <c r="R1016" s="65">
        <f t="shared" ref="R1016:R1079" si="148">P1016+Q1016</f>
        <v>3245.2</v>
      </c>
      <c r="S1016" s="272"/>
      <c r="T1016" s="64">
        <v>42</v>
      </c>
      <c r="U1016" s="274"/>
      <c r="V1016" s="38">
        <v>2975</v>
      </c>
      <c r="W1016" s="38">
        <f t="shared" ref="W1016:W1079" si="149">V1016*0.22</f>
        <v>654.5</v>
      </c>
      <c r="X1016" s="38">
        <f t="shared" si="138"/>
        <v>3629.5</v>
      </c>
    </row>
    <row r="1017" spans="1:24" ht="30" customHeight="1" x14ac:dyDescent="0.35">
      <c r="A1017" s="56" t="s">
        <v>3281</v>
      </c>
      <c r="B1017" s="2">
        <v>972</v>
      </c>
      <c r="C1017" s="77">
        <v>10004920</v>
      </c>
      <c r="D1017" s="74" t="s">
        <v>1658</v>
      </c>
      <c r="E1017" s="103" t="s">
        <v>2167</v>
      </c>
      <c r="F1017" s="75">
        <v>4</v>
      </c>
      <c r="G1017" s="64" t="s">
        <v>0</v>
      </c>
      <c r="H1017" s="78">
        <v>41052</v>
      </c>
      <c r="I1017" s="4" t="s">
        <v>957</v>
      </c>
      <c r="J1017" s="63" t="s">
        <v>1917</v>
      </c>
      <c r="K1017" s="63" t="s">
        <v>961</v>
      </c>
      <c r="L1017" s="69" t="s">
        <v>950</v>
      </c>
      <c r="M1017" s="70">
        <f t="shared" si="142"/>
        <v>368.56</v>
      </c>
      <c r="N1017" s="70">
        <f t="shared" si="146"/>
        <v>92.14</v>
      </c>
      <c r="O1017" s="70">
        <v>368.56</v>
      </c>
      <c r="P1017" s="65">
        <v>800</v>
      </c>
      <c r="Q1017" s="65">
        <f t="shared" si="147"/>
        <v>176</v>
      </c>
      <c r="R1017" s="65">
        <f t="shared" si="148"/>
        <v>976</v>
      </c>
      <c r="S1017" s="272"/>
      <c r="T1017" s="64">
        <v>42</v>
      </c>
      <c r="U1017" s="274"/>
      <c r="V1017" s="38">
        <v>894</v>
      </c>
      <c r="W1017" s="38">
        <f t="shared" si="149"/>
        <v>196.68</v>
      </c>
      <c r="X1017" s="38">
        <f t="shared" si="138"/>
        <v>1090.68</v>
      </c>
    </row>
    <row r="1018" spans="1:24" ht="30" customHeight="1" x14ac:dyDescent="0.35">
      <c r="A1018" s="56" t="s">
        <v>3282</v>
      </c>
      <c r="B1018" s="2">
        <v>973</v>
      </c>
      <c r="C1018" s="77">
        <v>10038418</v>
      </c>
      <c r="D1018" s="74" t="s">
        <v>1815</v>
      </c>
      <c r="E1018" s="74" t="s">
        <v>2167</v>
      </c>
      <c r="F1018" s="75">
        <f>0.124-0.03</f>
        <v>9.4E-2</v>
      </c>
      <c r="G1018" s="64" t="s">
        <v>3</v>
      </c>
      <c r="H1018" s="78">
        <v>41621</v>
      </c>
      <c r="I1018" s="4" t="s">
        <v>957</v>
      </c>
      <c r="J1018" s="63" t="s">
        <v>1917</v>
      </c>
      <c r="K1018" s="63" t="s">
        <v>961</v>
      </c>
      <c r="L1018" s="69" t="s">
        <v>950</v>
      </c>
      <c r="M1018" s="70">
        <f t="shared" si="142"/>
        <v>2254.2600000000002</v>
      </c>
      <c r="N1018" s="70">
        <f t="shared" si="146"/>
        <v>23981.49</v>
      </c>
      <c r="O1018" s="70">
        <f>2973.71/0.124*0.094</f>
        <v>2254.2600000000002</v>
      </c>
      <c r="P1018" s="65">
        <v>3660</v>
      </c>
      <c r="Q1018" s="65">
        <f t="shared" si="147"/>
        <v>805.2</v>
      </c>
      <c r="R1018" s="65">
        <f t="shared" si="148"/>
        <v>4465.2</v>
      </c>
      <c r="S1018" s="272"/>
      <c r="T1018" s="64">
        <v>42</v>
      </c>
      <c r="U1018" s="274"/>
      <c r="V1018" s="38">
        <v>4091</v>
      </c>
      <c r="W1018" s="38">
        <f t="shared" si="149"/>
        <v>900.02</v>
      </c>
      <c r="X1018" s="38">
        <f t="shared" ref="X1018:X1081" si="150">V1018+W1018</f>
        <v>4991.0200000000004</v>
      </c>
    </row>
    <row r="1019" spans="1:24" ht="30" customHeight="1" x14ac:dyDescent="0.35">
      <c r="A1019" s="56" t="s">
        <v>3283</v>
      </c>
      <c r="B1019" s="2">
        <v>974</v>
      </c>
      <c r="C1019" s="11">
        <v>10140608</v>
      </c>
      <c r="D1019" s="3" t="s">
        <v>1355</v>
      </c>
      <c r="E1019" s="59" t="s">
        <v>2167</v>
      </c>
      <c r="F1019" s="14">
        <v>35</v>
      </c>
      <c r="G1019" s="64" t="s">
        <v>0</v>
      </c>
      <c r="H1019" s="5">
        <v>41214</v>
      </c>
      <c r="I1019" s="4" t="s">
        <v>957</v>
      </c>
      <c r="J1019" s="63" t="s">
        <v>1917</v>
      </c>
      <c r="K1019" s="63" t="s">
        <v>961</v>
      </c>
      <c r="L1019" s="69" t="s">
        <v>950</v>
      </c>
      <c r="M1019" s="70">
        <f t="shared" si="142"/>
        <v>17185</v>
      </c>
      <c r="N1019" s="70">
        <f t="shared" si="146"/>
        <v>491</v>
      </c>
      <c r="O1019" s="70">
        <v>17185</v>
      </c>
      <c r="P1019" s="65">
        <v>36760</v>
      </c>
      <c r="Q1019" s="65">
        <f t="shared" si="147"/>
        <v>8087.2</v>
      </c>
      <c r="R1019" s="65">
        <f t="shared" si="148"/>
        <v>44847.199999999997</v>
      </c>
      <c r="S1019" s="272"/>
      <c r="T1019" s="64">
        <v>42</v>
      </c>
      <c r="U1019" s="274"/>
      <c r="V1019" s="38">
        <v>41073</v>
      </c>
      <c r="W1019" s="38">
        <f t="shared" si="149"/>
        <v>9036.06</v>
      </c>
      <c r="X1019" s="38">
        <f t="shared" si="150"/>
        <v>50109.06</v>
      </c>
    </row>
    <row r="1020" spans="1:24" ht="15" customHeight="1" x14ac:dyDescent="0.35">
      <c r="A1020" s="56" t="s">
        <v>3284</v>
      </c>
      <c r="B1020" s="2">
        <v>975</v>
      </c>
      <c r="C1020" s="11">
        <v>10140568</v>
      </c>
      <c r="D1020" s="3" t="s">
        <v>1356</v>
      </c>
      <c r="E1020" s="59" t="s">
        <v>2167</v>
      </c>
      <c r="F1020" s="14">
        <v>30</v>
      </c>
      <c r="G1020" s="64" t="s">
        <v>0</v>
      </c>
      <c r="H1020" s="5">
        <v>41214</v>
      </c>
      <c r="I1020" s="4" t="s">
        <v>957</v>
      </c>
      <c r="J1020" s="63" t="s">
        <v>1917</v>
      </c>
      <c r="K1020" s="63" t="s">
        <v>961</v>
      </c>
      <c r="L1020" s="69" t="s">
        <v>950</v>
      </c>
      <c r="M1020" s="70">
        <f t="shared" si="142"/>
        <v>2297.96</v>
      </c>
      <c r="N1020" s="70">
        <f t="shared" si="146"/>
        <v>76.599999999999994</v>
      </c>
      <c r="O1020" s="70">
        <v>2297.96</v>
      </c>
      <c r="P1020" s="65">
        <v>4920</v>
      </c>
      <c r="Q1020" s="65">
        <f t="shared" si="147"/>
        <v>1082.4000000000001</v>
      </c>
      <c r="R1020" s="65">
        <f t="shared" si="148"/>
        <v>6002.4</v>
      </c>
      <c r="S1020" s="276"/>
      <c r="T1020" s="64">
        <v>42</v>
      </c>
      <c r="U1020" s="274"/>
      <c r="V1020" s="38">
        <v>5492</v>
      </c>
      <c r="W1020" s="38">
        <f t="shared" si="149"/>
        <v>1208.24</v>
      </c>
      <c r="X1020" s="38">
        <f t="shared" si="150"/>
        <v>6700.24</v>
      </c>
    </row>
    <row r="1021" spans="1:24" ht="15" customHeight="1" x14ac:dyDescent="0.35">
      <c r="A1021" s="56"/>
      <c r="B1021" s="15"/>
      <c r="C1021" s="11"/>
      <c r="D1021" s="3"/>
      <c r="E1021" s="59"/>
      <c r="F1021" s="14"/>
      <c r="G1021" s="64"/>
      <c r="H1021" s="5"/>
      <c r="I1021" s="4"/>
      <c r="J1021" s="63"/>
      <c r="K1021" s="63"/>
      <c r="L1021" s="69"/>
      <c r="M1021" s="70"/>
      <c r="N1021" s="70"/>
      <c r="O1021" s="71">
        <f>SUM(O1009:O1020)</f>
        <v>999665.16</v>
      </c>
      <c r="P1021" s="71">
        <f t="shared" ref="P1021:R1021" si="151">SUM(P1009:P1020)</f>
        <v>1467080</v>
      </c>
      <c r="Q1021" s="71">
        <f t="shared" si="151"/>
        <v>322757.59999999998</v>
      </c>
      <c r="R1021" s="71">
        <f t="shared" si="151"/>
        <v>1789837.6</v>
      </c>
      <c r="S1021" s="72">
        <f>R1021/100*10</f>
        <v>178983.76</v>
      </c>
      <c r="T1021" s="73">
        <v>42</v>
      </c>
      <c r="U1021" s="275"/>
      <c r="V1021" s="38"/>
      <c r="W1021" s="38"/>
      <c r="X1021" s="38"/>
    </row>
    <row r="1022" spans="1:24" ht="15" customHeight="1" x14ac:dyDescent="0.35">
      <c r="A1022" s="56" t="s">
        <v>3285</v>
      </c>
      <c r="B1022" s="2">
        <v>976</v>
      </c>
      <c r="C1022" s="77">
        <v>10092064</v>
      </c>
      <c r="D1022" s="74" t="s">
        <v>350</v>
      </c>
      <c r="E1022" s="74" t="s">
        <v>2151</v>
      </c>
      <c r="F1022" s="75">
        <v>3</v>
      </c>
      <c r="G1022" s="64" t="s">
        <v>0</v>
      </c>
      <c r="H1022" s="101" t="s">
        <v>505</v>
      </c>
      <c r="I1022" s="61" t="s">
        <v>972</v>
      </c>
      <c r="J1022" s="63" t="s">
        <v>1917</v>
      </c>
      <c r="K1022" s="61" t="s">
        <v>961</v>
      </c>
      <c r="L1022" s="61" t="s">
        <v>845</v>
      </c>
      <c r="M1022" s="65">
        <f t="shared" si="142"/>
        <v>4266</v>
      </c>
      <c r="N1022" s="65">
        <f t="shared" ref="N1022:N1030" si="152">O1022/F1022</f>
        <v>1422</v>
      </c>
      <c r="O1022" s="65">
        <v>4266</v>
      </c>
      <c r="P1022" s="65">
        <v>1260</v>
      </c>
      <c r="Q1022" s="65">
        <f t="shared" si="147"/>
        <v>277.2</v>
      </c>
      <c r="R1022" s="65">
        <f t="shared" si="148"/>
        <v>1537.2</v>
      </c>
      <c r="S1022" s="267"/>
      <c r="T1022" s="64">
        <v>43</v>
      </c>
      <c r="U1022" s="273" t="s">
        <v>2306</v>
      </c>
      <c r="V1022" s="38">
        <v>1374</v>
      </c>
      <c r="W1022" s="38">
        <f t="shared" si="149"/>
        <v>302.27999999999997</v>
      </c>
      <c r="X1022" s="38">
        <f t="shared" si="150"/>
        <v>1676.28</v>
      </c>
    </row>
    <row r="1023" spans="1:24" ht="21" customHeight="1" x14ac:dyDescent="0.35">
      <c r="A1023" s="56" t="s">
        <v>3286</v>
      </c>
      <c r="B1023" s="2">
        <v>977</v>
      </c>
      <c r="C1023" s="89">
        <v>10102273</v>
      </c>
      <c r="D1023" s="90" t="s">
        <v>531</v>
      </c>
      <c r="E1023" s="74" t="s">
        <v>686</v>
      </c>
      <c r="F1023" s="91">
        <v>2</v>
      </c>
      <c r="G1023" s="64" t="s">
        <v>0</v>
      </c>
      <c r="H1023" s="61">
        <v>42004</v>
      </c>
      <c r="I1023" s="107" t="s">
        <v>976</v>
      </c>
      <c r="J1023" s="63" t="s">
        <v>1917</v>
      </c>
      <c r="K1023" s="108" t="s">
        <v>792</v>
      </c>
      <c r="L1023" s="64" t="s">
        <v>845</v>
      </c>
      <c r="M1023" s="65">
        <f t="shared" si="142"/>
        <v>1466.04</v>
      </c>
      <c r="N1023" s="65">
        <f t="shared" si="152"/>
        <v>733.02</v>
      </c>
      <c r="O1023" s="65">
        <v>1466.04</v>
      </c>
      <c r="P1023" s="65">
        <v>1310</v>
      </c>
      <c r="Q1023" s="65">
        <f t="shared" si="147"/>
        <v>288.2</v>
      </c>
      <c r="R1023" s="65">
        <f t="shared" si="148"/>
        <v>1598.2</v>
      </c>
      <c r="S1023" s="272"/>
      <c r="T1023" s="64">
        <v>43</v>
      </c>
      <c r="U1023" s="274"/>
      <c r="V1023" s="38">
        <v>1431</v>
      </c>
      <c r="W1023" s="38">
        <f t="shared" si="149"/>
        <v>314.82</v>
      </c>
      <c r="X1023" s="38">
        <f t="shared" si="150"/>
        <v>1745.82</v>
      </c>
    </row>
    <row r="1024" spans="1:24" ht="15" customHeight="1" x14ac:dyDescent="0.35">
      <c r="A1024" s="56" t="s">
        <v>3287</v>
      </c>
      <c r="B1024" s="2">
        <v>978</v>
      </c>
      <c r="C1024" s="109">
        <v>10098143</v>
      </c>
      <c r="D1024" s="110" t="s">
        <v>943</v>
      </c>
      <c r="E1024" s="74" t="s">
        <v>2151</v>
      </c>
      <c r="F1024" s="91">
        <f>2-1</f>
        <v>1</v>
      </c>
      <c r="G1024" s="64" t="s">
        <v>0</v>
      </c>
      <c r="H1024" s="124">
        <v>42277</v>
      </c>
      <c r="I1024" s="63" t="s">
        <v>972</v>
      </c>
      <c r="J1024" s="63" t="s">
        <v>1917</v>
      </c>
      <c r="K1024" s="63" t="s">
        <v>961</v>
      </c>
      <c r="L1024" s="61" t="s">
        <v>845</v>
      </c>
      <c r="M1024" s="65">
        <f t="shared" si="142"/>
        <v>4057.28</v>
      </c>
      <c r="N1024" s="65">
        <f t="shared" si="152"/>
        <v>4057.28</v>
      </c>
      <c r="O1024" s="65">
        <v>4057.28</v>
      </c>
      <c r="P1024" s="65">
        <v>3240</v>
      </c>
      <c r="Q1024" s="65">
        <f t="shared" si="147"/>
        <v>712.8</v>
      </c>
      <c r="R1024" s="65">
        <f t="shared" si="148"/>
        <v>3952.8</v>
      </c>
      <c r="S1024" s="272"/>
      <c r="T1024" s="64">
        <v>43</v>
      </c>
      <c r="U1024" s="274"/>
      <c r="V1024" s="38">
        <v>3530</v>
      </c>
      <c r="W1024" s="38">
        <f t="shared" si="149"/>
        <v>776.6</v>
      </c>
      <c r="X1024" s="38">
        <f t="shared" si="150"/>
        <v>4306.6000000000004</v>
      </c>
    </row>
    <row r="1025" spans="1:24" ht="33" customHeight="1" x14ac:dyDescent="0.35">
      <c r="A1025" s="56" t="s">
        <v>3288</v>
      </c>
      <c r="B1025" s="2">
        <v>979</v>
      </c>
      <c r="C1025" s="45">
        <v>10149594</v>
      </c>
      <c r="D1025" s="40" t="s">
        <v>1015</v>
      </c>
      <c r="E1025" s="74" t="s">
        <v>2185</v>
      </c>
      <c r="F1025" s="47">
        <v>9</v>
      </c>
      <c r="G1025" s="64" t="s">
        <v>0</v>
      </c>
      <c r="H1025" s="48" t="s">
        <v>493</v>
      </c>
      <c r="I1025" s="63" t="s">
        <v>962</v>
      </c>
      <c r="J1025" s="42" t="s">
        <v>955</v>
      </c>
      <c r="K1025" s="49" t="s">
        <v>1015</v>
      </c>
      <c r="L1025" s="88" t="s">
        <v>845</v>
      </c>
      <c r="M1025" s="76">
        <f t="shared" si="142"/>
        <v>2588.11</v>
      </c>
      <c r="N1025" s="76">
        <f t="shared" si="152"/>
        <v>287.57</v>
      </c>
      <c r="O1025" s="76">
        <v>2588.11</v>
      </c>
      <c r="P1025" s="65">
        <v>2590</v>
      </c>
      <c r="Q1025" s="65">
        <f t="shared" si="147"/>
        <v>569.79999999999995</v>
      </c>
      <c r="R1025" s="65">
        <f t="shared" si="148"/>
        <v>3159.8</v>
      </c>
      <c r="S1025" s="272"/>
      <c r="T1025" s="64">
        <v>43</v>
      </c>
      <c r="U1025" s="274"/>
      <c r="V1025" s="38">
        <v>2829</v>
      </c>
      <c r="W1025" s="38">
        <f t="shared" si="149"/>
        <v>622.38</v>
      </c>
      <c r="X1025" s="38">
        <f t="shared" si="150"/>
        <v>3451.38</v>
      </c>
    </row>
    <row r="1026" spans="1:24" ht="22.5" customHeight="1" x14ac:dyDescent="0.35">
      <c r="A1026" s="56" t="s">
        <v>3289</v>
      </c>
      <c r="B1026" s="2">
        <v>980</v>
      </c>
      <c r="C1026" s="45">
        <v>10112610</v>
      </c>
      <c r="D1026" s="40" t="s">
        <v>1085</v>
      </c>
      <c r="E1026" s="74" t="s">
        <v>2185</v>
      </c>
      <c r="F1026" s="47">
        <f>14-5</f>
        <v>9</v>
      </c>
      <c r="G1026" s="64" t="s">
        <v>0</v>
      </c>
      <c r="H1026" s="48" t="s">
        <v>495</v>
      </c>
      <c r="I1026" s="63" t="s">
        <v>962</v>
      </c>
      <c r="J1026" s="42" t="s">
        <v>2232</v>
      </c>
      <c r="K1026" s="49" t="s">
        <v>1225</v>
      </c>
      <c r="L1026" s="88" t="s">
        <v>845</v>
      </c>
      <c r="M1026" s="76">
        <f t="shared" si="142"/>
        <v>54935.95</v>
      </c>
      <c r="N1026" s="76">
        <f t="shared" si="152"/>
        <v>6103.99</v>
      </c>
      <c r="O1026" s="76">
        <f>85455.92/14*9</f>
        <v>54935.95</v>
      </c>
      <c r="P1026" s="65">
        <v>38370</v>
      </c>
      <c r="Q1026" s="65">
        <f t="shared" si="147"/>
        <v>8441.4</v>
      </c>
      <c r="R1026" s="65">
        <f t="shared" si="148"/>
        <v>46811.4</v>
      </c>
      <c r="S1026" s="272"/>
      <c r="T1026" s="64">
        <v>43</v>
      </c>
      <c r="U1026" s="274"/>
      <c r="V1026" s="38">
        <v>41841</v>
      </c>
      <c r="W1026" s="38">
        <f t="shared" si="149"/>
        <v>9205.02</v>
      </c>
      <c r="X1026" s="38">
        <f t="shared" si="150"/>
        <v>51046.02</v>
      </c>
    </row>
    <row r="1027" spans="1:24" ht="29.25" customHeight="1" x14ac:dyDescent="0.35">
      <c r="A1027" s="56" t="s">
        <v>3290</v>
      </c>
      <c r="B1027" s="2">
        <v>981</v>
      </c>
      <c r="C1027" s="45">
        <v>10105821</v>
      </c>
      <c r="D1027" s="40" t="s">
        <v>1121</v>
      </c>
      <c r="E1027" s="74" t="s">
        <v>2185</v>
      </c>
      <c r="F1027" s="47">
        <v>1148</v>
      </c>
      <c r="G1027" s="64" t="s">
        <v>0</v>
      </c>
      <c r="H1027" s="48" t="s">
        <v>495</v>
      </c>
      <c r="I1027" s="63" t="s">
        <v>962</v>
      </c>
      <c r="J1027" s="63" t="s">
        <v>1917</v>
      </c>
      <c r="K1027" s="49" t="s">
        <v>1243</v>
      </c>
      <c r="L1027" s="88" t="s">
        <v>845</v>
      </c>
      <c r="M1027" s="76">
        <f t="shared" si="142"/>
        <v>671367.32</v>
      </c>
      <c r="N1027" s="76">
        <f t="shared" si="152"/>
        <v>584.80999999999995</v>
      </c>
      <c r="O1027" s="76">
        <v>671367.32</v>
      </c>
      <c r="P1027" s="65">
        <v>807320</v>
      </c>
      <c r="Q1027" s="65">
        <f t="shared" si="147"/>
        <v>177610.4</v>
      </c>
      <c r="R1027" s="65">
        <f t="shared" si="148"/>
        <v>984930.4</v>
      </c>
      <c r="S1027" s="272"/>
      <c r="T1027" s="64">
        <v>43</v>
      </c>
      <c r="U1027" s="274"/>
      <c r="V1027" s="38">
        <v>880394</v>
      </c>
      <c r="W1027" s="38">
        <f t="shared" si="149"/>
        <v>193686.68</v>
      </c>
      <c r="X1027" s="38">
        <f t="shared" si="150"/>
        <v>1074080.68</v>
      </c>
    </row>
    <row r="1028" spans="1:24" ht="15" customHeight="1" x14ac:dyDescent="0.35">
      <c r="A1028" s="56" t="s">
        <v>3291</v>
      </c>
      <c r="B1028" s="2">
        <v>982</v>
      </c>
      <c r="C1028" s="74">
        <v>102029173</v>
      </c>
      <c r="D1028" s="74" t="s">
        <v>2113</v>
      </c>
      <c r="E1028" s="74" t="s">
        <v>2147</v>
      </c>
      <c r="F1028" s="75">
        <v>1</v>
      </c>
      <c r="G1028" s="64" t="s">
        <v>0</v>
      </c>
      <c r="H1028" s="64">
        <v>2006</v>
      </c>
      <c r="I1028" s="105" t="s">
        <v>972</v>
      </c>
      <c r="J1028" s="63" t="s">
        <v>1917</v>
      </c>
      <c r="K1028" s="63" t="s">
        <v>961</v>
      </c>
      <c r="L1028" s="61" t="s">
        <v>845</v>
      </c>
      <c r="M1028" s="65">
        <f t="shared" si="142"/>
        <v>14984.17</v>
      </c>
      <c r="N1028" s="65">
        <f t="shared" si="152"/>
        <v>14984.17</v>
      </c>
      <c r="O1028" s="65">
        <v>14984.17</v>
      </c>
      <c r="P1028" s="65">
        <v>7870</v>
      </c>
      <c r="Q1028" s="65">
        <f t="shared" si="147"/>
        <v>1731.4</v>
      </c>
      <c r="R1028" s="65">
        <f t="shared" si="148"/>
        <v>9601.4</v>
      </c>
      <c r="S1028" s="272"/>
      <c r="T1028" s="64">
        <v>43</v>
      </c>
      <c r="U1028" s="274"/>
      <c r="V1028" s="38">
        <v>8584</v>
      </c>
      <c r="W1028" s="38">
        <f t="shared" si="149"/>
        <v>1888.48</v>
      </c>
      <c r="X1028" s="38">
        <f t="shared" si="150"/>
        <v>10472.48</v>
      </c>
    </row>
    <row r="1029" spans="1:24" ht="15" customHeight="1" x14ac:dyDescent="0.35">
      <c r="A1029" s="56" t="s">
        <v>3292</v>
      </c>
      <c r="B1029" s="2">
        <v>983</v>
      </c>
      <c r="C1029" s="74">
        <v>102029167</v>
      </c>
      <c r="D1029" s="74" t="s">
        <v>2114</v>
      </c>
      <c r="E1029" s="74" t="s">
        <v>2147</v>
      </c>
      <c r="F1029" s="75">
        <v>2</v>
      </c>
      <c r="G1029" s="64" t="s">
        <v>0</v>
      </c>
      <c r="H1029" s="64">
        <v>2006</v>
      </c>
      <c r="I1029" s="105" t="s">
        <v>972</v>
      </c>
      <c r="J1029" s="63" t="s">
        <v>1917</v>
      </c>
      <c r="K1029" s="63" t="s">
        <v>961</v>
      </c>
      <c r="L1029" s="61" t="s">
        <v>845</v>
      </c>
      <c r="M1029" s="65">
        <f t="shared" si="142"/>
        <v>20738.740000000002</v>
      </c>
      <c r="N1029" s="65">
        <f t="shared" si="152"/>
        <v>10369.370000000001</v>
      </c>
      <c r="O1029" s="65">
        <v>20738.740000000002</v>
      </c>
      <c r="P1029" s="65">
        <v>32310</v>
      </c>
      <c r="Q1029" s="65">
        <f t="shared" si="147"/>
        <v>7108.2</v>
      </c>
      <c r="R1029" s="65">
        <f t="shared" si="148"/>
        <v>39418.199999999997</v>
      </c>
      <c r="S1029" s="272"/>
      <c r="T1029" s="64">
        <v>43</v>
      </c>
      <c r="U1029" s="274"/>
      <c r="V1029" s="38">
        <v>35238</v>
      </c>
      <c r="W1029" s="38">
        <f t="shared" si="149"/>
        <v>7752.36</v>
      </c>
      <c r="X1029" s="38">
        <f t="shared" si="150"/>
        <v>42990.36</v>
      </c>
    </row>
    <row r="1030" spans="1:24" ht="15" customHeight="1" x14ac:dyDescent="0.35">
      <c r="A1030" s="56" t="s">
        <v>3293</v>
      </c>
      <c r="B1030" s="2">
        <v>984</v>
      </c>
      <c r="C1030" s="77">
        <v>10097708</v>
      </c>
      <c r="D1030" s="74" t="s">
        <v>98</v>
      </c>
      <c r="E1030" s="103" t="s">
        <v>2167</v>
      </c>
      <c r="F1030" s="75">
        <v>31</v>
      </c>
      <c r="G1030" s="64" t="s">
        <v>0</v>
      </c>
      <c r="H1030" s="101">
        <v>2014</v>
      </c>
      <c r="I1030" s="4" t="s">
        <v>957</v>
      </c>
      <c r="J1030" s="115" t="s">
        <v>2207</v>
      </c>
      <c r="K1030" s="101" t="s">
        <v>2038</v>
      </c>
      <c r="L1030" s="61" t="s">
        <v>2097</v>
      </c>
      <c r="M1030" s="65">
        <f t="shared" si="142"/>
        <v>37119.160000000003</v>
      </c>
      <c r="N1030" s="65">
        <f t="shared" si="152"/>
        <v>1197.3900000000001</v>
      </c>
      <c r="O1030" s="65">
        <v>37119.160000000003</v>
      </c>
      <c r="P1030" s="65">
        <v>29900</v>
      </c>
      <c r="Q1030" s="65">
        <f t="shared" si="147"/>
        <v>6578</v>
      </c>
      <c r="R1030" s="65">
        <f t="shared" si="148"/>
        <v>36478</v>
      </c>
      <c r="S1030" s="276"/>
      <c r="T1030" s="64">
        <v>43</v>
      </c>
      <c r="U1030" s="274"/>
      <c r="V1030" s="38">
        <v>32610</v>
      </c>
      <c r="W1030" s="38">
        <f t="shared" si="149"/>
        <v>7174.2</v>
      </c>
      <c r="X1030" s="38">
        <f t="shared" si="150"/>
        <v>39784.199999999997</v>
      </c>
    </row>
    <row r="1031" spans="1:24" ht="15" customHeight="1" x14ac:dyDescent="0.35">
      <c r="A1031" s="56"/>
      <c r="B1031" s="15"/>
      <c r="C1031" s="77"/>
      <c r="D1031" s="74"/>
      <c r="E1031" s="74"/>
      <c r="F1031" s="75"/>
      <c r="G1031" s="64"/>
      <c r="H1031" s="101"/>
      <c r="I1031" s="4"/>
      <c r="J1031" s="115"/>
      <c r="K1031" s="101"/>
      <c r="L1031" s="61"/>
      <c r="M1031" s="65"/>
      <c r="N1031" s="65"/>
      <c r="O1031" s="126">
        <f>SUM(O1022:O1030)</f>
        <v>811522.77</v>
      </c>
      <c r="P1031" s="126">
        <f t="shared" ref="P1031:R1031" si="153">SUM(P1022:P1030)</f>
        <v>924170</v>
      </c>
      <c r="Q1031" s="126">
        <f t="shared" si="153"/>
        <v>203317.4</v>
      </c>
      <c r="R1031" s="126">
        <f t="shared" si="153"/>
        <v>1127487.3999999999</v>
      </c>
      <c r="S1031" s="72">
        <f>R1031/100*10</f>
        <v>112748.74</v>
      </c>
      <c r="T1031" s="73">
        <v>43</v>
      </c>
      <c r="U1031" s="275"/>
      <c r="V1031" s="38"/>
      <c r="W1031" s="38"/>
      <c r="X1031" s="38"/>
    </row>
    <row r="1032" spans="1:24" ht="15" customHeight="1" x14ac:dyDescent="0.35">
      <c r="A1032" s="56" t="s">
        <v>3294</v>
      </c>
      <c r="B1032" s="2">
        <v>985</v>
      </c>
      <c r="C1032" s="77">
        <v>10142851</v>
      </c>
      <c r="D1032" s="74" t="s">
        <v>488</v>
      </c>
      <c r="E1032" s="59" t="s">
        <v>2178</v>
      </c>
      <c r="F1032" s="75">
        <v>6</v>
      </c>
      <c r="G1032" s="64" t="s">
        <v>0</v>
      </c>
      <c r="H1032" s="61">
        <v>42004</v>
      </c>
      <c r="I1032" s="61" t="s">
        <v>975</v>
      </c>
      <c r="J1032" s="63" t="s">
        <v>1917</v>
      </c>
      <c r="K1032" s="63" t="s">
        <v>488</v>
      </c>
      <c r="L1032" s="61" t="s">
        <v>950</v>
      </c>
      <c r="M1032" s="65">
        <f t="shared" si="142"/>
        <v>449071.44</v>
      </c>
      <c r="N1032" s="65">
        <f>O1032/F1032</f>
        <v>74845.240000000005</v>
      </c>
      <c r="O1032" s="65">
        <v>449071.44</v>
      </c>
      <c r="P1032" s="65">
        <v>704350</v>
      </c>
      <c r="Q1032" s="65">
        <f t="shared" si="147"/>
        <v>154957</v>
      </c>
      <c r="R1032" s="65">
        <f t="shared" si="148"/>
        <v>859307</v>
      </c>
      <c r="S1032" s="267"/>
      <c r="T1032" s="64">
        <v>44</v>
      </c>
      <c r="U1032" s="273" t="s">
        <v>2270</v>
      </c>
      <c r="V1032" s="38">
        <v>768103</v>
      </c>
      <c r="W1032" s="38">
        <f t="shared" si="149"/>
        <v>168982.66</v>
      </c>
      <c r="X1032" s="38">
        <f t="shared" si="150"/>
        <v>937085.66</v>
      </c>
    </row>
    <row r="1033" spans="1:24" ht="36.75" customHeight="1" x14ac:dyDescent="0.35">
      <c r="A1033" s="56" t="s">
        <v>3295</v>
      </c>
      <c r="B1033" s="2">
        <v>986</v>
      </c>
      <c r="C1033" s="77">
        <v>10089681</v>
      </c>
      <c r="D1033" s="74" t="s">
        <v>1448</v>
      </c>
      <c r="E1033" s="59" t="s">
        <v>2167</v>
      </c>
      <c r="F1033" s="75">
        <v>22</v>
      </c>
      <c r="G1033" s="64" t="s">
        <v>0</v>
      </c>
      <c r="H1033" s="78">
        <v>42164</v>
      </c>
      <c r="I1033" s="4" t="s">
        <v>957</v>
      </c>
      <c r="J1033" s="63" t="s">
        <v>2239</v>
      </c>
      <c r="K1033" s="63" t="s">
        <v>961</v>
      </c>
      <c r="L1033" s="69" t="s">
        <v>950</v>
      </c>
      <c r="M1033" s="70">
        <f t="shared" si="142"/>
        <v>211001.56</v>
      </c>
      <c r="N1033" s="70">
        <f>O1033/F1033</f>
        <v>9590.98</v>
      </c>
      <c r="O1033" s="70">
        <v>211001.56</v>
      </c>
      <c r="P1033" s="65">
        <v>306250</v>
      </c>
      <c r="Q1033" s="65">
        <f t="shared" si="147"/>
        <v>67375</v>
      </c>
      <c r="R1033" s="65">
        <f t="shared" si="148"/>
        <v>373625</v>
      </c>
      <c r="S1033" s="272"/>
      <c r="T1033" s="64">
        <v>44</v>
      </c>
      <c r="U1033" s="274"/>
      <c r="V1033" s="38">
        <v>333972</v>
      </c>
      <c r="W1033" s="38">
        <f t="shared" si="149"/>
        <v>73473.84</v>
      </c>
      <c r="X1033" s="38">
        <f t="shared" si="150"/>
        <v>407445.84</v>
      </c>
    </row>
    <row r="1034" spans="1:24" ht="25.5" customHeight="1" x14ac:dyDescent="0.35">
      <c r="A1034" s="56" t="s">
        <v>3296</v>
      </c>
      <c r="B1034" s="2">
        <v>987</v>
      </c>
      <c r="C1034" s="77">
        <v>102003357</v>
      </c>
      <c r="D1034" s="74" t="s">
        <v>1487</v>
      </c>
      <c r="E1034" s="59" t="s">
        <v>2167</v>
      </c>
      <c r="F1034" s="75">
        <v>2</v>
      </c>
      <c r="G1034" s="64" t="s">
        <v>0</v>
      </c>
      <c r="H1034" s="78">
        <v>42005</v>
      </c>
      <c r="I1034" s="4" t="s">
        <v>957</v>
      </c>
      <c r="J1034" s="63" t="s">
        <v>1954</v>
      </c>
      <c r="K1034" s="63" t="s">
        <v>961</v>
      </c>
      <c r="L1034" s="69" t="s">
        <v>950</v>
      </c>
      <c r="M1034" s="70">
        <f t="shared" si="142"/>
        <v>177202.66</v>
      </c>
      <c r="N1034" s="70">
        <f>O1034/F1034</f>
        <v>88601.33</v>
      </c>
      <c r="O1034" s="70">
        <v>177202.66</v>
      </c>
      <c r="P1034" s="65">
        <v>267320</v>
      </c>
      <c r="Q1034" s="65">
        <f t="shared" si="147"/>
        <v>58810.400000000001</v>
      </c>
      <c r="R1034" s="65">
        <f t="shared" si="148"/>
        <v>326130.40000000002</v>
      </c>
      <c r="S1034" s="272"/>
      <c r="T1034" s="64">
        <v>44</v>
      </c>
      <c r="U1034" s="274"/>
      <c r="V1034" s="38">
        <v>291521</v>
      </c>
      <c r="W1034" s="38">
        <f t="shared" si="149"/>
        <v>64134.62</v>
      </c>
      <c r="X1034" s="38">
        <f t="shared" si="150"/>
        <v>355655.62</v>
      </c>
    </row>
    <row r="1035" spans="1:24" ht="15" customHeight="1" x14ac:dyDescent="0.35">
      <c r="A1035" s="56" t="s">
        <v>3297</v>
      </c>
      <c r="B1035" s="2">
        <v>988</v>
      </c>
      <c r="C1035" s="77">
        <v>102012407</v>
      </c>
      <c r="D1035" s="74" t="s">
        <v>2090</v>
      </c>
      <c r="E1035" s="74" t="s">
        <v>1978</v>
      </c>
      <c r="F1035" s="75">
        <v>1</v>
      </c>
      <c r="G1035" s="75" t="s">
        <v>0</v>
      </c>
      <c r="H1035" s="61">
        <v>42706</v>
      </c>
      <c r="I1035" s="3" t="s">
        <v>957</v>
      </c>
      <c r="J1035" s="63" t="s">
        <v>959</v>
      </c>
      <c r="K1035" s="63" t="s">
        <v>961</v>
      </c>
      <c r="L1035" s="63" t="s">
        <v>950</v>
      </c>
      <c r="M1035" s="76">
        <f t="shared" si="142"/>
        <v>3497.81</v>
      </c>
      <c r="N1035" s="76">
        <f>O1035/F1035</f>
        <v>3497.81</v>
      </c>
      <c r="O1035" s="76">
        <v>3497.81</v>
      </c>
      <c r="P1035" s="65">
        <v>5030</v>
      </c>
      <c r="Q1035" s="65">
        <f t="shared" si="147"/>
        <v>1106.5999999999999</v>
      </c>
      <c r="R1035" s="65">
        <f t="shared" si="148"/>
        <v>6136.6</v>
      </c>
      <c r="S1035" s="272"/>
      <c r="T1035" s="64">
        <v>44</v>
      </c>
      <c r="U1035" s="274"/>
      <c r="V1035" s="38">
        <v>5489</v>
      </c>
      <c r="W1035" s="38">
        <f t="shared" si="149"/>
        <v>1207.58</v>
      </c>
      <c r="X1035" s="38">
        <f t="shared" si="150"/>
        <v>6696.58</v>
      </c>
    </row>
    <row r="1036" spans="1:24" ht="15" customHeight="1" x14ac:dyDescent="0.35">
      <c r="A1036" s="56" t="s">
        <v>3298</v>
      </c>
      <c r="B1036" s="2">
        <v>989</v>
      </c>
      <c r="C1036" s="77">
        <v>10090730</v>
      </c>
      <c r="D1036" s="74" t="s">
        <v>1528</v>
      </c>
      <c r="E1036" s="59" t="s">
        <v>2167</v>
      </c>
      <c r="F1036" s="75">
        <v>1</v>
      </c>
      <c r="G1036" s="64" t="s">
        <v>0</v>
      </c>
      <c r="H1036" s="78">
        <v>40133</v>
      </c>
      <c r="I1036" s="4" t="s">
        <v>957</v>
      </c>
      <c r="J1036" s="63" t="s">
        <v>1917</v>
      </c>
      <c r="K1036" s="63" t="s">
        <v>961</v>
      </c>
      <c r="L1036" s="69" t="s">
        <v>950</v>
      </c>
      <c r="M1036" s="70">
        <v>47.2</v>
      </c>
      <c r="N1036" s="70">
        <v>47.2</v>
      </c>
      <c r="O1036" s="70">
        <v>47.2</v>
      </c>
      <c r="P1036" s="65">
        <v>100</v>
      </c>
      <c r="Q1036" s="65">
        <f t="shared" si="147"/>
        <v>22</v>
      </c>
      <c r="R1036" s="65">
        <f t="shared" si="148"/>
        <v>122</v>
      </c>
      <c r="S1036" s="272"/>
      <c r="T1036" s="64">
        <v>44</v>
      </c>
      <c r="U1036" s="274"/>
      <c r="V1036" s="38">
        <v>105</v>
      </c>
      <c r="W1036" s="38">
        <f t="shared" si="149"/>
        <v>23.1</v>
      </c>
      <c r="X1036" s="38">
        <f t="shared" si="150"/>
        <v>128.1</v>
      </c>
    </row>
    <row r="1037" spans="1:24" ht="22.5" customHeight="1" x14ac:dyDescent="0.35">
      <c r="A1037" s="56" t="s">
        <v>3299</v>
      </c>
      <c r="B1037" s="2">
        <v>990</v>
      </c>
      <c r="C1037" s="77">
        <v>10019561</v>
      </c>
      <c r="D1037" s="74" t="s">
        <v>1735</v>
      </c>
      <c r="E1037" s="59" t="s">
        <v>2167</v>
      </c>
      <c r="F1037" s="75">
        <v>2</v>
      </c>
      <c r="G1037" s="64" t="s">
        <v>0</v>
      </c>
      <c r="H1037" s="78">
        <v>39448</v>
      </c>
      <c r="I1037" s="4" t="s">
        <v>957</v>
      </c>
      <c r="J1037" s="63" t="s">
        <v>1937</v>
      </c>
      <c r="K1037" s="63" t="s">
        <v>961</v>
      </c>
      <c r="L1037" s="69" t="s">
        <v>950</v>
      </c>
      <c r="M1037" s="70">
        <f t="shared" ref="M1037:M1061" si="154">O1037</f>
        <v>21470</v>
      </c>
      <c r="N1037" s="70">
        <f>O1037/F1037</f>
        <v>10735</v>
      </c>
      <c r="O1037" s="70">
        <v>21470</v>
      </c>
      <c r="P1037" s="65">
        <v>66270</v>
      </c>
      <c r="Q1037" s="65">
        <f t="shared" si="147"/>
        <v>14579.4</v>
      </c>
      <c r="R1037" s="65">
        <f t="shared" si="148"/>
        <v>80849.399999999994</v>
      </c>
      <c r="S1037" s="272"/>
      <c r="T1037" s="64">
        <v>44</v>
      </c>
      <c r="U1037" s="274"/>
      <c r="V1037" s="38">
        <v>72273</v>
      </c>
      <c r="W1037" s="38">
        <f t="shared" si="149"/>
        <v>15900.06</v>
      </c>
      <c r="X1037" s="38">
        <f t="shared" si="150"/>
        <v>88173.06</v>
      </c>
    </row>
    <row r="1038" spans="1:24" ht="93" customHeight="1" x14ac:dyDescent="0.35">
      <c r="A1038" s="56" t="s">
        <v>3300</v>
      </c>
      <c r="B1038" s="2">
        <v>991</v>
      </c>
      <c r="C1038" s="74">
        <v>102012404</v>
      </c>
      <c r="D1038" s="74" t="s">
        <v>2188</v>
      </c>
      <c r="E1038" s="59" t="s">
        <v>2167</v>
      </c>
      <c r="F1038" s="75">
        <v>1</v>
      </c>
      <c r="G1038" s="64" t="s">
        <v>0</v>
      </c>
      <c r="H1038" s="61">
        <v>42725</v>
      </c>
      <c r="I1038" s="4" t="s">
        <v>957</v>
      </c>
      <c r="J1038" s="63" t="s">
        <v>2193</v>
      </c>
      <c r="K1038" s="63" t="s">
        <v>961</v>
      </c>
      <c r="L1038" s="69" t="s">
        <v>950</v>
      </c>
      <c r="M1038" s="70">
        <f t="shared" si="154"/>
        <v>415442.98</v>
      </c>
      <c r="N1038" s="70">
        <f>O1038/F1038</f>
        <v>415442.98</v>
      </c>
      <c r="O1038" s="70">
        <v>415442.98</v>
      </c>
      <c r="P1038" s="65">
        <v>597830</v>
      </c>
      <c r="Q1038" s="65">
        <f t="shared" si="147"/>
        <v>131522.6</v>
      </c>
      <c r="R1038" s="65">
        <f t="shared" si="148"/>
        <v>729352.6</v>
      </c>
      <c r="S1038" s="276"/>
      <c r="T1038" s="64">
        <v>44</v>
      </c>
      <c r="U1038" s="274"/>
      <c r="V1038" s="38">
        <v>651942</v>
      </c>
      <c r="W1038" s="38">
        <f t="shared" si="149"/>
        <v>143427.24</v>
      </c>
      <c r="X1038" s="38">
        <f t="shared" si="150"/>
        <v>795369.24</v>
      </c>
    </row>
    <row r="1039" spans="1:24" ht="15" customHeight="1" x14ac:dyDescent="0.35">
      <c r="A1039" s="56"/>
      <c r="B1039" s="15"/>
      <c r="C1039" s="74"/>
      <c r="D1039" s="74"/>
      <c r="E1039" s="74"/>
      <c r="F1039" s="75"/>
      <c r="G1039" s="64"/>
      <c r="H1039" s="61"/>
      <c r="I1039" s="4"/>
      <c r="J1039" s="63"/>
      <c r="K1039" s="63"/>
      <c r="L1039" s="69"/>
      <c r="M1039" s="70"/>
      <c r="N1039" s="70"/>
      <c r="O1039" s="71">
        <f>SUM(O1032:O1038)</f>
        <v>1277733.6499999999</v>
      </c>
      <c r="P1039" s="71">
        <f t="shared" ref="P1039:R1039" si="155">SUM(P1032:P1038)</f>
        <v>1947150</v>
      </c>
      <c r="Q1039" s="71">
        <f t="shared" si="155"/>
        <v>428373</v>
      </c>
      <c r="R1039" s="71">
        <f t="shared" si="155"/>
        <v>2375523</v>
      </c>
      <c r="S1039" s="72">
        <f>R1039/100*10</f>
        <v>237552.3</v>
      </c>
      <c r="T1039" s="73">
        <v>44</v>
      </c>
      <c r="U1039" s="275"/>
      <c r="V1039" s="38"/>
      <c r="W1039" s="38"/>
      <c r="X1039" s="38"/>
    </row>
    <row r="1040" spans="1:24" ht="15" customHeight="1" x14ac:dyDescent="0.35">
      <c r="A1040" s="56" t="s">
        <v>3301</v>
      </c>
      <c r="B1040" s="2">
        <v>992</v>
      </c>
      <c r="C1040" s="77">
        <v>10090610</v>
      </c>
      <c r="D1040" s="74" t="s">
        <v>147</v>
      </c>
      <c r="E1040" s="74" t="s">
        <v>2162</v>
      </c>
      <c r="F1040" s="75">
        <f>2-1</f>
        <v>1</v>
      </c>
      <c r="G1040" s="64" t="s">
        <v>0</v>
      </c>
      <c r="H1040" s="101" t="s">
        <v>2145</v>
      </c>
      <c r="I1040" s="61" t="s">
        <v>2158</v>
      </c>
      <c r="J1040" s="63" t="s">
        <v>1917</v>
      </c>
      <c r="K1040" s="61" t="s">
        <v>961</v>
      </c>
      <c r="L1040" s="69" t="s">
        <v>2093</v>
      </c>
      <c r="M1040" s="70">
        <f t="shared" si="154"/>
        <v>13377.58</v>
      </c>
      <c r="N1040" s="70">
        <f t="shared" ref="N1040:N1047" si="156">O1040/F1040</f>
        <v>13377.58</v>
      </c>
      <c r="O1040" s="70">
        <f>26755.16/2*1</f>
        <v>13377.58</v>
      </c>
      <c r="P1040" s="65">
        <v>15750</v>
      </c>
      <c r="Q1040" s="65">
        <f t="shared" si="147"/>
        <v>3465</v>
      </c>
      <c r="R1040" s="65">
        <f t="shared" si="148"/>
        <v>19215</v>
      </c>
      <c r="S1040" s="267"/>
      <c r="T1040" s="64">
        <v>45</v>
      </c>
      <c r="U1040" s="273" t="s">
        <v>2270</v>
      </c>
      <c r="V1040" s="38">
        <v>17173</v>
      </c>
      <c r="W1040" s="38">
        <f t="shared" si="149"/>
        <v>3778.06</v>
      </c>
      <c r="X1040" s="38">
        <f t="shared" si="150"/>
        <v>20951.060000000001</v>
      </c>
    </row>
    <row r="1041" spans="1:24" ht="15" customHeight="1" x14ac:dyDescent="0.35">
      <c r="A1041" s="56" t="s">
        <v>3302</v>
      </c>
      <c r="B1041" s="2">
        <v>993</v>
      </c>
      <c r="C1041" s="77">
        <v>10102968</v>
      </c>
      <c r="D1041" s="74" t="s">
        <v>282</v>
      </c>
      <c r="E1041" s="74" t="s">
        <v>2151</v>
      </c>
      <c r="F1041" s="75">
        <v>1</v>
      </c>
      <c r="G1041" s="64" t="s">
        <v>0</v>
      </c>
      <c r="H1041" s="101" t="s">
        <v>494</v>
      </c>
      <c r="I1041" s="101" t="s">
        <v>972</v>
      </c>
      <c r="J1041" s="63" t="s">
        <v>1917</v>
      </c>
      <c r="K1041" s="61" t="s">
        <v>961</v>
      </c>
      <c r="L1041" s="61" t="s">
        <v>845</v>
      </c>
      <c r="M1041" s="65">
        <f t="shared" si="154"/>
        <v>7845.48</v>
      </c>
      <c r="N1041" s="65">
        <f t="shared" si="156"/>
        <v>7845.48</v>
      </c>
      <c r="O1041" s="65">
        <v>7845.48</v>
      </c>
      <c r="P1041" s="65">
        <v>8040</v>
      </c>
      <c r="Q1041" s="65">
        <f t="shared" si="147"/>
        <v>1768.8</v>
      </c>
      <c r="R1041" s="65">
        <f t="shared" si="148"/>
        <v>9808.7999999999993</v>
      </c>
      <c r="S1041" s="272"/>
      <c r="T1041" s="64">
        <v>45</v>
      </c>
      <c r="U1041" s="274"/>
      <c r="V1041" s="38">
        <v>8769</v>
      </c>
      <c r="W1041" s="38">
        <f t="shared" si="149"/>
        <v>1929.18</v>
      </c>
      <c r="X1041" s="38">
        <f t="shared" si="150"/>
        <v>10698.18</v>
      </c>
    </row>
    <row r="1042" spans="1:24" ht="15" customHeight="1" x14ac:dyDescent="0.35">
      <c r="A1042" s="56" t="s">
        <v>3303</v>
      </c>
      <c r="B1042" s="2">
        <v>994</v>
      </c>
      <c r="C1042" s="77">
        <v>10054092</v>
      </c>
      <c r="D1042" s="74" t="s">
        <v>212</v>
      </c>
      <c r="E1042" s="74" t="s">
        <v>2156</v>
      </c>
      <c r="F1042" s="75">
        <v>1</v>
      </c>
      <c r="G1042" s="64" t="s">
        <v>0</v>
      </c>
      <c r="H1042" s="61">
        <v>42036</v>
      </c>
      <c r="I1042" s="61" t="s">
        <v>2094</v>
      </c>
      <c r="J1042" s="63" t="s">
        <v>1917</v>
      </c>
      <c r="K1042" s="61" t="s">
        <v>961</v>
      </c>
      <c r="L1042" s="88" t="s">
        <v>845</v>
      </c>
      <c r="M1042" s="76">
        <f t="shared" si="154"/>
        <v>25763.87</v>
      </c>
      <c r="N1042" s="76">
        <f t="shared" si="156"/>
        <v>25763.87</v>
      </c>
      <c r="O1042" s="76">
        <v>25763.87</v>
      </c>
      <c r="P1042" s="65">
        <v>16600</v>
      </c>
      <c r="Q1042" s="65">
        <f t="shared" si="147"/>
        <v>3652</v>
      </c>
      <c r="R1042" s="65">
        <f t="shared" si="148"/>
        <v>20252</v>
      </c>
      <c r="S1042" s="272"/>
      <c r="T1042" s="64">
        <v>45</v>
      </c>
      <c r="U1042" s="274"/>
      <c r="V1042" s="38">
        <v>18104</v>
      </c>
      <c r="W1042" s="38">
        <f t="shared" si="149"/>
        <v>3982.88</v>
      </c>
      <c r="X1042" s="38">
        <f t="shared" si="150"/>
        <v>22086.880000000001</v>
      </c>
    </row>
    <row r="1043" spans="1:24" ht="15" customHeight="1" x14ac:dyDescent="0.35">
      <c r="A1043" s="56" t="s">
        <v>3304</v>
      </c>
      <c r="B1043" s="2">
        <v>995</v>
      </c>
      <c r="C1043" s="77">
        <v>10022946</v>
      </c>
      <c r="D1043" s="74" t="s">
        <v>227</v>
      </c>
      <c r="E1043" s="74" t="s">
        <v>2156</v>
      </c>
      <c r="F1043" s="75">
        <v>2</v>
      </c>
      <c r="G1043" s="64" t="s">
        <v>0</v>
      </c>
      <c r="H1043" s="61">
        <v>42036</v>
      </c>
      <c r="I1043" s="61" t="s">
        <v>2094</v>
      </c>
      <c r="J1043" s="63" t="s">
        <v>1917</v>
      </c>
      <c r="K1043" s="61" t="s">
        <v>961</v>
      </c>
      <c r="L1043" s="88" t="s">
        <v>845</v>
      </c>
      <c r="M1043" s="76">
        <f t="shared" si="154"/>
        <v>35357.82</v>
      </c>
      <c r="N1043" s="76">
        <f t="shared" si="156"/>
        <v>17678.91</v>
      </c>
      <c r="O1043" s="76">
        <v>35357.82</v>
      </c>
      <c r="P1043" s="65">
        <v>34540</v>
      </c>
      <c r="Q1043" s="65">
        <f t="shared" si="147"/>
        <v>7598.8</v>
      </c>
      <c r="R1043" s="65">
        <f t="shared" si="148"/>
        <v>42138.8</v>
      </c>
      <c r="S1043" s="272"/>
      <c r="T1043" s="64">
        <v>45</v>
      </c>
      <c r="U1043" s="274"/>
      <c r="V1043" s="38">
        <v>37663</v>
      </c>
      <c r="W1043" s="38">
        <f t="shared" si="149"/>
        <v>8285.86</v>
      </c>
      <c r="X1043" s="38">
        <f t="shared" si="150"/>
        <v>45948.86</v>
      </c>
    </row>
    <row r="1044" spans="1:24" ht="15" customHeight="1" x14ac:dyDescent="0.35">
      <c r="A1044" s="56" t="s">
        <v>3305</v>
      </c>
      <c r="B1044" s="2">
        <v>996</v>
      </c>
      <c r="C1044" s="89">
        <v>10018637</v>
      </c>
      <c r="D1044" s="90" t="s">
        <v>683</v>
      </c>
      <c r="E1044" s="59" t="s">
        <v>1979</v>
      </c>
      <c r="F1044" s="75">
        <v>1</v>
      </c>
      <c r="G1044" s="64" t="s">
        <v>0</v>
      </c>
      <c r="H1044" s="64">
        <v>2014</v>
      </c>
      <c r="I1044" s="105" t="s">
        <v>971</v>
      </c>
      <c r="J1044" s="63" t="s">
        <v>1917</v>
      </c>
      <c r="K1044" s="108" t="s">
        <v>683</v>
      </c>
      <c r="L1044" s="88" t="s">
        <v>845</v>
      </c>
      <c r="M1044" s="76">
        <f t="shared" si="154"/>
        <v>8413.0499999999993</v>
      </c>
      <c r="N1044" s="76">
        <f t="shared" si="156"/>
        <v>8413.0499999999993</v>
      </c>
      <c r="O1044" s="76">
        <v>8413.0499999999993</v>
      </c>
      <c r="P1044" s="65">
        <v>8240</v>
      </c>
      <c r="Q1044" s="65">
        <f t="shared" si="147"/>
        <v>1812.8</v>
      </c>
      <c r="R1044" s="65">
        <f t="shared" si="148"/>
        <v>10052.799999999999</v>
      </c>
      <c r="S1044" s="272"/>
      <c r="T1044" s="64">
        <v>45</v>
      </c>
      <c r="U1044" s="274"/>
      <c r="V1044" s="38">
        <v>8980</v>
      </c>
      <c r="W1044" s="38">
        <f t="shared" si="149"/>
        <v>1975.6</v>
      </c>
      <c r="X1044" s="38">
        <f t="shared" si="150"/>
        <v>10955.6</v>
      </c>
    </row>
    <row r="1045" spans="1:24" ht="15" customHeight="1" x14ac:dyDescent="0.35">
      <c r="A1045" s="56" t="s">
        <v>3306</v>
      </c>
      <c r="B1045" s="2">
        <v>997</v>
      </c>
      <c r="C1045" s="89">
        <v>102001345</v>
      </c>
      <c r="D1045" s="106" t="s">
        <v>529</v>
      </c>
      <c r="E1045" s="74" t="s">
        <v>2184</v>
      </c>
      <c r="F1045" s="75">
        <v>1</v>
      </c>
      <c r="G1045" s="64" t="s">
        <v>0</v>
      </c>
      <c r="H1045" s="61">
        <v>42004</v>
      </c>
      <c r="I1045" s="107" t="s">
        <v>976</v>
      </c>
      <c r="J1045" s="63" t="s">
        <v>1917</v>
      </c>
      <c r="K1045" s="108" t="s">
        <v>700</v>
      </c>
      <c r="L1045" s="64" t="s">
        <v>845</v>
      </c>
      <c r="M1045" s="65">
        <f t="shared" si="154"/>
        <v>132384</v>
      </c>
      <c r="N1045" s="65">
        <f t="shared" si="156"/>
        <v>132384</v>
      </c>
      <c r="O1045" s="65">
        <v>132384</v>
      </c>
      <c r="P1045" s="65">
        <v>119040</v>
      </c>
      <c r="Q1045" s="65">
        <f t="shared" si="147"/>
        <v>26188.799999999999</v>
      </c>
      <c r="R1045" s="65">
        <f t="shared" si="148"/>
        <v>145228.79999999999</v>
      </c>
      <c r="S1045" s="272"/>
      <c r="T1045" s="64">
        <v>45</v>
      </c>
      <c r="U1045" s="274"/>
      <c r="V1045" s="38">
        <v>129811</v>
      </c>
      <c r="W1045" s="38">
        <f t="shared" si="149"/>
        <v>28558.42</v>
      </c>
      <c r="X1045" s="38">
        <f t="shared" si="150"/>
        <v>158369.42000000001</v>
      </c>
    </row>
    <row r="1046" spans="1:24" ht="15" customHeight="1" x14ac:dyDescent="0.35">
      <c r="A1046" s="56" t="s">
        <v>3307</v>
      </c>
      <c r="B1046" s="2">
        <v>998</v>
      </c>
      <c r="C1046" s="89">
        <v>102000294</v>
      </c>
      <c r="D1046" s="106" t="s">
        <v>530</v>
      </c>
      <c r="E1046" s="74" t="s">
        <v>2184</v>
      </c>
      <c r="F1046" s="75">
        <v>1</v>
      </c>
      <c r="G1046" s="64" t="s">
        <v>0</v>
      </c>
      <c r="H1046" s="61">
        <v>42004</v>
      </c>
      <c r="I1046" s="107" t="s">
        <v>976</v>
      </c>
      <c r="J1046" s="63" t="s">
        <v>1917</v>
      </c>
      <c r="K1046" s="108" t="s">
        <v>701</v>
      </c>
      <c r="L1046" s="64" t="s">
        <v>845</v>
      </c>
      <c r="M1046" s="65">
        <f t="shared" si="154"/>
        <v>929496.58</v>
      </c>
      <c r="N1046" s="65">
        <f t="shared" si="156"/>
        <v>929496.58</v>
      </c>
      <c r="O1046" s="65">
        <v>929496.58</v>
      </c>
      <c r="P1046" s="65">
        <v>1053470</v>
      </c>
      <c r="Q1046" s="65">
        <f t="shared" si="147"/>
        <v>231763.4</v>
      </c>
      <c r="R1046" s="65">
        <f t="shared" si="148"/>
        <v>1285233.3999999999</v>
      </c>
      <c r="S1046" s="272"/>
      <c r="T1046" s="64">
        <v>45</v>
      </c>
      <c r="U1046" s="274"/>
      <c r="V1046" s="38">
        <v>1148821</v>
      </c>
      <c r="W1046" s="38">
        <f t="shared" si="149"/>
        <v>252740.62</v>
      </c>
      <c r="X1046" s="38">
        <f t="shared" si="150"/>
        <v>1401561.62</v>
      </c>
    </row>
    <row r="1047" spans="1:24" ht="15" customHeight="1" x14ac:dyDescent="0.35">
      <c r="A1047" s="56" t="s">
        <v>3308</v>
      </c>
      <c r="B1047" s="2">
        <v>999</v>
      </c>
      <c r="C1047" s="89">
        <v>10130844</v>
      </c>
      <c r="D1047" s="90" t="s">
        <v>669</v>
      </c>
      <c r="E1047" s="74" t="s">
        <v>2184</v>
      </c>
      <c r="F1047" s="91">
        <v>2</v>
      </c>
      <c r="G1047" s="64" t="s">
        <v>0</v>
      </c>
      <c r="H1047" s="61">
        <v>42004</v>
      </c>
      <c r="I1047" s="107" t="s">
        <v>976</v>
      </c>
      <c r="J1047" s="63" t="s">
        <v>1917</v>
      </c>
      <c r="K1047" s="108" t="s">
        <v>787</v>
      </c>
      <c r="L1047" s="64" t="s">
        <v>845</v>
      </c>
      <c r="M1047" s="65">
        <f t="shared" si="154"/>
        <v>184822.74</v>
      </c>
      <c r="N1047" s="65">
        <f t="shared" si="156"/>
        <v>92411.37</v>
      </c>
      <c r="O1047" s="65">
        <v>184822.74</v>
      </c>
      <c r="P1047" s="65">
        <v>189430</v>
      </c>
      <c r="Q1047" s="65">
        <f t="shared" si="147"/>
        <v>41674.6</v>
      </c>
      <c r="R1047" s="65">
        <f t="shared" si="148"/>
        <v>231104.6</v>
      </c>
      <c r="S1047" s="276"/>
      <c r="T1047" s="64">
        <v>45</v>
      </c>
      <c r="U1047" s="274"/>
      <c r="V1047" s="38">
        <v>206572</v>
      </c>
      <c r="W1047" s="38">
        <f t="shared" si="149"/>
        <v>45445.84</v>
      </c>
      <c r="X1047" s="38">
        <f t="shared" si="150"/>
        <v>252017.84</v>
      </c>
    </row>
    <row r="1048" spans="1:24" ht="15" customHeight="1" x14ac:dyDescent="0.35">
      <c r="A1048" s="56"/>
      <c r="B1048" s="15"/>
      <c r="C1048" s="77"/>
      <c r="D1048" s="74"/>
      <c r="E1048" s="74"/>
      <c r="F1048" s="75"/>
      <c r="G1048" s="64"/>
      <c r="H1048" s="101"/>
      <c r="I1048" s="4"/>
      <c r="J1048" s="61"/>
      <c r="K1048" s="101"/>
      <c r="L1048" s="61"/>
      <c r="M1048" s="65"/>
      <c r="N1048" s="65"/>
      <c r="O1048" s="126">
        <f>SUM(O1040:O1047)</f>
        <v>1337461.1200000001</v>
      </c>
      <c r="P1048" s="126">
        <f t="shared" ref="P1048:R1048" si="157">SUM(P1040:P1047)</f>
        <v>1445110</v>
      </c>
      <c r="Q1048" s="126">
        <f t="shared" si="157"/>
        <v>317924.2</v>
      </c>
      <c r="R1048" s="126">
        <f t="shared" si="157"/>
        <v>1763034.2</v>
      </c>
      <c r="S1048" s="72">
        <f>R1048/100*10</f>
        <v>176303.42</v>
      </c>
      <c r="T1048" s="73">
        <v>45</v>
      </c>
      <c r="U1048" s="275"/>
      <c r="V1048" s="38"/>
      <c r="W1048" s="38"/>
      <c r="X1048" s="38"/>
    </row>
    <row r="1049" spans="1:24" ht="66" customHeight="1" x14ac:dyDescent="0.35">
      <c r="A1049" s="56" t="s">
        <v>3309</v>
      </c>
      <c r="B1049" s="2">
        <v>1000</v>
      </c>
      <c r="C1049" s="77">
        <v>10098220</v>
      </c>
      <c r="D1049" s="74" t="s">
        <v>390</v>
      </c>
      <c r="E1049" s="74" t="s">
        <v>2147</v>
      </c>
      <c r="F1049" s="75">
        <v>886</v>
      </c>
      <c r="G1049" s="64" t="s">
        <v>53</v>
      </c>
      <c r="H1049" s="61">
        <v>42004</v>
      </c>
      <c r="I1049" s="61" t="s">
        <v>972</v>
      </c>
      <c r="J1049" s="63" t="s">
        <v>4165</v>
      </c>
      <c r="K1049" s="88" t="s">
        <v>4164</v>
      </c>
      <c r="L1049" s="61" t="s">
        <v>845</v>
      </c>
      <c r="M1049" s="65">
        <f t="shared" si="154"/>
        <v>1150878.56</v>
      </c>
      <c r="N1049" s="65">
        <f>O1049/F1049</f>
        <v>1298.96</v>
      </c>
      <c r="O1049" s="65">
        <v>1150878.56</v>
      </c>
      <c r="P1049" s="65">
        <v>1079550</v>
      </c>
      <c r="Q1049" s="65">
        <f t="shared" si="147"/>
        <v>237501</v>
      </c>
      <c r="R1049" s="65">
        <f t="shared" si="148"/>
        <v>1317051</v>
      </c>
      <c r="S1049" s="267"/>
      <c r="T1049" s="64">
        <v>46</v>
      </c>
      <c r="U1049" s="273" t="s">
        <v>2271</v>
      </c>
      <c r="V1049" s="38">
        <v>1160802</v>
      </c>
      <c r="W1049" s="38">
        <f t="shared" si="149"/>
        <v>255376.44</v>
      </c>
      <c r="X1049" s="38">
        <f t="shared" si="150"/>
        <v>1416178.44</v>
      </c>
    </row>
    <row r="1050" spans="1:24" ht="15" customHeight="1" x14ac:dyDescent="0.35">
      <c r="A1050" s="56" t="s">
        <v>3310</v>
      </c>
      <c r="B1050" s="2">
        <v>1001</v>
      </c>
      <c r="C1050" s="109">
        <v>10000599</v>
      </c>
      <c r="D1050" s="110" t="s">
        <v>846</v>
      </c>
      <c r="E1050" s="74" t="s">
        <v>2147</v>
      </c>
      <c r="F1050" s="114">
        <v>20</v>
      </c>
      <c r="G1050" s="64" t="s">
        <v>53</v>
      </c>
      <c r="H1050" s="124">
        <v>42004</v>
      </c>
      <c r="I1050" s="63" t="s">
        <v>972</v>
      </c>
      <c r="J1050" s="63" t="s">
        <v>1917</v>
      </c>
      <c r="K1050" s="63" t="s">
        <v>961</v>
      </c>
      <c r="L1050" s="61" t="s">
        <v>845</v>
      </c>
      <c r="M1050" s="65">
        <f t="shared" si="154"/>
        <v>10288.200000000001</v>
      </c>
      <c r="N1050" s="65">
        <f>O1050/F1050</f>
        <v>514.41</v>
      </c>
      <c r="O1050" s="65">
        <v>10288.200000000001</v>
      </c>
      <c r="P1050" s="65">
        <v>9650</v>
      </c>
      <c r="Q1050" s="65">
        <f t="shared" si="147"/>
        <v>2123</v>
      </c>
      <c r="R1050" s="65">
        <f t="shared" si="148"/>
        <v>11773</v>
      </c>
      <c r="S1050" s="272"/>
      <c r="T1050" s="64">
        <v>46</v>
      </c>
      <c r="U1050" s="274"/>
      <c r="V1050" s="38">
        <v>10377</v>
      </c>
      <c r="W1050" s="38">
        <f t="shared" si="149"/>
        <v>2282.94</v>
      </c>
      <c r="X1050" s="38">
        <f t="shared" si="150"/>
        <v>12659.94</v>
      </c>
    </row>
    <row r="1051" spans="1:24" ht="15" customHeight="1" x14ac:dyDescent="0.35">
      <c r="A1051" s="56" t="s">
        <v>3311</v>
      </c>
      <c r="B1051" s="2">
        <v>1002</v>
      </c>
      <c r="C1051" s="109">
        <v>10114887</v>
      </c>
      <c r="D1051" s="110" t="s">
        <v>847</v>
      </c>
      <c r="E1051" s="74" t="s">
        <v>2147</v>
      </c>
      <c r="F1051" s="114">
        <v>30</v>
      </c>
      <c r="G1051" s="64" t="s">
        <v>53</v>
      </c>
      <c r="H1051" s="124">
        <v>42004</v>
      </c>
      <c r="I1051" s="63" t="s">
        <v>972</v>
      </c>
      <c r="J1051" s="63" t="s">
        <v>1917</v>
      </c>
      <c r="K1051" s="63" t="s">
        <v>961</v>
      </c>
      <c r="L1051" s="61" t="s">
        <v>845</v>
      </c>
      <c r="M1051" s="65">
        <f t="shared" si="154"/>
        <v>6055.5</v>
      </c>
      <c r="N1051" s="65">
        <f>O1051/F1051</f>
        <v>201.85</v>
      </c>
      <c r="O1051" s="65">
        <v>6055.5</v>
      </c>
      <c r="P1051" s="65">
        <v>5680</v>
      </c>
      <c r="Q1051" s="65">
        <f t="shared" si="147"/>
        <v>1249.5999999999999</v>
      </c>
      <c r="R1051" s="65">
        <f t="shared" si="148"/>
        <v>6929.6</v>
      </c>
      <c r="S1051" s="276"/>
      <c r="T1051" s="64">
        <v>46</v>
      </c>
      <c r="U1051" s="274"/>
      <c r="V1051" s="38">
        <v>6108</v>
      </c>
      <c r="W1051" s="38">
        <f t="shared" si="149"/>
        <v>1343.76</v>
      </c>
      <c r="X1051" s="38">
        <f t="shared" si="150"/>
        <v>7451.76</v>
      </c>
    </row>
    <row r="1052" spans="1:24" ht="15" customHeight="1" x14ac:dyDescent="0.35">
      <c r="A1052" s="56"/>
      <c r="B1052" s="15"/>
      <c r="C1052" s="109"/>
      <c r="D1052" s="110"/>
      <c r="E1052" s="74"/>
      <c r="F1052" s="114"/>
      <c r="G1052" s="64"/>
      <c r="H1052" s="124"/>
      <c r="I1052" s="63"/>
      <c r="J1052" s="63"/>
      <c r="K1052" s="63"/>
      <c r="L1052" s="61"/>
      <c r="M1052" s="65"/>
      <c r="N1052" s="65"/>
      <c r="O1052" s="126">
        <f>SUM(O1049:O1051)</f>
        <v>1167222.26</v>
      </c>
      <c r="P1052" s="126">
        <f t="shared" ref="P1052:R1052" si="158">SUM(P1049:P1051)</f>
        <v>1094880</v>
      </c>
      <c r="Q1052" s="126">
        <f t="shared" si="158"/>
        <v>240873.60000000001</v>
      </c>
      <c r="R1052" s="126">
        <f t="shared" si="158"/>
        <v>1335753.6000000001</v>
      </c>
      <c r="S1052" s="72">
        <f>R1052/100*10</f>
        <v>133575.35999999999</v>
      </c>
      <c r="T1052" s="73">
        <v>46</v>
      </c>
      <c r="U1052" s="275"/>
      <c r="V1052" s="38"/>
      <c r="W1052" s="38"/>
      <c r="X1052" s="38"/>
    </row>
    <row r="1053" spans="1:24" ht="15" customHeight="1" x14ac:dyDescent="0.35">
      <c r="A1053" s="56" t="s">
        <v>3312</v>
      </c>
      <c r="B1053" s="2">
        <v>1003</v>
      </c>
      <c r="C1053" s="77">
        <v>10018378</v>
      </c>
      <c r="D1053" s="74" t="s">
        <v>1435</v>
      </c>
      <c r="E1053" s="59" t="s">
        <v>2167</v>
      </c>
      <c r="F1053" s="75">
        <v>2</v>
      </c>
      <c r="G1053" s="64" t="s">
        <v>0</v>
      </c>
      <c r="H1053" s="78">
        <v>41431</v>
      </c>
      <c r="I1053" s="4" t="s">
        <v>957</v>
      </c>
      <c r="J1053" s="63" t="s">
        <v>1917</v>
      </c>
      <c r="K1053" s="63" t="s">
        <v>961</v>
      </c>
      <c r="L1053" s="69" t="s">
        <v>950</v>
      </c>
      <c r="M1053" s="70">
        <f t="shared" si="154"/>
        <v>2960.13</v>
      </c>
      <c r="N1053" s="70">
        <f t="shared" ref="N1053:N1061" si="159">O1053/F1053</f>
        <v>1480.07</v>
      </c>
      <c r="O1053" s="70">
        <v>2960.13</v>
      </c>
      <c r="P1053" s="65">
        <v>4770</v>
      </c>
      <c r="Q1053" s="65">
        <f t="shared" si="147"/>
        <v>1049.4000000000001</v>
      </c>
      <c r="R1053" s="65">
        <f t="shared" si="148"/>
        <v>5819.4</v>
      </c>
      <c r="S1053" s="267"/>
      <c r="T1053" s="64">
        <v>47</v>
      </c>
      <c r="U1053" s="273" t="s">
        <v>2272</v>
      </c>
      <c r="V1053" s="38">
        <v>5476</v>
      </c>
      <c r="W1053" s="38">
        <f t="shared" si="149"/>
        <v>1204.72</v>
      </c>
      <c r="X1053" s="38">
        <f t="shared" si="150"/>
        <v>6680.72</v>
      </c>
    </row>
    <row r="1054" spans="1:24" ht="15" customHeight="1" x14ac:dyDescent="0.35">
      <c r="A1054" s="56" t="s">
        <v>3313</v>
      </c>
      <c r="B1054" s="2">
        <v>1004</v>
      </c>
      <c r="C1054" s="77">
        <v>10029939</v>
      </c>
      <c r="D1054" s="74" t="s">
        <v>1436</v>
      </c>
      <c r="E1054" s="59" t="s">
        <v>2167</v>
      </c>
      <c r="F1054" s="75">
        <v>5</v>
      </c>
      <c r="G1054" s="64" t="s">
        <v>0</v>
      </c>
      <c r="H1054" s="78">
        <v>39355</v>
      </c>
      <c r="I1054" s="4" t="s">
        <v>957</v>
      </c>
      <c r="J1054" s="63" t="s">
        <v>1917</v>
      </c>
      <c r="K1054" s="63" t="s">
        <v>961</v>
      </c>
      <c r="L1054" s="69" t="s">
        <v>950</v>
      </c>
      <c r="M1054" s="70">
        <f t="shared" si="154"/>
        <v>4130</v>
      </c>
      <c r="N1054" s="70">
        <f t="shared" si="159"/>
        <v>826</v>
      </c>
      <c r="O1054" s="70">
        <v>4130</v>
      </c>
      <c r="P1054" s="65">
        <v>9580</v>
      </c>
      <c r="Q1054" s="65">
        <f t="shared" si="147"/>
        <v>2107.6</v>
      </c>
      <c r="R1054" s="65">
        <f t="shared" si="148"/>
        <v>11687.6</v>
      </c>
      <c r="S1054" s="272"/>
      <c r="T1054" s="64">
        <v>47</v>
      </c>
      <c r="U1054" s="274"/>
      <c r="V1054" s="38">
        <v>11002</v>
      </c>
      <c r="W1054" s="38">
        <f t="shared" si="149"/>
        <v>2420.44</v>
      </c>
      <c r="X1054" s="38">
        <f t="shared" si="150"/>
        <v>13422.44</v>
      </c>
    </row>
    <row r="1055" spans="1:24" ht="15" customHeight="1" x14ac:dyDescent="0.35">
      <c r="A1055" s="56" t="s">
        <v>3314</v>
      </c>
      <c r="B1055" s="2">
        <v>1005</v>
      </c>
      <c r="C1055" s="77">
        <v>10028486</v>
      </c>
      <c r="D1055" s="74" t="s">
        <v>1437</v>
      </c>
      <c r="E1055" s="59" t="s">
        <v>2167</v>
      </c>
      <c r="F1055" s="75">
        <v>2</v>
      </c>
      <c r="G1055" s="64" t="s">
        <v>0</v>
      </c>
      <c r="H1055" s="78">
        <v>41431</v>
      </c>
      <c r="I1055" s="4" t="s">
        <v>957</v>
      </c>
      <c r="J1055" s="63" t="s">
        <v>1917</v>
      </c>
      <c r="K1055" s="63" t="s">
        <v>961</v>
      </c>
      <c r="L1055" s="69" t="s">
        <v>950</v>
      </c>
      <c r="M1055" s="70">
        <f t="shared" si="154"/>
        <v>5373.53</v>
      </c>
      <c r="N1055" s="70">
        <f t="shared" si="159"/>
        <v>2686.77</v>
      </c>
      <c r="O1055" s="70">
        <v>5373.53</v>
      </c>
      <c r="P1055" s="65">
        <v>8660</v>
      </c>
      <c r="Q1055" s="65">
        <f t="shared" si="147"/>
        <v>1905.2</v>
      </c>
      <c r="R1055" s="65">
        <f t="shared" si="148"/>
        <v>10565.2</v>
      </c>
      <c r="S1055" s="272"/>
      <c r="T1055" s="64">
        <v>47</v>
      </c>
      <c r="U1055" s="274"/>
      <c r="V1055" s="38">
        <v>9941</v>
      </c>
      <c r="W1055" s="38">
        <f t="shared" si="149"/>
        <v>2187.02</v>
      </c>
      <c r="X1055" s="38">
        <f t="shared" si="150"/>
        <v>12128.02</v>
      </c>
    </row>
    <row r="1056" spans="1:24" ht="15" customHeight="1" x14ac:dyDescent="0.35">
      <c r="A1056" s="56" t="s">
        <v>3315</v>
      </c>
      <c r="B1056" s="2">
        <v>1006</v>
      </c>
      <c r="C1056" s="77">
        <v>10005067</v>
      </c>
      <c r="D1056" s="74" t="s">
        <v>1438</v>
      </c>
      <c r="E1056" s="59" t="s">
        <v>2167</v>
      </c>
      <c r="F1056" s="75">
        <v>2</v>
      </c>
      <c r="G1056" s="64" t="s">
        <v>0</v>
      </c>
      <c r="H1056" s="78">
        <v>41431</v>
      </c>
      <c r="I1056" s="4" t="s">
        <v>957</v>
      </c>
      <c r="J1056" s="63" t="s">
        <v>1917</v>
      </c>
      <c r="K1056" s="63" t="s">
        <v>961</v>
      </c>
      <c r="L1056" s="69" t="s">
        <v>950</v>
      </c>
      <c r="M1056" s="70">
        <f t="shared" si="154"/>
        <v>2804.43</v>
      </c>
      <c r="N1056" s="70">
        <f t="shared" si="159"/>
        <v>1402.22</v>
      </c>
      <c r="O1056" s="70">
        <v>2804.43</v>
      </c>
      <c r="P1056" s="65">
        <v>4520</v>
      </c>
      <c r="Q1056" s="65">
        <f t="shared" si="147"/>
        <v>994.4</v>
      </c>
      <c r="R1056" s="65">
        <f t="shared" si="148"/>
        <v>5514.4</v>
      </c>
      <c r="S1056" s="272"/>
      <c r="T1056" s="64">
        <v>47</v>
      </c>
      <c r="U1056" s="274"/>
      <c r="V1056" s="38">
        <v>5188</v>
      </c>
      <c r="W1056" s="38">
        <f t="shared" si="149"/>
        <v>1141.3599999999999</v>
      </c>
      <c r="X1056" s="38">
        <f t="shared" si="150"/>
        <v>6329.36</v>
      </c>
    </row>
    <row r="1057" spans="1:24" ht="15" customHeight="1" x14ac:dyDescent="0.35">
      <c r="A1057" s="56" t="s">
        <v>3316</v>
      </c>
      <c r="B1057" s="2">
        <v>1007</v>
      </c>
      <c r="C1057" s="77">
        <v>10029828</v>
      </c>
      <c r="D1057" s="74" t="s">
        <v>1439</v>
      </c>
      <c r="E1057" s="59" t="s">
        <v>2167</v>
      </c>
      <c r="F1057" s="75">
        <v>2</v>
      </c>
      <c r="G1057" s="64" t="s">
        <v>0</v>
      </c>
      <c r="H1057" s="78">
        <v>41431</v>
      </c>
      <c r="I1057" s="4" t="s">
        <v>957</v>
      </c>
      <c r="J1057" s="63" t="s">
        <v>1917</v>
      </c>
      <c r="K1057" s="63" t="s">
        <v>961</v>
      </c>
      <c r="L1057" s="69" t="s">
        <v>950</v>
      </c>
      <c r="M1057" s="70">
        <f t="shared" si="154"/>
        <v>1440</v>
      </c>
      <c r="N1057" s="70">
        <f t="shared" si="159"/>
        <v>720</v>
      </c>
      <c r="O1057" s="70">
        <v>1440</v>
      </c>
      <c r="P1057" s="65">
        <v>2320</v>
      </c>
      <c r="Q1057" s="65">
        <f t="shared" si="147"/>
        <v>510.4</v>
      </c>
      <c r="R1057" s="65">
        <f t="shared" si="148"/>
        <v>2830.4</v>
      </c>
      <c r="S1057" s="272"/>
      <c r="T1057" s="64">
        <v>47</v>
      </c>
      <c r="U1057" s="274"/>
      <c r="V1057" s="38">
        <v>2664</v>
      </c>
      <c r="W1057" s="38">
        <f t="shared" si="149"/>
        <v>586.08000000000004</v>
      </c>
      <c r="X1057" s="38">
        <f t="shared" si="150"/>
        <v>3250.08</v>
      </c>
    </row>
    <row r="1058" spans="1:24" ht="15" customHeight="1" x14ac:dyDescent="0.35">
      <c r="A1058" s="56" t="s">
        <v>3317</v>
      </c>
      <c r="B1058" s="2">
        <v>1008</v>
      </c>
      <c r="C1058" s="77">
        <v>10018379</v>
      </c>
      <c r="D1058" s="74" t="s">
        <v>1440</v>
      </c>
      <c r="E1058" s="59" t="s">
        <v>2167</v>
      </c>
      <c r="F1058" s="75">
        <v>2</v>
      </c>
      <c r="G1058" s="64" t="s">
        <v>0</v>
      </c>
      <c r="H1058" s="78">
        <v>41431</v>
      </c>
      <c r="I1058" s="4" t="s">
        <v>957</v>
      </c>
      <c r="J1058" s="63" t="s">
        <v>1917</v>
      </c>
      <c r="K1058" s="63" t="s">
        <v>961</v>
      </c>
      <c r="L1058" s="69" t="s">
        <v>950</v>
      </c>
      <c r="M1058" s="70">
        <f t="shared" si="154"/>
        <v>1866.06</v>
      </c>
      <c r="N1058" s="70">
        <f t="shared" si="159"/>
        <v>933.03</v>
      </c>
      <c r="O1058" s="70">
        <v>1866.06</v>
      </c>
      <c r="P1058" s="65">
        <v>3010</v>
      </c>
      <c r="Q1058" s="65">
        <f t="shared" si="147"/>
        <v>662.2</v>
      </c>
      <c r="R1058" s="65">
        <f t="shared" si="148"/>
        <v>3672.2</v>
      </c>
      <c r="S1058" s="272"/>
      <c r="T1058" s="64">
        <v>47</v>
      </c>
      <c r="U1058" s="274"/>
      <c r="V1058" s="38">
        <v>3452</v>
      </c>
      <c r="W1058" s="38">
        <f t="shared" si="149"/>
        <v>759.44</v>
      </c>
      <c r="X1058" s="38">
        <f t="shared" si="150"/>
        <v>4211.4399999999996</v>
      </c>
    </row>
    <row r="1059" spans="1:24" ht="15" customHeight="1" x14ac:dyDescent="0.35">
      <c r="A1059" s="56" t="s">
        <v>3318</v>
      </c>
      <c r="B1059" s="2">
        <v>1009</v>
      </c>
      <c r="C1059" s="77">
        <v>10051448</v>
      </c>
      <c r="D1059" s="74" t="s">
        <v>1441</v>
      </c>
      <c r="E1059" s="59" t="s">
        <v>2167</v>
      </c>
      <c r="F1059" s="75">
        <v>2</v>
      </c>
      <c r="G1059" s="64" t="s">
        <v>0</v>
      </c>
      <c r="H1059" s="78">
        <v>39967</v>
      </c>
      <c r="I1059" s="4" t="s">
        <v>957</v>
      </c>
      <c r="J1059" s="63" t="s">
        <v>1917</v>
      </c>
      <c r="K1059" s="63" t="s">
        <v>961</v>
      </c>
      <c r="L1059" s="69" t="s">
        <v>950</v>
      </c>
      <c r="M1059" s="70">
        <f t="shared" si="154"/>
        <v>6474</v>
      </c>
      <c r="N1059" s="70">
        <f t="shared" si="159"/>
        <v>3237</v>
      </c>
      <c r="O1059" s="70">
        <v>6474</v>
      </c>
      <c r="P1059" s="65">
        <v>13940</v>
      </c>
      <c r="Q1059" s="65">
        <f t="shared" si="147"/>
        <v>3066.8</v>
      </c>
      <c r="R1059" s="65">
        <f t="shared" si="148"/>
        <v>17006.8</v>
      </c>
      <c r="S1059" s="272"/>
      <c r="T1059" s="64">
        <v>47</v>
      </c>
      <c r="U1059" s="274"/>
      <c r="V1059" s="38">
        <v>16001</v>
      </c>
      <c r="W1059" s="38">
        <f t="shared" si="149"/>
        <v>3520.22</v>
      </c>
      <c r="X1059" s="38">
        <f t="shared" si="150"/>
        <v>19521.22</v>
      </c>
    </row>
    <row r="1060" spans="1:24" ht="15" customHeight="1" x14ac:dyDescent="0.35">
      <c r="A1060" s="56" t="s">
        <v>3319</v>
      </c>
      <c r="B1060" s="2">
        <v>1010</v>
      </c>
      <c r="C1060" s="77">
        <v>10028730</v>
      </c>
      <c r="D1060" s="74" t="s">
        <v>1442</v>
      </c>
      <c r="E1060" s="59" t="s">
        <v>2167</v>
      </c>
      <c r="F1060" s="75">
        <v>2</v>
      </c>
      <c r="G1060" s="64" t="s">
        <v>0</v>
      </c>
      <c r="H1060" s="78">
        <v>41431</v>
      </c>
      <c r="I1060" s="4" t="s">
        <v>957</v>
      </c>
      <c r="J1060" s="63" t="s">
        <v>1917</v>
      </c>
      <c r="K1060" s="63" t="s">
        <v>961</v>
      </c>
      <c r="L1060" s="69" t="s">
        <v>950</v>
      </c>
      <c r="M1060" s="70">
        <f t="shared" si="154"/>
        <v>7537.34</v>
      </c>
      <c r="N1060" s="70">
        <f t="shared" si="159"/>
        <v>3768.67</v>
      </c>
      <c r="O1060" s="70">
        <v>7537.34</v>
      </c>
      <c r="P1060" s="65">
        <v>12150</v>
      </c>
      <c r="Q1060" s="65">
        <f t="shared" si="147"/>
        <v>2673</v>
      </c>
      <c r="R1060" s="65">
        <f t="shared" si="148"/>
        <v>14823</v>
      </c>
      <c r="S1060" s="272"/>
      <c r="T1060" s="64">
        <v>47</v>
      </c>
      <c r="U1060" s="274"/>
      <c r="V1060" s="38">
        <v>13944</v>
      </c>
      <c r="W1060" s="38">
        <f t="shared" si="149"/>
        <v>3067.68</v>
      </c>
      <c r="X1060" s="38">
        <f t="shared" si="150"/>
        <v>17011.68</v>
      </c>
    </row>
    <row r="1061" spans="1:24" ht="15" customHeight="1" x14ac:dyDescent="0.35">
      <c r="A1061" s="56" t="s">
        <v>3320</v>
      </c>
      <c r="B1061" s="2">
        <v>1011</v>
      </c>
      <c r="C1061" s="77">
        <v>10124188</v>
      </c>
      <c r="D1061" s="74" t="s">
        <v>1443</v>
      </c>
      <c r="E1061" s="59" t="s">
        <v>2167</v>
      </c>
      <c r="F1061" s="75">
        <v>1</v>
      </c>
      <c r="G1061" s="64" t="s">
        <v>0</v>
      </c>
      <c r="H1061" s="78">
        <v>41431</v>
      </c>
      <c r="I1061" s="4" t="s">
        <v>957</v>
      </c>
      <c r="J1061" s="63" t="s">
        <v>1917</v>
      </c>
      <c r="K1061" s="63" t="s">
        <v>961</v>
      </c>
      <c r="L1061" s="69" t="s">
        <v>950</v>
      </c>
      <c r="M1061" s="70">
        <f t="shared" si="154"/>
        <v>2887.32</v>
      </c>
      <c r="N1061" s="70">
        <f t="shared" si="159"/>
        <v>2887.32</v>
      </c>
      <c r="O1061" s="70">
        <v>2887.32</v>
      </c>
      <c r="P1061" s="65">
        <v>4650</v>
      </c>
      <c r="Q1061" s="65">
        <f t="shared" si="147"/>
        <v>1023</v>
      </c>
      <c r="R1061" s="65">
        <f t="shared" si="148"/>
        <v>5673</v>
      </c>
      <c r="S1061" s="272"/>
      <c r="T1061" s="64">
        <v>47</v>
      </c>
      <c r="U1061" s="274"/>
      <c r="V1061" s="38">
        <v>5342</v>
      </c>
      <c r="W1061" s="38">
        <f t="shared" si="149"/>
        <v>1175.24</v>
      </c>
      <c r="X1061" s="38">
        <f t="shared" si="150"/>
        <v>6517.24</v>
      </c>
    </row>
    <row r="1062" spans="1:24" ht="15" customHeight="1" x14ac:dyDescent="0.35">
      <c r="A1062" s="56" t="s">
        <v>3321</v>
      </c>
      <c r="B1062" s="2">
        <v>1012</v>
      </c>
      <c r="C1062" s="77">
        <v>10040668</v>
      </c>
      <c r="D1062" s="74" t="s">
        <v>1529</v>
      </c>
      <c r="E1062" s="59" t="s">
        <v>2167</v>
      </c>
      <c r="F1062" s="75">
        <v>6</v>
      </c>
      <c r="G1062" s="64" t="s">
        <v>0</v>
      </c>
      <c r="H1062" s="78">
        <v>41431</v>
      </c>
      <c r="I1062" s="4" t="s">
        <v>957</v>
      </c>
      <c r="J1062" s="63" t="s">
        <v>1917</v>
      </c>
      <c r="K1062" s="63" t="s">
        <v>961</v>
      </c>
      <c r="L1062" s="69" t="s">
        <v>950</v>
      </c>
      <c r="M1062" s="70">
        <v>337.98</v>
      </c>
      <c r="N1062" s="70">
        <v>56.33</v>
      </c>
      <c r="O1062" s="70">
        <v>337.98</v>
      </c>
      <c r="P1062" s="65">
        <v>530</v>
      </c>
      <c r="Q1062" s="65">
        <f t="shared" si="147"/>
        <v>116.6</v>
      </c>
      <c r="R1062" s="65">
        <f t="shared" si="148"/>
        <v>646.6</v>
      </c>
      <c r="S1062" s="272"/>
      <c r="T1062" s="64">
        <v>47</v>
      </c>
      <c r="U1062" s="274"/>
      <c r="V1062" s="38">
        <v>611</v>
      </c>
      <c r="W1062" s="38">
        <f t="shared" si="149"/>
        <v>134.41999999999999</v>
      </c>
      <c r="X1062" s="38">
        <f t="shared" si="150"/>
        <v>745.42</v>
      </c>
    </row>
    <row r="1063" spans="1:24" ht="15" customHeight="1" x14ac:dyDescent="0.35">
      <c r="A1063" s="56" t="s">
        <v>3322</v>
      </c>
      <c r="B1063" s="2">
        <v>1013</v>
      </c>
      <c r="C1063" s="77">
        <v>10128517</v>
      </c>
      <c r="D1063" s="74" t="s">
        <v>1550</v>
      </c>
      <c r="E1063" s="59" t="s">
        <v>2167</v>
      </c>
      <c r="F1063" s="75">
        <v>48</v>
      </c>
      <c r="G1063" s="64" t="s">
        <v>17</v>
      </c>
      <c r="H1063" s="78">
        <v>41431</v>
      </c>
      <c r="I1063" s="4" t="s">
        <v>957</v>
      </c>
      <c r="J1063" s="63" t="s">
        <v>1917</v>
      </c>
      <c r="K1063" s="63" t="s">
        <v>961</v>
      </c>
      <c r="L1063" s="69" t="s">
        <v>950</v>
      </c>
      <c r="M1063" s="70">
        <f t="shared" ref="M1063:M1129" si="160">O1063</f>
        <v>8413.44</v>
      </c>
      <c r="N1063" s="70">
        <f t="shared" ref="N1063:N1125" si="161">O1063/F1063</f>
        <v>175.28</v>
      </c>
      <c r="O1063" s="70">
        <v>8413.44</v>
      </c>
      <c r="P1063" s="65">
        <v>13250</v>
      </c>
      <c r="Q1063" s="65">
        <f t="shared" si="147"/>
        <v>2915</v>
      </c>
      <c r="R1063" s="65">
        <f t="shared" si="148"/>
        <v>16165</v>
      </c>
      <c r="S1063" s="272"/>
      <c r="T1063" s="64">
        <v>47</v>
      </c>
      <c r="U1063" s="274"/>
      <c r="V1063" s="38">
        <v>15215</v>
      </c>
      <c r="W1063" s="38">
        <f t="shared" si="149"/>
        <v>3347.3</v>
      </c>
      <c r="X1063" s="38">
        <f t="shared" si="150"/>
        <v>18562.3</v>
      </c>
    </row>
    <row r="1064" spans="1:24" ht="15.75" customHeight="1" x14ac:dyDescent="0.35">
      <c r="A1064" s="56" t="s">
        <v>3323</v>
      </c>
      <c r="B1064" s="2">
        <v>1014</v>
      </c>
      <c r="C1064" s="77">
        <v>10125588</v>
      </c>
      <c r="D1064" s="74" t="s">
        <v>1551</v>
      </c>
      <c r="E1064" s="74" t="s">
        <v>2167</v>
      </c>
      <c r="F1064" s="75">
        <f>16-10</f>
        <v>6</v>
      </c>
      <c r="G1064" s="64" t="s">
        <v>17</v>
      </c>
      <c r="H1064" s="78">
        <v>40855</v>
      </c>
      <c r="I1064" s="4" t="s">
        <v>957</v>
      </c>
      <c r="J1064" s="63" t="s">
        <v>1917</v>
      </c>
      <c r="K1064" s="63" t="s">
        <v>961</v>
      </c>
      <c r="L1064" s="69" t="s">
        <v>950</v>
      </c>
      <c r="M1064" s="144">
        <f t="shared" si="160"/>
        <v>2036.34</v>
      </c>
      <c r="N1064" s="144">
        <f t="shared" si="161"/>
        <v>339.39</v>
      </c>
      <c r="O1064" s="70">
        <f>5430.24/16*6</f>
        <v>2036.34</v>
      </c>
      <c r="P1064" s="65">
        <v>3150</v>
      </c>
      <c r="Q1064" s="65">
        <f t="shared" si="147"/>
        <v>693</v>
      </c>
      <c r="R1064" s="65">
        <f t="shared" si="148"/>
        <v>3843</v>
      </c>
      <c r="S1064" s="272"/>
      <c r="T1064" s="64">
        <v>47</v>
      </c>
      <c r="U1064" s="274"/>
      <c r="V1064" s="38">
        <v>3614</v>
      </c>
      <c r="W1064" s="38">
        <f t="shared" si="149"/>
        <v>795.08</v>
      </c>
      <c r="X1064" s="38">
        <f t="shared" si="150"/>
        <v>4409.08</v>
      </c>
    </row>
    <row r="1065" spans="1:24" ht="19.5" customHeight="1" x14ac:dyDescent="0.35">
      <c r="A1065" s="56" t="s">
        <v>3324</v>
      </c>
      <c r="B1065" s="2">
        <v>1015</v>
      </c>
      <c r="C1065" s="77">
        <v>10031341</v>
      </c>
      <c r="D1065" s="74" t="s">
        <v>1552</v>
      </c>
      <c r="E1065" s="74" t="s">
        <v>2167</v>
      </c>
      <c r="F1065" s="75">
        <v>23</v>
      </c>
      <c r="G1065" s="64" t="s">
        <v>0</v>
      </c>
      <c r="H1065" s="78">
        <v>41375</v>
      </c>
      <c r="I1065" s="4" t="s">
        <v>957</v>
      </c>
      <c r="J1065" s="63" t="s">
        <v>1917</v>
      </c>
      <c r="K1065" s="63" t="s">
        <v>961</v>
      </c>
      <c r="L1065" s="69" t="s">
        <v>950</v>
      </c>
      <c r="M1065" s="70">
        <f t="shared" si="160"/>
        <v>15125.42</v>
      </c>
      <c r="N1065" s="70">
        <f t="shared" si="161"/>
        <v>657.63</v>
      </c>
      <c r="O1065" s="70">
        <v>15125.42</v>
      </c>
      <c r="P1065" s="65">
        <v>23910</v>
      </c>
      <c r="Q1065" s="65">
        <f t="shared" si="147"/>
        <v>5260.2</v>
      </c>
      <c r="R1065" s="65">
        <f t="shared" si="148"/>
        <v>29170.2</v>
      </c>
      <c r="S1065" s="272"/>
      <c r="T1065" s="64">
        <v>47</v>
      </c>
      <c r="U1065" s="274"/>
      <c r="V1065" s="38">
        <v>27453</v>
      </c>
      <c r="W1065" s="38">
        <f t="shared" si="149"/>
        <v>6039.66</v>
      </c>
      <c r="X1065" s="38">
        <f t="shared" si="150"/>
        <v>33492.660000000003</v>
      </c>
    </row>
    <row r="1066" spans="1:24" ht="33" customHeight="1" x14ac:dyDescent="0.35">
      <c r="A1066" s="56" t="s">
        <v>3325</v>
      </c>
      <c r="B1066" s="2">
        <v>1016</v>
      </c>
      <c r="C1066" s="77">
        <v>10004854</v>
      </c>
      <c r="D1066" s="74" t="s">
        <v>1553</v>
      </c>
      <c r="E1066" s="74" t="s">
        <v>2167</v>
      </c>
      <c r="F1066" s="75">
        <v>13</v>
      </c>
      <c r="G1066" s="64" t="s">
        <v>0</v>
      </c>
      <c r="H1066" s="78">
        <v>41479</v>
      </c>
      <c r="I1066" s="4" t="s">
        <v>957</v>
      </c>
      <c r="J1066" s="63" t="s">
        <v>1917</v>
      </c>
      <c r="K1066" s="63" t="s">
        <v>961</v>
      </c>
      <c r="L1066" s="69" t="s">
        <v>950</v>
      </c>
      <c r="M1066" s="70">
        <f t="shared" si="160"/>
        <v>17138.43</v>
      </c>
      <c r="N1066" s="70">
        <f t="shared" si="161"/>
        <v>1318.34</v>
      </c>
      <c r="O1066" s="70">
        <v>17138.43</v>
      </c>
      <c r="P1066" s="65">
        <v>26770</v>
      </c>
      <c r="Q1066" s="65">
        <f t="shared" si="147"/>
        <v>5889.4</v>
      </c>
      <c r="R1066" s="65">
        <f t="shared" si="148"/>
        <v>32659.4</v>
      </c>
      <c r="S1066" s="272"/>
      <c r="T1066" s="64">
        <v>47</v>
      </c>
      <c r="U1066" s="274"/>
      <c r="V1066" s="38">
        <v>30738</v>
      </c>
      <c r="W1066" s="38">
        <f t="shared" si="149"/>
        <v>6762.36</v>
      </c>
      <c r="X1066" s="38">
        <f t="shared" si="150"/>
        <v>37500.36</v>
      </c>
    </row>
    <row r="1067" spans="1:24" ht="15" customHeight="1" x14ac:dyDescent="0.35">
      <c r="A1067" s="56" t="s">
        <v>3326</v>
      </c>
      <c r="B1067" s="2">
        <v>1017</v>
      </c>
      <c r="C1067" s="77">
        <v>10004856</v>
      </c>
      <c r="D1067" s="74" t="s">
        <v>1554</v>
      </c>
      <c r="E1067" s="74" t="s">
        <v>2167</v>
      </c>
      <c r="F1067" s="75">
        <v>21</v>
      </c>
      <c r="G1067" s="64" t="s">
        <v>0</v>
      </c>
      <c r="H1067" s="78">
        <v>41479</v>
      </c>
      <c r="I1067" s="4" t="s">
        <v>957</v>
      </c>
      <c r="J1067" s="63" t="s">
        <v>1917</v>
      </c>
      <c r="K1067" s="63" t="s">
        <v>961</v>
      </c>
      <c r="L1067" s="69" t="s">
        <v>950</v>
      </c>
      <c r="M1067" s="70">
        <f t="shared" si="160"/>
        <v>41377.980000000003</v>
      </c>
      <c r="N1067" s="70">
        <f t="shared" si="161"/>
        <v>1970.38</v>
      </c>
      <c r="O1067" s="70">
        <v>41377.980000000003</v>
      </c>
      <c r="P1067" s="65">
        <v>64640</v>
      </c>
      <c r="Q1067" s="65">
        <f t="shared" si="147"/>
        <v>14220.8</v>
      </c>
      <c r="R1067" s="65">
        <f t="shared" si="148"/>
        <v>78860.800000000003</v>
      </c>
      <c r="S1067" s="272"/>
      <c r="T1067" s="64">
        <v>47</v>
      </c>
      <c r="U1067" s="274"/>
      <c r="V1067" s="38">
        <v>74213</v>
      </c>
      <c r="W1067" s="38">
        <f t="shared" si="149"/>
        <v>16326.86</v>
      </c>
      <c r="X1067" s="38">
        <f t="shared" si="150"/>
        <v>90539.86</v>
      </c>
    </row>
    <row r="1068" spans="1:24" ht="30" customHeight="1" x14ac:dyDescent="0.35">
      <c r="A1068" s="56" t="s">
        <v>3327</v>
      </c>
      <c r="B1068" s="2">
        <v>1018</v>
      </c>
      <c r="C1068" s="77">
        <v>10036267</v>
      </c>
      <c r="D1068" s="74" t="s">
        <v>1561</v>
      </c>
      <c r="E1068" s="74" t="s">
        <v>2167</v>
      </c>
      <c r="F1068" s="75">
        <f>560-25</f>
        <v>535</v>
      </c>
      <c r="G1068" s="64" t="s">
        <v>0</v>
      </c>
      <c r="H1068" s="78">
        <v>41375</v>
      </c>
      <c r="I1068" s="4" t="s">
        <v>957</v>
      </c>
      <c r="J1068" s="63" t="s">
        <v>1917</v>
      </c>
      <c r="K1068" s="63" t="s">
        <v>961</v>
      </c>
      <c r="L1068" s="69" t="s">
        <v>950</v>
      </c>
      <c r="M1068" s="70">
        <f t="shared" si="160"/>
        <v>242938.15</v>
      </c>
      <c r="N1068" s="70">
        <f t="shared" si="161"/>
        <v>454.09</v>
      </c>
      <c r="O1068" s="70">
        <f>254290.4/560*535</f>
        <v>242938.15</v>
      </c>
      <c r="P1068" s="65">
        <v>384060</v>
      </c>
      <c r="Q1068" s="65">
        <f t="shared" si="147"/>
        <v>84493.2</v>
      </c>
      <c r="R1068" s="65">
        <f t="shared" si="148"/>
        <v>468553.2</v>
      </c>
      <c r="S1068" s="272"/>
      <c r="T1068" s="64">
        <v>47</v>
      </c>
      <c r="U1068" s="274"/>
      <c r="V1068" s="38">
        <v>440946</v>
      </c>
      <c r="W1068" s="38">
        <f t="shared" si="149"/>
        <v>97008.12</v>
      </c>
      <c r="X1068" s="38">
        <f t="shared" si="150"/>
        <v>537954.12</v>
      </c>
    </row>
    <row r="1069" spans="1:24" ht="30" customHeight="1" x14ac:dyDescent="0.35">
      <c r="A1069" s="56" t="s">
        <v>3328</v>
      </c>
      <c r="B1069" s="2">
        <v>1019</v>
      </c>
      <c r="C1069" s="77">
        <v>10112728</v>
      </c>
      <c r="D1069" s="74" t="s">
        <v>1562</v>
      </c>
      <c r="E1069" s="74" t="s">
        <v>2167</v>
      </c>
      <c r="F1069" s="75">
        <f>16-10</f>
        <v>6</v>
      </c>
      <c r="G1069" s="64" t="s">
        <v>0</v>
      </c>
      <c r="H1069" s="78">
        <v>42272</v>
      </c>
      <c r="I1069" s="4" t="s">
        <v>957</v>
      </c>
      <c r="J1069" s="63" t="s">
        <v>1917</v>
      </c>
      <c r="K1069" s="63" t="s">
        <v>961</v>
      </c>
      <c r="L1069" s="69" t="s">
        <v>950</v>
      </c>
      <c r="M1069" s="70">
        <f t="shared" si="160"/>
        <v>3010.7</v>
      </c>
      <c r="N1069" s="70">
        <f t="shared" si="161"/>
        <v>501.78</v>
      </c>
      <c r="O1069" s="70">
        <v>3010.7</v>
      </c>
      <c r="P1069" s="65">
        <v>4080</v>
      </c>
      <c r="Q1069" s="65">
        <f t="shared" si="147"/>
        <v>897.6</v>
      </c>
      <c r="R1069" s="65">
        <f t="shared" si="148"/>
        <v>4977.6000000000004</v>
      </c>
      <c r="S1069" s="272"/>
      <c r="T1069" s="64">
        <v>47</v>
      </c>
      <c r="U1069" s="274"/>
      <c r="V1069" s="38">
        <v>4680</v>
      </c>
      <c r="W1069" s="38">
        <f t="shared" si="149"/>
        <v>1029.5999999999999</v>
      </c>
      <c r="X1069" s="38">
        <f t="shared" si="150"/>
        <v>5709.6</v>
      </c>
    </row>
    <row r="1070" spans="1:24" ht="30" customHeight="1" x14ac:dyDescent="0.35">
      <c r="A1070" s="56" t="s">
        <v>3329</v>
      </c>
      <c r="B1070" s="2">
        <v>1020</v>
      </c>
      <c r="C1070" s="77">
        <v>10102350</v>
      </c>
      <c r="D1070" s="74" t="s">
        <v>1563</v>
      </c>
      <c r="E1070" s="74" t="s">
        <v>2167</v>
      </c>
      <c r="F1070" s="75">
        <v>2</v>
      </c>
      <c r="G1070" s="64" t="s">
        <v>0</v>
      </c>
      <c r="H1070" s="78">
        <v>41479</v>
      </c>
      <c r="I1070" s="4" t="s">
        <v>957</v>
      </c>
      <c r="J1070" s="63" t="s">
        <v>1917</v>
      </c>
      <c r="K1070" s="63" t="s">
        <v>961</v>
      </c>
      <c r="L1070" s="69" t="s">
        <v>950</v>
      </c>
      <c r="M1070" s="70">
        <f t="shared" si="160"/>
        <v>137.96</v>
      </c>
      <c r="N1070" s="70">
        <f t="shared" si="161"/>
        <v>68.98</v>
      </c>
      <c r="O1070" s="70">
        <v>137.96</v>
      </c>
      <c r="P1070" s="65">
        <v>220</v>
      </c>
      <c r="Q1070" s="65">
        <f t="shared" si="147"/>
        <v>48.4</v>
      </c>
      <c r="R1070" s="65">
        <f t="shared" si="148"/>
        <v>268.39999999999998</v>
      </c>
      <c r="S1070" s="272"/>
      <c r="T1070" s="64">
        <v>47</v>
      </c>
      <c r="U1070" s="274"/>
      <c r="V1070" s="38">
        <v>247</v>
      </c>
      <c r="W1070" s="38">
        <f t="shared" si="149"/>
        <v>54.34</v>
      </c>
      <c r="X1070" s="38">
        <f t="shared" si="150"/>
        <v>301.33999999999997</v>
      </c>
    </row>
    <row r="1071" spans="1:24" ht="15" customHeight="1" x14ac:dyDescent="0.35">
      <c r="A1071" s="56" t="s">
        <v>3330</v>
      </c>
      <c r="B1071" s="2">
        <v>1021</v>
      </c>
      <c r="C1071" s="77">
        <v>10041166</v>
      </c>
      <c r="D1071" s="74" t="s">
        <v>1564</v>
      </c>
      <c r="E1071" s="74" t="s">
        <v>2167</v>
      </c>
      <c r="F1071" s="75">
        <v>19</v>
      </c>
      <c r="G1071" s="64" t="s">
        <v>0</v>
      </c>
      <c r="H1071" s="78">
        <v>40544</v>
      </c>
      <c r="I1071" s="4" t="s">
        <v>957</v>
      </c>
      <c r="J1071" s="63" t="s">
        <v>1917</v>
      </c>
      <c r="K1071" s="63" t="s">
        <v>961</v>
      </c>
      <c r="L1071" s="69" t="s">
        <v>950</v>
      </c>
      <c r="M1071" s="70">
        <f t="shared" si="160"/>
        <v>1980.49</v>
      </c>
      <c r="N1071" s="70">
        <f t="shared" si="161"/>
        <v>104.24</v>
      </c>
      <c r="O1071" s="70">
        <v>1980.49</v>
      </c>
      <c r="P1071" s="65">
        <v>3230</v>
      </c>
      <c r="Q1071" s="65">
        <f t="shared" si="147"/>
        <v>710.6</v>
      </c>
      <c r="R1071" s="65">
        <f t="shared" si="148"/>
        <v>3940.6</v>
      </c>
      <c r="S1071" s="272"/>
      <c r="T1071" s="64">
        <v>47</v>
      </c>
      <c r="U1071" s="274"/>
      <c r="V1071" s="38">
        <v>3709</v>
      </c>
      <c r="W1071" s="38">
        <f t="shared" si="149"/>
        <v>815.98</v>
      </c>
      <c r="X1071" s="38">
        <f t="shared" si="150"/>
        <v>4524.9799999999996</v>
      </c>
    </row>
    <row r="1072" spans="1:24" ht="30" customHeight="1" x14ac:dyDescent="0.35">
      <c r="A1072" s="56" t="s">
        <v>3331</v>
      </c>
      <c r="B1072" s="2">
        <v>1022</v>
      </c>
      <c r="C1072" s="77">
        <v>10041176</v>
      </c>
      <c r="D1072" s="74" t="s">
        <v>1565</v>
      </c>
      <c r="E1072" s="74" t="s">
        <v>2167</v>
      </c>
      <c r="F1072" s="75">
        <v>9</v>
      </c>
      <c r="G1072" s="64" t="s">
        <v>0</v>
      </c>
      <c r="H1072" s="78">
        <v>41479</v>
      </c>
      <c r="I1072" s="4" t="s">
        <v>957</v>
      </c>
      <c r="J1072" s="63" t="s">
        <v>1917</v>
      </c>
      <c r="K1072" s="63" t="s">
        <v>961</v>
      </c>
      <c r="L1072" s="69" t="s">
        <v>950</v>
      </c>
      <c r="M1072" s="70">
        <f t="shared" si="160"/>
        <v>740.75</v>
      </c>
      <c r="N1072" s="70">
        <f t="shared" si="161"/>
        <v>82.31</v>
      </c>
      <c r="O1072" s="70">
        <v>740.75</v>
      </c>
      <c r="P1072" s="65">
        <v>1160</v>
      </c>
      <c r="Q1072" s="65">
        <f t="shared" si="147"/>
        <v>255.2</v>
      </c>
      <c r="R1072" s="65">
        <f t="shared" si="148"/>
        <v>1415.2</v>
      </c>
      <c r="S1072" s="272"/>
      <c r="T1072" s="64">
        <v>47</v>
      </c>
      <c r="U1072" s="274"/>
      <c r="V1072" s="38">
        <v>1329</v>
      </c>
      <c r="W1072" s="38">
        <f t="shared" si="149"/>
        <v>292.38</v>
      </c>
      <c r="X1072" s="38">
        <f t="shared" si="150"/>
        <v>1621.38</v>
      </c>
    </row>
    <row r="1073" spans="1:24" ht="15" customHeight="1" x14ac:dyDescent="0.35">
      <c r="A1073" s="56" t="s">
        <v>3332</v>
      </c>
      <c r="B1073" s="2">
        <v>1023</v>
      </c>
      <c r="C1073" s="77">
        <v>10041175</v>
      </c>
      <c r="D1073" s="74" t="s">
        <v>1566</v>
      </c>
      <c r="E1073" s="74" t="s">
        <v>2167</v>
      </c>
      <c r="F1073" s="75">
        <v>9</v>
      </c>
      <c r="G1073" s="64" t="s">
        <v>0</v>
      </c>
      <c r="H1073" s="78">
        <v>41479</v>
      </c>
      <c r="I1073" s="4" t="s">
        <v>957</v>
      </c>
      <c r="J1073" s="63" t="s">
        <v>1917</v>
      </c>
      <c r="K1073" s="63" t="s">
        <v>961</v>
      </c>
      <c r="L1073" s="69" t="s">
        <v>950</v>
      </c>
      <c r="M1073" s="70">
        <f t="shared" si="160"/>
        <v>750.61</v>
      </c>
      <c r="N1073" s="70">
        <f t="shared" si="161"/>
        <v>83.4</v>
      </c>
      <c r="O1073" s="70">
        <v>750.61</v>
      </c>
      <c r="P1073" s="65">
        <v>1170</v>
      </c>
      <c r="Q1073" s="65">
        <f t="shared" si="147"/>
        <v>257.39999999999998</v>
      </c>
      <c r="R1073" s="65">
        <f t="shared" si="148"/>
        <v>1427.4</v>
      </c>
      <c r="S1073" s="272"/>
      <c r="T1073" s="64">
        <v>47</v>
      </c>
      <c r="U1073" s="274"/>
      <c r="V1073" s="38">
        <v>1346</v>
      </c>
      <c r="W1073" s="38">
        <f t="shared" si="149"/>
        <v>296.12</v>
      </c>
      <c r="X1073" s="38">
        <f t="shared" si="150"/>
        <v>1642.12</v>
      </c>
    </row>
    <row r="1074" spans="1:24" ht="15" customHeight="1" x14ac:dyDescent="0.35">
      <c r="A1074" s="56" t="s">
        <v>3333</v>
      </c>
      <c r="B1074" s="2">
        <v>1024</v>
      </c>
      <c r="C1074" s="77">
        <v>10121299</v>
      </c>
      <c r="D1074" s="74" t="s">
        <v>1567</v>
      </c>
      <c r="E1074" s="74" t="s">
        <v>2167</v>
      </c>
      <c r="F1074" s="75">
        <v>5</v>
      </c>
      <c r="G1074" s="64" t="s">
        <v>0</v>
      </c>
      <c r="H1074" s="78">
        <v>41310</v>
      </c>
      <c r="I1074" s="4" t="s">
        <v>957</v>
      </c>
      <c r="J1074" s="63" t="s">
        <v>1917</v>
      </c>
      <c r="K1074" s="63" t="s">
        <v>961</v>
      </c>
      <c r="L1074" s="69" t="s">
        <v>950</v>
      </c>
      <c r="M1074" s="70">
        <f t="shared" si="160"/>
        <v>375.65</v>
      </c>
      <c r="N1074" s="70">
        <f t="shared" si="161"/>
        <v>75.13</v>
      </c>
      <c r="O1074" s="70">
        <v>375.65</v>
      </c>
      <c r="P1074" s="65">
        <v>590</v>
      </c>
      <c r="Q1074" s="65">
        <f t="shared" si="147"/>
        <v>129.80000000000001</v>
      </c>
      <c r="R1074" s="65">
        <f t="shared" si="148"/>
        <v>719.8</v>
      </c>
      <c r="S1074" s="272"/>
      <c r="T1074" s="64">
        <v>47</v>
      </c>
      <c r="U1074" s="274"/>
      <c r="V1074" s="38">
        <v>677</v>
      </c>
      <c r="W1074" s="38">
        <f t="shared" si="149"/>
        <v>148.94</v>
      </c>
      <c r="X1074" s="38">
        <f t="shared" si="150"/>
        <v>825.94</v>
      </c>
    </row>
    <row r="1075" spans="1:24" ht="15" customHeight="1" x14ac:dyDescent="0.35">
      <c r="A1075" s="56" t="s">
        <v>3334</v>
      </c>
      <c r="B1075" s="2">
        <v>1025</v>
      </c>
      <c r="C1075" s="77">
        <v>10041173</v>
      </c>
      <c r="D1075" s="74" t="s">
        <v>1568</v>
      </c>
      <c r="E1075" s="74" t="s">
        <v>2167</v>
      </c>
      <c r="F1075" s="75">
        <v>24</v>
      </c>
      <c r="G1075" s="64" t="s">
        <v>0</v>
      </c>
      <c r="H1075" s="78">
        <v>40863</v>
      </c>
      <c r="I1075" s="4" t="s">
        <v>957</v>
      </c>
      <c r="J1075" s="63" t="s">
        <v>1917</v>
      </c>
      <c r="K1075" s="63" t="s">
        <v>961</v>
      </c>
      <c r="L1075" s="69" t="s">
        <v>950</v>
      </c>
      <c r="M1075" s="70">
        <f t="shared" si="160"/>
        <v>2100.84</v>
      </c>
      <c r="N1075" s="70">
        <f t="shared" si="161"/>
        <v>87.54</v>
      </c>
      <c r="O1075" s="70">
        <v>2100.84</v>
      </c>
      <c r="P1075" s="65">
        <v>3250</v>
      </c>
      <c r="Q1075" s="65">
        <f t="shared" si="147"/>
        <v>715</v>
      </c>
      <c r="R1075" s="65">
        <f t="shared" si="148"/>
        <v>3965</v>
      </c>
      <c r="S1075" s="272"/>
      <c r="T1075" s="64">
        <v>47</v>
      </c>
      <c r="U1075" s="274"/>
      <c r="V1075" s="38">
        <v>3729</v>
      </c>
      <c r="W1075" s="38">
        <f t="shared" si="149"/>
        <v>820.38</v>
      </c>
      <c r="X1075" s="38">
        <f t="shared" si="150"/>
        <v>4549.38</v>
      </c>
    </row>
    <row r="1076" spans="1:24" ht="30" customHeight="1" x14ac:dyDescent="0.35">
      <c r="A1076" s="56" t="s">
        <v>3335</v>
      </c>
      <c r="B1076" s="2">
        <v>1026</v>
      </c>
      <c r="C1076" s="77">
        <v>10041174</v>
      </c>
      <c r="D1076" s="74" t="s">
        <v>1569</v>
      </c>
      <c r="E1076" s="74" t="s">
        <v>2167</v>
      </c>
      <c r="F1076" s="75">
        <v>3</v>
      </c>
      <c r="G1076" s="64" t="s">
        <v>0</v>
      </c>
      <c r="H1076" s="78">
        <v>41310</v>
      </c>
      <c r="I1076" s="4" t="s">
        <v>957</v>
      </c>
      <c r="J1076" s="63" t="s">
        <v>1917</v>
      </c>
      <c r="K1076" s="63" t="s">
        <v>961</v>
      </c>
      <c r="L1076" s="69" t="s">
        <v>950</v>
      </c>
      <c r="M1076" s="70">
        <f t="shared" si="160"/>
        <v>232.5</v>
      </c>
      <c r="N1076" s="70">
        <f t="shared" si="161"/>
        <v>77.5</v>
      </c>
      <c r="O1076" s="70">
        <v>232.5</v>
      </c>
      <c r="P1076" s="65">
        <v>370</v>
      </c>
      <c r="Q1076" s="65">
        <f t="shared" si="147"/>
        <v>81.400000000000006</v>
      </c>
      <c r="R1076" s="65">
        <f t="shared" si="148"/>
        <v>451.4</v>
      </c>
      <c r="S1076" s="272"/>
      <c r="T1076" s="64">
        <v>47</v>
      </c>
      <c r="U1076" s="274"/>
      <c r="V1076" s="38">
        <v>419</v>
      </c>
      <c r="W1076" s="38">
        <f t="shared" si="149"/>
        <v>92.18</v>
      </c>
      <c r="X1076" s="38">
        <f t="shared" si="150"/>
        <v>511.18</v>
      </c>
    </row>
    <row r="1077" spans="1:24" ht="15" customHeight="1" x14ac:dyDescent="0.35">
      <c r="A1077" s="56" t="s">
        <v>3336</v>
      </c>
      <c r="B1077" s="2">
        <v>1027</v>
      </c>
      <c r="C1077" s="77">
        <v>10092294</v>
      </c>
      <c r="D1077" s="74" t="s">
        <v>1570</v>
      </c>
      <c r="E1077" s="74" t="s">
        <v>2167</v>
      </c>
      <c r="F1077" s="75">
        <v>2</v>
      </c>
      <c r="G1077" s="64" t="s">
        <v>0</v>
      </c>
      <c r="H1077" s="78">
        <v>41310</v>
      </c>
      <c r="I1077" s="4" t="s">
        <v>957</v>
      </c>
      <c r="J1077" s="63" t="s">
        <v>1917</v>
      </c>
      <c r="K1077" s="63" t="s">
        <v>961</v>
      </c>
      <c r="L1077" s="69" t="s">
        <v>950</v>
      </c>
      <c r="M1077" s="70">
        <f t="shared" si="160"/>
        <v>301.44</v>
      </c>
      <c r="N1077" s="70">
        <f t="shared" si="161"/>
        <v>150.72</v>
      </c>
      <c r="O1077" s="70">
        <v>301.44</v>
      </c>
      <c r="P1077" s="65">
        <v>470</v>
      </c>
      <c r="Q1077" s="65">
        <f t="shared" si="147"/>
        <v>103.4</v>
      </c>
      <c r="R1077" s="65">
        <f t="shared" si="148"/>
        <v>573.4</v>
      </c>
      <c r="S1077" s="272"/>
      <c r="T1077" s="64">
        <v>47</v>
      </c>
      <c r="U1077" s="274"/>
      <c r="V1077" s="38">
        <v>543</v>
      </c>
      <c r="W1077" s="38">
        <f t="shared" si="149"/>
        <v>119.46</v>
      </c>
      <c r="X1077" s="38">
        <f t="shared" si="150"/>
        <v>662.46</v>
      </c>
    </row>
    <row r="1078" spans="1:24" ht="15" customHeight="1" x14ac:dyDescent="0.35">
      <c r="A1078" s="56" t="s">
        <v>3337</v>
      </c>
      <c r="B1078" s="2">
        <v>1028</v>
      </c>
      <c r="C1078" s="77">
        <v>10092300</v>
      </c>
      <c r="D1078" s="74" t="s">
        <v>1571</v>
      </c>
      <c r="E1078" s="74" t="s">
        <v>2167</v>
      </c>
      <c r="F1078" s="75">
        <v>13</v>
      </c>
      <c r="G1078" s="64" t="s">
        <v>0</v>
      </c>
      <c r="H1078" s="78">
        <v>40927</v>
      </c>
      <c r="I1078" s="4" t="s">
        <v>957</v>
      </c>
      <c r="J1078" s="63" t="s">
        <v>1917</v>
      </c>
      <c r="K1078" s="63" t="s">
        <v>961</v>
      </c>
      <c r="L1078" s="69" t="s">
        <v>950</v>
      </c>
      <c r="M1078" s="70">
        <f t="shared" si="160"/>
        <v>1441.52</v>
      </c>
      <c r="N1078" s="70">
        <f t="shared" si="161"/>
        <v>110.89</v>
      </c>
      <c r="O1078" s="70">
        <v>1441.52</v>
      </c>
      <c r="P1078" s="65">
        <v>2320</v>
      </c>
      <c r="Q1078" s="65">
        <f t="shared" si="147"/>
        <v>510.4</v>
      </c>
      <c r="R1078" s="65">
        <f t="shared" si="148"/>
        <v>2830.4</v>
      </c>
      <c r="S1078" s="272"/>
      <c r="T1078" s="64">
        <v>47</v>
      </c>
      <c r="U1078" s="274"/>
      <c r="V1078" s="38">
        <v>2661</v>
      </c>
      <c r="W1078" s="38">
        <f t="shared" si="149"/>
        <v>585.41999999999996</v>
      </c>
      <c r="X1078" s="38">
        <f t="shared" si="150"/>
        <v>3246.42</v>
      </c>
    </row>
    <row r="1079" spans="1:24" ht="30" customHeight="1" x14ac:dyDescent="0.35">
      <c r="A1079" s="56" t="s">
        <v>3338</v>
      </c>
      <c r="B1079" s="2">
        <v>1029</v>
      </c>
      <c r="C1079" s="77">
        <v>10125409</v>
      </c>
      <c r="D1079" s="74" t="s">
        <v>1572</v>
      </c>
      <c r="E1079" s="74" t="s">
        <v>2167</v>
      </c>
      <c r="F1079" s="75">
        <v>3</v>
      </c>
      <c r="G1079" s="64" t="s">
        <v>0</v>
      </c>
      <c r="H1079" s="78">
        <v>41310</v>
      </c>
      <c r="I1079" s="4" t="s">
        <v>957</v>
      </c>
      <c r="J1079" s="63" t="s">
        <v>1917</v>
      </c>
      <c r="K1079" s="63" t="s">
        <v>961</v>
      </c>
      <c r="L1079" s="69" t="s">
        <v>950</v>
      </c>
      <c r="M1079" s="70">
        <f t="shared" si="160"/>
        <v>274.5</v>
      </c>
      <c r="N1079" s="70">
        <f t="shared" si="161"/>
        <v>91.5</v>
      </c>
      <c r="O1079" s="70">
        <v>274.5</v>
      </c>
      <c r="P1079" s="65">
        <v>430</v>
      </c>
      <c r="Q1079" s="65">
        <f t="shared" si="147"/>
        <v>94.6</v>
      </c>
      <c r="R1079" s="65">
        <f t="shared" si="148"/>
        <v>524.6</v>
      </c>
      <c r="S1079" s="272"/>
      <c r="T1079" s="64">
        <v>47</v>
      </c>
      <c r="U1079" s="274"/>
      <c r="V1079" s="38">
        <v>495</v>
      </c>
      <c r="W1079" s="38">
        <f t="shared" si="149"/>
        <v>108.9</v>
      </c>
      <c r="X1079" s="38">
        <f t="shared" si="150"/>
        <v>603.9</v>
      </c>
    </row>
    <row r="1080" spans="1:24" ht="30" customHeight="1" x14ac:dyDescent="0.35">
      <c r="A1080" s="56" t="s">
        <v>3339</v>
      </c>
      <c r="B1080" s="2">
        <v>1030</v>
      </c>
      <c r="C1080" s="77">
        <v>10092295</v>
      </c>
      <c r="D1080" s="74" t="s">
        <v>1573</v>
      </c>
      <c r="E1080" s="74" t="s">
        <v>1978</v>
      </c>
      <c r="F1080" s="75">
        <f>50-46</f>
        <v>4</v>
      </c>
      <c r="G1080" s="64" t="s">
        <v>0</v>
      </c>
      <c r="H1080" s="78">
        <v>41479</v>
      </c>
      <c r="I1080" s="4" t="s">
        <v>957</v>
      </c>
      <c r="J1080" s="63" t="s">
        <v>1917</v>
      </c>
      <c r="K1080" s="63" t="s">
        <v>961</v>
      </c>
      <c r="L1080" s="69" t="s">
        <v>950</v>
      </c>
      <c r="M1080" s="70">
        <f t="shared" si="160"/>
        <v>256.87</v>
      </c>
      <c r="N1080" s="70">
        <f t="shared" si="161"/>
        <v>64.22</v>
      </c>
      <c r="O1080" s="70">
        <f>3210.82/50*4</f>
        <v>256.87</v>
      </c>
      <c r="P1080" s="65">
        <v>400</v>
      </c>
      <c r="Q1080" s="65">
        <f t="shared" ref="Q1080:Q1143" si="162">P1080*0.22</f>
        <v>88</v>
      </c>
      <c r="R1080" s="65">
        <f t="shared" ref="R1080:R1143" si="163">P1080+Q1080</f>
        <v>488</v>
      </c>
      <c r="S1080" s="272"/>
      <c r="T1080" s="64">
        <v>47</v>
      </c>
      <c r="U1080" s="274"/>
      <c r="V1080" s="38">
        <v>461</v>
      </c>
      <c r="W1080" s="38">
        <f t="shared" ref="W1080:W1143" si="164">V1080*0.22</f>
        <v>101.42</v>
      </c>
      <c r="X1080" s="38">
        <f t="shared" si="150"/>
        <v>562.41999999999996</v>
      </c>
    </row>
    <row r="1081" spans="1:24" ht="30" customHeight="1" x14ac:dyDescent="0.35">
      <c r="A1081" s="56" t="s">
        <v>3996</v>
      </c>
      <c r="B1081" s="2">
        <v>1031</v>
      </c>
      <c r="C1081" s="77">
        <v>10092295</v>
      </c>
      <c r="D1081" s="74" t="s">
        <v>1573</v>
      </c>
      <c r="E1081" s="74" t="s">
        <v>2167</v>
      </c>
      <c r="F1081" s="75">
        <v>46</v>
      </c>
      <c r="G1081" s="64" t="s">
        <v>0</v>
      </c>
      <c r="H1081" s="78">
        <v>41479</v>
      </c>
      <c r="I1081" s="4" t="s">
        <v>957</v>
      </c>
      <c r="J1081" s="63" t="s">
        <v>1917</v>
      </c>
      <c r="K1081" s="63" t="s">
        <v>961</v>
      </c>
      <c r="L1081" s="69" t="s">
        <v>845</v>
      </c>
      <c r="M1081" s="70">
        <f t="shared" si="160"/>
        <v>2953.95</v>
      </c>
      <c r="N1081" s="70">
        <f t="shared" si="161"/>
        <v>64.22</v>
      </c>
      <c r="O1081" s="70">
        <v>2953.95</v>
      </c>
      <c r="P1081" s="65">
        <v>2710</v>
      </c>
      <c r="Q1081" s="65">
        <f t="shared" si="162"/>
        <v>596.20000000000005</v>
      </c>
      <c r="R1081" s="65">
        <f t="shared" si="163"/>
        <v>3306.2</v>
      </c>
      <c r="S1081" s="272"/>
      <c r="T1081" s="64">
        <v>47</v>
      </c>
      <c r="U1081" s="274"/>
      <c r="V1081" s="38">
        <v>3116</v>
      </c>
      <c r="W1081" s="38">
        <f t="shared" si="164"/>
        <v>685.52</v>
      </c>
      <c r="X1081" s="38">
        <f t="shared" si="150"/>
        <v>3801.52</v>
      </c>
    </row>
    <row r="1082" spans="1:24" ht="15" customHeight="1" x14ac:dyDescent="0.35">
      <c r="A1082" s="56" t="s">
        <v>3340</v>
      </c>
      <c r="B1082" s="2">
        <v>1032</v>
      </c>
      <c r="C1082" s="77">
        <v>10092299</v>
      </c>
      <c r="D1082" s="74" t="s">
        <v>1574</v>
      </c>
      <c r="E1082" s="74" t="s">
        <v>1978</v>
      </c>
      <c r="F1082" s="75">
        <f>80-65</f>
        <v>15</v>
      </c>
      <c r="G1082" s="64" t="s">
        <v>0</v>
      </c>
      <c r="H1082" s="78">
        <v>42265</v>
      </c>
      <c r="I1082" s="4" t="s">
        <v>957</v>
      </c>
      <c r="J1082" s="63" t="s">
        <v>1917</v>
      </c>
      <c r="K1082" s="63" t="s">
        <v>961</v>
      </c>
      <c r="L1082" s="69" t="s">
        <v>950</v>
      </c>
      <c r="M1082" s="70">
        <f t="shared" si="160"/>
        <v>547.48</v>
      </c>
      <c r="N1082" s="70">
        <f t="shared" si="161"/>
        <v>36.5</v>
      </c>
      <c r="O1082" s="70">
        <f>2919.87/80*15</f>
        <v>547.48</v>
      </c>
      <c r="P1082" s="65">
        <v>740</v>
      </c>
      <c r="Q1082" s="65">
        <f t="shared" si="162"/>
        <v>162.80000000000001</v>
      </c>
      <c r="R1082" s="65">
        <f t="shared" si="163"/>
        <v>902.8</v>
      </c>
      <c r="S1082" s="272"/>
      <c r="T1082" s="64">
        <v>47</v>
      </c>
      <c r="U1082" s="274"/>
      <c r="V1082" s="38">
        <v>851</v>
      </c>
      <c r="W1082" s="38">
        <f t="shared" si="164"/>
        <v>187.22</v>
      </c>
      <c r="X1082" s="38">
        <f t="shared" ref="X1082:X1145" si="165">V1082+W1082</f>
        <v>1038.22</v>
      </c>
    </row>
    <row r="1083" spans="1:24" ht="15" customHeight="1" x14ac:dyDescent="0.35">
      <c r="A1083" s="56" t="s">
        <v>3997</v>
      </c>
      <c r="B1083" s="2">
        <v>1033</v>
      </c>
      <c r="C1083" s="77">
        <v>10092299</v>
      </c>
      <c r="D1083" s="74" t="s">
        <v>1574</v>
      </c>
      <c r="E1083" s="74" t="s">
        <v>2167</v>
      </c>
      <c r="F1083" s="75">
        <v>65</v>
      </c>
      <c r="G1083" s="64" t="s">
        <v>0</v>
      </c>
      <c r="H1083" s="78">
        <v>42265</v>
      </c>
      <c r="I1083" s="4" t="s">
        <v>957</v>
      </c>
      <c r="J1083" s="63" t="s">
        <v>1917</v>
      </c>
      <c r="K1083" s="63" t="s">
        <v>961</v>
      </c>
      <c r="L1083" s="69" t="s">
        <v>845</v>
      </c>
      <c r="M1083" s="70">
        <f t="shared" si="160"/>
        <v>2372.39</v>
      </c>
      <c r="N1083" s="70">
        <f t="shared" si="161"/>
        <v>36.5</v>
      </c>
      <c r="O1083" s="70">
        <v>2372.39</v>
      </c>
      <c r="P1083" s="65">
        <v>1890</v>
      </c>
      <c r="Q1083" s="65">
        <f t="shared" si="162"/>
        <v>415.8</v>
      </c>
      <c r="R1083" s="65">
        <f t="shared" si="163"/>
        <v>2305.8000000000002</v>
      </c>
      <c r="S1083" s="272"/>
      <c r="T1083" s="64">
        <v>47</v>
      </c>
      <c r="U1083" s="274"/>
      <c r="V1083" s="38">
        <v>2169</v>
      </c>
      <c r="W1083" s="38">
        <f t="shared" si="164"/>
        <v>477.18</v>
      </c>
      <c r="X1083" s="38">
        <f t="shared" si="165"/>
        <v>2646.18</v>
      </c>
    </row>
    <row r="1084" spans="1:24" ht="15" customHeight="1" x14ac:dyDescent="0.35">
      <c r="A1084" s="56" t="s">
        <v>3341</v>
      </c>
      <c r="B1084" s="2">
        <v>1034</v>
      </c>
      <c r="C1084" s="77">
        <v>10092298</v>
      </c>
      <c r="D1084" s="74" t="s">
        <v>1575</v>
      </c>
      <c r="E1084" s="74" t="s">
        <v>2167</v>
      </c>
      <c r="F1084" s="75">
        <v>23</v>
      </c>
      <c r="G1084" s="64" t="s">
        <v>0</v>
      </c>
      <c r="H1084" s="78">
        <v>41479</v>
      </c>
      <c r="I1084" s="4" t="s">
        <v>957</v>
      </c>
      <c r="J1084" s="63" t="s">
        <v>1917</v>
      </c>
      <c r="K1084" s="63" t="s">
        <v>961</v>
      </c>
      <c r="L1084" s="69" t="s">
        <v>950</v>
      </c>
      <c r="M1084" s="70">
        <f t="shared" si="160"/>
        <v>1086.3699999999999</v>
      </c>
      <c r="N1084" s="70">
        <f t="shared" si="161"/>
        <v>47.23</v>
      </c>
      <c r="O1084" s="70">
        <v>1086.3699999999999</v>
      </c>
      <c r="P1084" s="65">
        <v>1700</v>
      </c>
      <c r="Q1084" s="65">
        <f t="shared" si="162"/>
        <v>374</v>
      </c>
      <c r="R1084" s="65">
        <f t="shared" si="163"/>
        <v>2074</v>
      </c>
      <c r="S1084" s="272"/>
      <c r="T1084" s="64">
        <v>47</v>
      </c>
      <c r="U1084" s="274"/>
      <c r="V1084" s="38">
        <v>1948</v>
      </c>
      <c r="W1084" s="38">
        <f t="shared" si="164"/>
        <v>428.56</v>
      </c>
      <c r="X1084" s="38">
        <f t="shared" si="165"/>
        <v>2376.56</v>
      </c>
    </row>
    <row r="1085" spans="1:24" ht="15" customHeight="1" x14ac:dyDescent="0.35">
      <c r="A1085" s="56" t="s">
        <v>3342</v>
      </c>
      <c r="B1085" s="2">
        <v>1035</v>
      </c>
      <c r="C1085" s="77">
        <v>10092293</v>
      </c>
      <c r="D1085" s="74" t="s">
        <v>1576</v>
      </c>
      <c r="E1085" s="74" t="s">
        <v>2167</v>
      </c>
      <c r="F1085" s="75">
        <v>24</v>
      </c>
      <c r="G1085" s="64" t="s">
        <v>0</v>
      </c>
      <c r="H1085" s="78">
        <v>41479</v>
      </c>
      <c r="I1085" s="4" t="s">
        <v>957</v>
      </c>
      <c r="J1085" s="63" t="s">
        <v>1917</v>
      </c>
      <c r="K1085" s="63" t="s">
        <v>961</v>
      </c>
      <c r="L1085" s="69" t="s">
        <v>950</v>
      </c>
      <c r="M1085" s="70">
        <f t="shared" si="160"/>
        <v>1095.4000000000001</v>
      </c>
      <c r="N1085" s="70">
        <f t="shared" si="161"/>
        <v>45.64</v>
      </c>
      <c r="O1085" s="70">
        <v>1095.4000000000001</v>
      </c>
      <c r="P1085" s="65">
        <v>1710</v>
      </c>
      <c r="Q1085" s="65">
        <f t="shared" si="162"/>
        <v>376.2</v>
      </c>
      <c r="R1085" s="65">
        <f t="shared" si="163"/>
        <v>2086.1999999999998</v>
      </c>
      <c r="S1085" s="272"/>
      <c r="T1085" s="64">
        <v>47</v>
      </c>
      <c r="U1085" s="274"/>
      <c r="V1085" s="38">
        <v>1965</v>
      </c>
      <c r="W1085" s="38">
        <f t="shared" si="164"/>
        <v>432.3</v>
      </c>
      <c r="X1085" s="38">
        <f t="shared" si="165"/>
        <v>2397.3000000000002</v>
      </c>
    </row>
    <row r="1086" spans="1:24" ht="30" customHeight="1" x14ac:dyDescent="0.35">
      <c r="A1086" s="56" t="s">
        <v>3343</v>
      </c>
      <c r="B1086" s="2">
        <v>1036</v>
      </c>
      <c r="C1086" s="77">
        <v>10107635</v>
      </c>
      <c r="D1086" s="74" t="s">
        <v>1577</v>
      </c>
      <c r="E1086" s="74" t="s">
        <v>2167</v>
      </c>
      <c r="F1086" s="75">
        <v>63</v>
      </c>
      <c r="G1086" s="64" t="s">
        <v>0</v>
      </c>
      <c r="H1086" s="78">
        <v>41310</v>
      </c>
      <c r="I1086" s="4" t="s">
        <v>957</v>
      </c>
      <c r="J1086" s="63" t="s">
        <v>1917</v>
      </c>
      <c r="K1086" s="63" t="s">
        <v>961</v>
      </c>
      <c r="L1086" s="69" t="s">
        <v>950</v>
      </c>
      <c r="M1086" s="70">
        <f t="shared" si="160"/>
        <v>12051.9</v>
      </c>
      <c r="N1086" s="70">
        <f t="shared" si="161"/>
        <v>191.3</v>
      </c>
      <c r="O1086" s="70">
        <v>12051.9</v>
      </c>
      <c r="P1086" s="65">
        <v>18920</v>
      </c>
      <c r="Q1086" s="65">
        <f t="shared" si="162"/>
        <v>4162.3999999999996</v>
      </c>
      <c r="R1086" s="65">
        <f t="shared" si="163"/>
        <v>23082.400000000001</v>
      </c>
      <c r="S1086" s="272"/>
      <c r="T1086" s="64">
        <v>47</v>
      </c>
      <c r="U1086" s="274"/>
      <c r="V1086" s="38">
        <v>21723</v>
      </c>
      <c r="W1086" s="38">
        <f t="shared" si="164"/>
        <v>4779.0600000000004</v>
      </c>
      <c r="X1086" s="38">
        <f t="shared" si="165"/>
        <v>26502.06</v>
      </c>
    </row>
    <row r="1087" spans="1:24" ht="15" customHeight="1" x14ac:dyDescent="0.35">
      <c r="A1087" s="56" t="s">
        <v>3344</v>
      </c>
      <c r="B1087" s="2">
        <v>1037</v>
      </c>
      <c r="C1087" s="77">
        <v>10043896</v>
      </c>
      <c r="D1087" s="74" t="s">
        <v>1578</v>
      </c>
      <c r="E1087" s="74" t="s">
        <v>2167</v>
      </c>
      <c r="F1087" s="75">
        <v>54</v>
      </c>
      <c r="G1087" s="64" t="s">
        <v>0</v>
      </c>
      <c r="H1087" s="78">
        <v>42583</v>
      </c>
      <c r="I1087" s="4" t="s">
        <v>957</v>
      </c>
      <c r="J1087" s="63" t="s">
        <v>1917</v>
      </c>
      <c r="K1087" s="63" t="s">
        <v>961</v>
      </c>
      <c r="L1087" s="69" t="s">
        <v>950</v>
      </c>
      <c r="M1087" s="70">
        <f t="shared" si="160"/>
        <v>3844.72</v>
      </c>
      <c r="N1087" s="70">
        <f t="shared" si="161"/>
        <v>71.2</v>
      </c>
      <c r="O1087" s="70">
        <v>3844.72</v>
      </c>
      <c r="P1087" s="65">
        <v>5020</v>
      </c>
      <c r="Q1087" s="65">
        <f t="shared" si="162"/>
        <v>1104.4000000000001</v>
      </c>
      <c r="R1087" s="65">
        <f t="shared" si="163"/>
        <v>6124.4</v>
      </c>
      <c r="S1087" s="272"/>
      <c r="T1087" s="64">
        <v>47</v>
      </c>
      <c r="U1087" s="274"/>
      <c r="V1087" s="38">
        <v>5763</v>
      </c>
      <c r="W1087" s="38">
        <f t="shared" si="164"/>
        <v>1267.8599999999999</v>
      </c>
      <c r="X1087" s="38">
        <f t="shared" si="165"/>
        <v>7030.86</v>
      </c>
    </row>
    <row r="1088" spans="1:24" ht="15" customHeight="1" x14ac:dyDescent="0.35">
      <c r="A1088" s="56" t="s">
        <v>3345</v>
      </c>
      <c r="B1088" s="2">
        <v>1038</v>
      </c>
      <c r="C1088" s="77">
        <v>10043271</v>
      </c>
      <c r="D1088" s="74" t="s">
        <v>1579</v>
      </c>
      <c r="E1088" s="74" t="s">
        <v>2167</v>
      </c>
      <c r="F1088" s="75">
        <f>66-10</f>
        <v>56</v>
      </c>
      <c r="G1088" s="64" t="s">
        <v>0</v>
      </c>
      <c r="H1088" s="78">
        <v>42583</v>
      </c>
      <c r="I1088" s="4" t="s">
        <v>957</v>
      </c>
      <c r="J1088" s="63" t="s">
        <v>1917</v>
      </c>
      <c r="K1088" s="63" t="s">
        <v>961</v>
      </c>
      <c r="L1088" s="69" t="s">
        <v>950</v>
      </c>
      <c r="M1088" s="70">
        <f t="shared" si="160"/>
        <v>7341.77</v>
      </c>
      <c r="N1088" s="70">
        <f t="shared" si="161"/>
        <v>131.1</v>
      </c>
      <c r="O1088" s="70">
        <f>8652.8/66*56</f>
        <v>7341.77</v>
      </c>
      <c r="P1088" s="65">
        <v>9590</v>
      </c>
      <c r="Q1088" s="65">
        <f t="shared" si="162"/>
        <v>2109.8000000000002</v>
      </c>
      <c r="R1088" s="65">
        <f t="shared" si="163"/>
        <v>11699.8</v>
      </c>
      <c r="S1088" s="272"/>
      <c r="T1088" s="64">
        <v>47</v>
      </c>
      <c r="U1088" s="274"/>
      <c r="V1088" s="38">
        <v>11005</v>
      </c>
      <c r="W1088" s="38">
        <f t="shared" si="164"/>
        <v>2421.1</v>
      </c>
      <c r="X1088" s="38">
        <f t="shared" si="165"/>
        <v>13426.1</v>
      </c>
    </row>
    <row r="1089" spans="1:24" ht="25.5" customHeight="1" x14ac:dyDescent="0.35">
      <c r="A1089" s="56" t="s">
        <v>3346</v>
      </c>
      <c r="B1089" s="2">
        <v>1039</v>
      </c>
      <c r="C1089" s="77">
        <v>10043266</v>
      </c>
      <c r="D1089" s="74" t="s">
        <v>1583</v>
      </c>
      <c r="E1089" s="74" t="s">
        <v>2167</v>
      </c>
      <c r="F1089" s="75">
        <f>21-10</f>
        <v>11</v>
      </c>
      <c r="G1089" s="64" t="s">
        <v>0</v>
      </c>
      <c r="H1089" s="78">
        <v>41479</v>
      </c>
      <c r="I1089" s="4" t="s">
        <v>957</v>
      </c>
      <c r="J1089" s="63" t="s">
        <v>1917</v>
      </c>
      <c r="K1089" s="63" t="s">
        <v>961</v>
      </c>
      <c r="L1089" s="69" t="s">
        <v>950</v>
      </c>
      <c r="M1089" s="70">
        <f t="shared" si="160"/>
        <v>3351.97</v>
      </c>
      <c r="N1089" s="70">
        <f t="shared" si="161"/>
        <v>304.72000000000003</v>
      </c>
      <c r="O1089" s="70">
        <f>6399.22/21*11</f>
        <v>3351.97</v>
      </c>
      <c r="P1089" s="65">
        <v>5240</v>
      </c>
      <c r="Q1089" s="65">
        <f t="shared" si="162"/>
        <v>1152.8</v>
      </c>
      <c r="R1089" s="65">
        <f t="shared" si="163"/>
        <v>6392.8</v>
      </c>
      <c r="S1089" s="272"/>
      <c r="T1089" s="64">
        <v>47</v>
      </c>
      <c r="U1089" s="274"/>
      <c r="V1089" s="38">
        <v>6012</v>
      </c>
      <c r="W1089" s="38">
        <f t="shared" si="164"/>
        <v>1322.64</v>
      </c>
      <c r="X1089" s="38">
        <f t="shared" si="165"/>
        <v>7334.64</v>
      </c>
    </row>
    <row r="1090" spans="1:24" ht="15" customHeight="1" x14ac:dyDescent="0.35">
      <c r="A1090" s="56" t="s">
        <v>3347</v>
      </c>
      <c r="B1090" s="2">
        <v>1040</v>
      </c>
      <c r="C1090" s="77">
        <v>10107700</v>
      </c>
      <c r="D1090" s="74" t="s">
        <v>1584</v>
      </c>
      <c r="E1090" s="74" t="s">
        <v>1978</v>
      </c>
      <c r="F1090" s="75">
        <v>22</v>
      </c>
      <c r="G1090" s="64" t="s">
        <v>0</v>
      </c>
      <c r="H1090" s="78">
        <v>41310</v>
      </c>
      <c r="I1090" s="4" t="s">
        <v>957</v>
      </c>
      <c r="J1090" s="63" t="s">
        <v>1917</v>
      </c>
      <c r="K1090" s="63" t="s">
        <v>961</v>
      </c>
      <c r="L1090" s="69" t="s">
        <v>950</v>
      </c>
      <c r="M1090" s="70">
        <f t="shared" si="160"/>
        <v>9537.2199999999993</v>
      </c>
      <c r="N1090" s="70">
        <f t="shared" si="161"/>
        <v>433.51</v>
      </c>
      <c r="O1090" s="70">
        <v>9537.2199999999993</v>
      </c>
      <c r="P1090" s="65">
        <v>14970</v>
      </c>
      <c r="Q1090" s="65">
        <f t="shared" si="162"/>
        <v>3293.4</v>
      </c>
      <c r="R1090" s="65">
        <f t="shared" si="163"/>
        <v>18263.400000000001</v>
      </c>
      <c r="S1090" s="272"/>
      <c r="T1090" s="64">
        <v>47</v>
      </c>
      <c r="U1090" s="274"/>
      <c r="V1090" s="38">
        <v>17190</v>
      </c>
      <c r="W1090" s="38">
        <f t="shared" si="164"/>
        <v>3781.8</v>
      </c>
      <c r="X1090" s="38">
        <f t="shared" si="165"/>
        <v>20971.8</v>
      </c>
    </row>
    <row r="1091" spans="1:24" ht="15" customHeight="1" x14ac:dyDescent="0.35">
      <c r="A1091" s="56" t="s">
        <v>3348</v>
      </c>
      <c r="B1091" s="2">
        <v>1041</v>
      </c>
      <c r="C1091" s="77">
        <v>10093374</v>
      </c>
      <c r="D1091" s="74" t="s">
        <v>1585</v>
      </c>
      <c r="E1091" s="74" t="s">
        <v>1978</v>
      </c>
      <c r="F1091" s="75">
        <v>28</v>
      </c>
      <c r="G1091" s="64" t="s">
        <v>0</v>
      </c>
      <c r="H1091" s="78">
        <v>41479</v>
      </c>
      <c r="I1091" s="4" t="s">
        <v>957</v>
      </c>
      <c r="J1091" s="63" t="s">
        <v>1917</v>
      </c>
      <c r="K1091" s="63" t="s">
        <v>961</v>
      </c>
      <c r="L1091" s="69" t="s">
        <v>950</v>
      </c>
      <c r="M1091" s="70">
        <f t="shared" si="160"/>
        <v>5397.55</v>
      </c>
      <c r="N1091" s="70">
        <f t="shared" si="161"/>
        <v>192.77</v>
      </c>
      <c r="O1091" s="70">
        <v>5397.55</v>
      </c>
      <c r="P1091" s="65">
        <v>8430</v>
      </c>
      <c r="Q1091" s="65">
        <f t="shared" si="162"/>
        <v>1854.6</v>
      </c>
      <c r="R1091" s="65">
        <f t="shared" si="163"/>
        <v>10284.6</v>
      </c>
      <c r="S1091" s="272"/>
      <c r="T1091" s="64">
        <v>47</v>
      </c>
      <c r="U1091" s="274"/>
      <c r="V1091" s="38">
        <v>9681</v>
      </c>
      <c r="W1091" s="38">
        <f t="shared" si="164"/>
        <v>2129.8200000000002</v>
      </c>
      <c r="X1091" s="38">
        <f t="shared" si="165"/>
        <v>11810.82</v>
      </c>
    </row>
    <row r="1092" spans="1:24" ht="15" customHeight="1" x14ac:dyDescent="0.35">
      <c r="A1092" s="56" t="s">
        <v>3349</v>
      </c>
      <c r="B1092" s="2">
        <v>1042</v>
      </c>
      <c r="C1092" s="77">
        <v>10093369</v>
      </c>
      <c r="D1092" s="74" t="s">
        <v>1586</v>
      </c>
      <c r="E1092" s="74" t="s">
        <v>2167</v>
      </c>
      <c r="F1092" s="75">
        <v>32</v>
      </c>
      <c r="G1092" s="64" t="s">
        <v>0</v>
      </c>
      <c r="H1092" s="78">
        <v>41431</v>
      </c>
      <c r="I1092" s="4" t="s">
        <v>957</v>
      </c>
      <c r="J1092" s="63" t="s">
        <v>1917</v>
      </c>
      <c r="K1092" s="63" t="s">
        <v>961</v>
      </c>
      <c r="L1092" s="69" t="s">
        <v>950</v>
      </c>
      <c r="M1092" s="70">
        <f t="shared" si="160"/>
        <v>4697.49</v>
      </c>
      <c r="N1092" s="70">
        <f t="shared" si="161"/>
        <v>146.80000000000001</v>
      </c>
      <c r="O1092" s="70">
        <v>4697.49</v>
      </c>
      <c r="P1092" s="65">
        <v>7400</v>
      </c>
      <c r="Q1092" s="65">
        <f t="shared" si="162"/>
        <v>1628</v>
      </c>
      <c r="R1092" s="65">
        <f t="shared" si="163"/>
        <v>9028</v>
      </c>
      <c r="S1092" s="272"/>
      <c r="T1092" s="64">
        <v>47</v>
      </c>
      <c r="U1092" s="274"/>
      <c r="V1092" s="38">
        <v>8495</v>
      </c>
      <c r="W1092" s="38">
        <f t="shared" si="164"/>
        <v>1868.9</v>
      </c>
      <c r="X1092" s="38">
        <f t="shared" si="165"/>
        <v>10363.9</v>
      </c>
    </row>
    <row r="1093" spans="1:24" ht="15" customHeight="1" x14ac:dyDescent="0.35">
      <c r="A1093" s="56" t="s">
        <v>3350</v>
      </c>
      <c r="B1093" s="2">
        <v>1043</v>
      </c>
      <c r="C1093" s="77">
        <v>10093371</v>
      </c>
      <c r="D1093" s="74" t="s">
        <v>1587</v>
      </c>
      <c r="E1093" s="74" t="s">
        <v>2167</v>
      </c>
      <c r="F1093" s="75">
        <v>23</v>
      </c>
      <c r="G1093" s="64" t="s">
        <v>0</v>
      </c>
      <c r="H1093" s="78">
        <v>41479</v>
      </c>
      <c r="I1093" s="4" t="s">
        <v>957</v>
      </c>
      <c r="J1093" s="63" t="s">
        <v>1917</v>
      </c>
      <c r="K1093" s="63" t="s">
        <v>961</v>
      </c>
      <c r="L1093" s="69" t="s">
        <v>950</v>
      </c>
      <c r="M1093" s="70">
        <f t="shared" si="160"/>
        <v>4491.1899999999996</v>
      </c>
      <c r="N1093" s="70">
        <f t="shared" si="161"/>
        <v>195.27</v>
      </c>
      <c r="O1093" s="70">
        <v>4491.1899999999996</v>
      </c>
      <c r="P1093" s="65">
        <v>7020</v>
      </c>
      <c r="Q1093" s="65">
        <f t="shared" si="162"/>
        <v>1544.4</v>
      </c>
      <c r="R1093" s="65">
        <f t="shared" si="163"/>
        <v>8564.4</v>
      </c>
      <c r="S1093" s="272"/>
      <c r="T1093" s="64">
        <v>47</v>
      </c>
      <c r="U1093" s="274"/>
      <c r="V1093" s="38">
        <v>8055</v>
      </c>
      <c r="W1093" s="38">
        <f t="shared" si="164"/>
        <v>1772.1</v>
      </c>
      <c r="X1093" s="38">
        <f t="shared" si="165"/>
        <v>9827.1</v>
      </c>
    </row>
    <row r="1094" spans="1:24" ht="15" customHeight="1" x14ac:dyDescent="0.35">
      <c r="A1094" s="56" t="s">
        <v>3351</v>
      </c>
      <c r="B1094" s="2">
        <v>1044</v>
      </c>
      <c r="C1094" s="77">
        <v>10112833</v>
      </c>
      <c r="D1094" s="74" t="s">
        <v>1588</v>
      </c>
      <c r="E1094" s="74" t="s">
        <v>2167</v>
      </c>
      <c r="F1094" s="75">
        <v>10</v>
      </c>
      <c r="G1094" s="64" t="s">
        <v>17</v>
      </c>
      <c r="H1094" s="78">
        <v>40424</v>
      </c>
      <c r="I1094" s="4" t="s">
        <v>957</v>
      </c>
      <c r="J1094" s="63" t="s">
        <v>1917</v>
      </c>
      <c r="K1094" s="63" t="s">
        <v>961</v>
      </c>
      <c r="L1094" s="69" t="s">
        <v>950</v>
      </c>
      <c r="M1094" s="70">
        <f t="shared" si="160"/>
        <v>3901.8</v>
      </c>
      <c r="N1094" s="70">
        <f t="shared" si="161"/>
        <v>390.18</v>
      </c>
      <c r="O1094" s="70">
        <v>3901.8</v>
      </c>
      <c r="P1094" s="65">
        <v>6510</v>
      </c>
      <c r="Q1094" s="65">
        <f t="shared" si="162"/>
        <v>1432.2</v>
      </c>
      <c r="R1094" s="65">
        <f t="shared" si="163"/>
        <v>7942.2</v>
      </c>
      <c r="S1094" s="272"/>
      <c r="T1094" s="64">
        <v>47</v>
      </c>
      <c r="U1094" s="274"/>
      <c r="V1094" s="38">
        <v>7470</v>
      </c>
      <c r="W1094" s="38">
        <f t="shared" si="164"/>
        <v>1643.4</v>
      </c>
      <c r="X1094" s="38">
        <f t="shared" si="165"/>
        <v>9113.4</v>
      </c>
    </row>
    <row r="1095" spans="1:24" ht="15" customHeight="1" x14ac:dyDescent="0.35">
      <c r="A1095" s="56" t="s">
        <v>3352</v>
      </c>
      <c r="B1095" s="2">
        <v>1045</v>
      </c>
      <c r="C1095" s="77">
        <v>10102297</v>
      </c>
      <c r="D1095" s="74" t="s">
        <v>1625</v>
      </c>
      <c r="E1095" s="74" t="s">
        <v>1978</v>
      </c>
      <c r="F1095" s="75">
        <v>5</v>
      </c>
      <c r="G1095" s="64" t="s">
        <v>0</v>
      </c>
      <c r="H1095" s="78">
        <v>41479</v>
      </c>
      <c r="I1095" s="4" t="s">
        <v>957</v>
      </c>
      <c r="J1095" s="63" t="s">
        <v>1917</v>
      </c>
      <c r="K1095" s="63" t="s">
        <v>961</v>
      </c>
      <c r="L1095" s="69" t="s">
        <v>950</v>
      </c>
      <c r="M1095" s="70">
        <f t="shared" si="160"/>
        <v>1817.9</v>
      </c>
      <c r="N1095" s="70">
        <f t="shared" si="161"/>
        <v>363.58</v>
      </c>
      <c r="O1095" s="70">
        <v>1817.9</v>
      </c>
      <c r="P1095" s="65">
        <v>2820</v>
      </c>
      <c r="Q1095" s="65">
        <f t="shared" si="162"/>
        <v>620.4</v>
      </c>
      <c r="R1095" s="65">
        <f t="shared" si="163"/>
        <v>3440.4</v>
      </c>
      <c r="S1095" s="272"/>
      <c r="T1095" s="64">
        <v>47</v>
      </c>
      <c r="U1095" s="274"/>
      <c r="V1095" s="38">
        <v>3239</v>
      </c>
      <c r="W1095" s="38">
        <f t="shared" si="164"/>
        <v>712.58</v>
      </c>
      <c r="X1095" s="38">
        <f t="shared" si="165"/>
        <v>3951.58</v>
      </c>
    </row>
    <row r="1096" spans="1:24" ht="15" customHeight="1" x14ac:dyDescent="0.35">
      <c r="A1096" s="56" t="s">
        <v>3353</v>
      </c>
      <c r="B1096" s="2">
        <v>1046</v>
      </c>
      <c r="C1096" s="77">
        <v>10015413</v>
      </c>
      <c r="D1096" s="74" t="s">
        <v>1627</v>
      </c>
      <c r="E1096" s="74" t="s">
        <v>2167</v>
      </c>
      <c r="F1096" s="75">
        <v>47</v>
      </c>
      <c r="G1096" s="64" t="s">
        <v>0</v>
      </c>
      <c r="H1096" s="78">
        <v>41577</v>
      </c>
      <c r="I1096" s="4" t="s">
        <v>957</v>
      </c>
      <c r="J1096" s="63" t="s">
        <v>1917</v>
      </c>
      <c r="K1096" s="63" t="s">
        <v>961</v>
      </c>
      <c r="L1096" s="69" t="s">
        <v>950</v>
      </c>
      <c r="M1096" s="70">
        <f t="shared" si="160"/>
        <v>6926.86</v>
      </c>
      <c r="N1096" s="70">
        <f t="shared" si="161"/>
        <v>147.38</v>
      </c>
      <c r="O1096" s="70">
        <v>6926.86</v>
      </c>
      <c r="P1096" s="65">
        <v>10810</v>
      </c>
      <c r="Q1096" s="65">
        <f t="shared" si="162"/>
        <v>2378.1999999999998</v>
      </c>
      <c r="R1096" s="65">
        <f t="shared" si="163"/>
        <v>13188.2</v>
      </c>
      <c r="S1096" s="272"/>
      <c r="T1096" s="64">
        <v>47</v>
      </c>
      <c r="U1096" s="274"/>
      <c r="V1096" s="38">
        <v>12413</v>
      </c>
      <c r="W1096" s="38">
        <f t="shared" si="164"/>
        <v>2730.86</v>
      </c>
      <c r="X1096" s="38">
        <f t="shared" si="165"/>
        <v>15143.86</v>
      </c>
    </row>
    <row r="1097" spans="1:24" ht="30" customHeight="1" x14ac:dyDescent="0.35">
      <c r="A1097" s="56" t="s">
        <v>3354</v>
      </c>
      <c r="B1097" s="2">
        <v>1047</v>
      </c>
      <c r="C1097" s="77">
        <v>10029716</v>
      </c>
      <c r="D1097" s="74" t="s">
        <v>1644</v>
      </c>
      <c r="E1097" s="74" t="s">
        <v>2167</v>
      </c>
      <c r="F1097" s="75">
        <f>186-10</f>
        <v>176</v>
      </c>
      <c r="G1097" s="64" t="s">
        <v>0</v>
      </c>
      <c r="H1097" s="78">
        <v>41431</v>
      </c>
      <c r="I1097" s="4" t="s">
        <v>957</v>
      </c>
      <c r="J1097" s="63" t="s">
        <v>1917</v>
      </c>
      <c r="K1097" s="63" t="s">
        <v>961</v>
      </c>
      <c r="L1097" s="69" t="s">
        <v>950</v>
      </c>
      <c r="M1097" s="70">
        <f t="shared" si="160"/>
        <v>36514.019999999997</v>
      </c>
      <c r="N1097" s="70">
        <f t="shared" si="161"/>
        <v>207.47</v>
      </c>
      <c r="O1097" s="70">
        <f>38588.68/186*176</f>
        <v>36514.019999999997</v>
      </c>
      <c r="P1097" s="65">
        <v>57510</v>
      </c>
      <c r="Q1097" s="65">
        <f t="shared" si="162"/>
        <v>12652.2</v>
      </c>
      <c r="R1097" s="65">
        <f t="shared" si="163"/>
        <v>70162.2</v>
      </c>
      <c r="S1097" s="272"/>
      <c r="T1097" s="64">
        <v>47</v>
      </c>
      <c r="U1097" s="274"/>
      <c r="V1097" s="38">
        <v>66031</v>
      </c>
      <c r="W1097" s="38">
        <f t="shared" si="164"/>
        <v>14526.82</v>
      </c>
      <c r="X1097" s="38">
        <f t="shared" si="165"/>
        <v>80557.820000000007</v>
      </c>
    </row>
    <row r="1098" spans="1:24" ht="15" customHeight="1" x14ac:dyDescent="0.35">
      <c r="A1098" s="56" t="s">
        <v>3355</v>
      </c>
      <c r="B1098" s="2">
        <v>1048</v>
      </c>
      <c r="C1098" s="77">
        <v>10112775</v>
      </c>
      <c r="D1098" s="74" t="s">
        <v>1649</v>
      </c>
      <c r="E1098" s="74" t="s">
        <v>2167</v>
      </c>
      <c r="F1098" s="75">
        <v>146</v>
      </c>
      <c r="G1098" s="64" t="s">
        <v>0</v>
      </c>
      <c r="H1098" s="78">
        <v>40444</v>
      </c>
      <c r="I1098" s="4" t="s">
        <v>957</v>
      </c>
      <c r="J1098" s="63" t="s">
        <v>1917</v>
      </c>
      <c r="K1098" s="63" t="s">
        <v>961</v>
      </c>
      <c r="L1098" s="69" t="s">
        <v>950</v>
      </c>
      <c r="M1098" s="70">
        <f t="shared" si="160"/>
        <v>19456.66</v>
      </c>
      <c r="N1098" s="70">
        <f t="shared" si="161"/>
        <v>133.26</v>
      </c>
      <c r="O1098" s="70">
        <v>19456.66</v>
      </c>
      <c r="P1098" s="65">
        <v>31510</v>
      </c>
      <c r="Q1098" s="65">
        <f t="shared" si="162"/>
        <v>6932.2</v>
      </c>
      <c r="R1098" s="65">
        <f t="shared" si="163"/>
        <v>38442.199999999997</v>
      </c>
      <c r="S1098" s="272"/>
      <c r="T1098" s="64">
        <v>47</v>
      </c>
      <c r="U1098" s="274"/>
      <c r="V1098" s="38">
        <v>36175</v>
      </c>
      <c r="W1098" s="38">
        <f t="shared" si="164"/>
        <v>7958.5</v>
      </c>
      <c r="X1098" s="38">
        <f t="shared" si="165"/>
        <v>44133.5</v>
      </c>
    </row>
    <row r="1099" spans="1:24" ht="15" customHeight="1" x14ac:dyDescent="0.35">
      <c r="A1099" s="56" t="s">
        <v>3356</v>
      </c>
      <c r="B1099" s="2">
        <v>1049</v>
      </c>
      <c r="C1099" s="77">
        <v>10135848</v>
      </c>
      <c r="D1099" s="74" t="s">
        <v>1660</v>
      </c>
      <c r="E1099" s="74" t="s">
        <v>2167</v>
      </c>
      <c r="F1099" s="75">
        <v>13</v>
      </c>
      <c r="G1099" s="64" t="s">
        <v>0</v>
      </c>
      <c r="H1099" s="78">
        <v>41516</v>
      </c>
      <c r="I1099" s="4" t="s">
        <v>957</v>
      </c>
      <c r="J1099" s="63" t="s">
        <v>1917</v>
      </c>
      <c r="K1099" s="63" t="s">
        <v>961</v>
      </c>
      <c r="L1099" s="69" t="s">
        <v>950</v>
      </c>
      <c r="M1099" s="70">
        <f t="shared" si="160"/>
        <v>889.85</v>
      </c>
      <c r="N1099" s="70">
        <f t="shared" si="161"/>
        <v>68.45</v>
      </c>
      <c r="O1099" s="70">
        <v>889.85</v>
      </c>
      <c r="P1099" s="65">
        <v>1760</v>
      </c>
      <c r="Q1099" s="65">
        <f t="shared" si="162"/>
        <v>387.2</v>
      </c>
      <c r="R1099" s="65">
        <f t="shared" si="163"/>
        <v>2147.1999999999998</v>
      </c>
      <c r="S1099" s="272"/>
      <c r="T1099" s="64">
        <v>47</v>
      </c>
      <c r="U1099" s="274"/>
      <c r="V1099" s="38">
        <v>2019</v>
      </c>
      <c r="W1099" s="38">
        <f t="shared" si="164"/>
        <v>444.18</v>
      </c>
      <c r="X1099" s="38">
        <f t="shared" si="165"/>
        <v>2463.1799999999998</v>
      </c>
    </row>
    <row r="1100" spans="1:24" ht="15" customHeight="1" x14ac:dyDescent="0.35">
      <c r="A1100" s="56" t="s">
        <v>3357</v>
      </c>
      <c r="B1100" s="2">
        <v>1050</v>
      </c>
      <c r="C1100" s="77">
        <v>10040647</v>
      </c>
      <c r="D1100" s="74" t="s">
        <v>1662</v>
      </c>
      <c r="E1100" s="74" t="s">
        <v>2167</v>
      </c>
      <c r="F1100" s="75">
        <v>55</v>
      </c>
      <c r="G1100" s="64" t="s">
        <v>0</v>
      </c>
      <c r="H1100" s="78">
        <v>41310</v>
      </c>
      <c r="I1100" s="4" t="s">
        <v>957</v>
      </c>
      <c r="J1100" s="63" t="s">
        <v>1917</v>
      </c>
      <c r="K1100" s="63" t="s">
        <v>961</v>
      </c>
      <c r="L1100" s="69" t="s">
        <v>950</v>
      </c>
      <c r="M1100" s="70">
        <f t="shared" si="160"/>
        <v>12246.85</v>
      </c>
      <c r="N1100" s="70">
        <f t="shared" si="161"/>
        <v>222.67</v>
      </c>
      <c r="O1100" s="70">
        <v>12246.85</v>
      </c>
      <c r="P1100" s="65">
        <v>19230</v>
      </c>
      <c r="Q1100" s="65">
        <f t="shared" si="162"/>
        <v>4230.6000000000004</v>
      </c>
      <c r="R1100" s="65">
        <f t="shared" si="163"/>
        <v>23460.6</v>
      </c>
      <c r="S1100" s="272"/>
      <c r="T1100" s="64">
        <v>47</v>
      </c>
      <c r="U1100" s="274"/>
      <c r="V1100" s="38">
        <v>22074</v>
      </c>
      <c r="W1100" s="38">
        <f t="shared" si="164"/>
        <v>4856.28</v>
      </c>
      <c r="X1100" s="38">
        <f t="shared" si="165"/>
        <v>26930.28</v>
      </c>
    </row>
    <row r="1101" spans="1:24" ht="30" customHeight="1" x14ac:dyDescent="0.35">
      <c r="A1101" s="56" t="s">
        <v>3358</v>
      </c>
      <c r="B1101" s="2">
        <v>1051</v>
      </c>
      <c r="C1101" s="77">
        <v>10040646</v>
      </c>
      <c r="D1101" s="74" t="s">
        <v>1663</v>
      </c>
      <c r="E1101" s="74" t="s">
        <v>2167</v>
      </c>
      <c r="F1101" s="75">
        <v>6</v>
      </c>
      <c r="G1101" s="64" t="s">
        <v>0</v>
      </c>
      <c r="H1101" s="78">
        <v>41310</v>
      </c>
      <c r="I1101" s="4" t="s">
        <v>957</v>
      </c>
      <c r="J1101" s="63" t="s">
        <v>1917</v>
      </c>
      <c r="K1101" s="63" t="s">
        <v>961</v>
      </c>
      <c r="L1101" s="69" t="s">
        <v>950</v>
      </c>
      <c r="M1101" s="70">
        <f t="shared" si="160"/>
        <v>1663.92</v>
      </c>
      <c r="N1101" s="70">
        <f t="shared" si="161"/>
        <v>277.32</v>
      </c>
      <c r="O1101" s="70">
        <v>1663.92</v>
      </c>
      <c r="P1101" s="65">
        <v>2610</v>
      </c>
      <c r="Q1101" s="65">
        <f t="shared" si="162"/>
        <v>574.20000000000005</v>
      </c>
      <c r="R1101" s="65">
        <f t="shared" si="163"/>
        <v>3184.2</v>
      </c>
      <c r="S1101" s="272"/>
      <c r="T1101" s="64">
        <v>47</v>
      </c>
      <c r="U1101" s="274"/>
      <c r="V1101" s="38">
        <v>2999</v>
      </c>
      <c r="W1101" s="38">
        <f t="shared" si="164"/>
        <v>659.78</v>
      </c>
      <c r="X1101" s="38">
        <f t="shared" si="165"/>
        <v>3658.78</v>
      </c>
    </row>
    <row r="1102" spans="1:24" ht="45" customHeight="1" x14ac:dyDescent="0.35">
      <c r="A1102" s="56" t="s">
        <v>3359</v>
      </c>
      <c r="B1102" s="2">
        <v>1052</v>
      </c>
      <c r="C1102" s="77">
        <v>10043267</v>
      </c>
      <c r="D1102" s="74" t="s">
        <v>1664</v>
      </c>
      <c r="E1102" s="74" t="s">
        <v>2167</v>
      </c>
      <c r="F1102" s="75">
        <v>50</v>
      </c>
      <c r="G1102" s="64" t="s">
        <v>0</v>
      </c>
      <c r="H1102" s="78">
        <v>41310</v>
      </c>
      <c r="I1102" s="4" t="s">
        <v>957</v>
      </c>
      <c r="J1102" s="63" t="s">
        <v>1917</v>
      </c>
      <c r="K1102" s="63" t="s">
        <v>961</v>
      </c>
      <c r="L1102" s="69" t="s">
        <v>950</v>
      </c>
      <c r="M1102" s="70">
        <f t="shared" si="160"/>
        <v>12215.51</v>
      </c>
      <c r="N1102" s="70">
        <f t="shared" si="161"/>
        <v>244.31</v>
      </c>
      <c r="O1102" s="70">
        <v>12215.51</v>
      </c>
      <c r="P1102" s="65">
        <v>19180</v>
      </c>
      <c r="Q1102" s="65">
        <f t="shared" si="162"/>
        <v>4219.6000000000004</v>
      </c>
      <c r="R1102" s="65">
        <f t="shared" si="163"/>
        <v>23399.599999999999</v>
      </c>
      <c r="S1102" s="272"/>
      <c r="T1102" s="64">
        <v>47</v>
      </c>
      <c r="U1102" s="274"/>
      <c r="V1102" s="38">
        <v>22018</v>
      </c>
      <c r="W1102" s="38">
        <f t="shared" si="164"/>
        <v>4843.96</v>
      </c>
      <c r="X1102" s="38">
        <f t="shared" si="165"/>
        <v>26861.96</v>
      </c>
    </row>
    <row r="1103" spans="1:24" ht="15" customHeight="1" x14ac:dyDescent="0.35">
      <c r="A1103" s="56" t="s">
        <v>3360</v>
      </c>
      <c r="B1103" s="2">
        <v>1053</v>
      </c>
      <c r="C1103" s="77">
        <v>10040664</v>
      </c>
      <c r="D1103" s="74" t="s">
        <v>1665</v>
      </c>
      <c r="E1103" s="74" t="s">
        <v>2167</v>
      </c>
      <c r="F1103" s="75">
        <v>2</v>
      </c>
      <c r="G1103" s="64" t="s">
        <v>0</v>
      </c>
      <c r="H1103" s="78">
        <v>41479</v>
      </c>
      <c r="I1103" s="4" t="s">
        <v>957</v>
      </c>
      <c r="J1103" s="63" t="s">
        <v>1917</v>
      </c>
      <c r="K1103" s="63" t="s">
        <v>961</v>
      </c>
      <c r="L1103" s="69" t="s">
        <v>950</v>
      </c>
      <c r="M1103" s="70">
        <f t="shared" si="160"/>
        <v>418.73</v>
      </c>
      <c r="N1103" s="70">
        <f t="shared" si="161"/>
        <v>209.37</v>
      </c>
      <c r="O1103" s="70">
        <v>418.73</v>
      </c>
      <c r="P1103" s="65">
        <v>650</v>
      </c>
      <c r="Q1103" s="65">
        <f t="shared" si="162"/>
        <v>143</v>
      </c>
      <c r="R1103" s="65">
        <f t="shared" si="163"/>
        <v>793</v>
      </c>
      <c r="S1103" s="272"/>
      <c r="T1103" s="64">
        <v>47</v>
      </c>
      <c r="U1103" s="274"/>
      <c r="V1103" s="38">
        <v>751</v>
      </c>
      <c r="W1103" s="38">
        <f t="shared" si="164"/>
        <v>165.22</v>
      </c>
      <c r="X1103" s="38">
        <f t="shared" si="165"/>
        <v>916.22</v>
      </c>
    </row>
    <row r="1104" spans="1:24" ht="15" customHeight="1" x14ac:dyDescent="0.35">
      <c r="A1104" s="56" t="s">
        <v>3361</v>
      </c>
      <c r="B1104" s="2">
        <v>1054</v>
      </c>
      <c r="C1104" s="77">
        <v>10040663</v>
      </c>
      <c r="D1104" s="74" t="s">
        <v>1666</v>
      </c>
      <c r="E1104" s="74" t="s">
        <v>2167</v>
      </c>
      <c r="F1104" s="75">
        <v>43</v>
      </c>
      <c r="G1104" s="64" t="s">
        <v>0</v>
      </c>
      <c r="H1104" s="78">
        <v>41479</v>
      </c>
      <c r="I1104" s="4" t="s">
        <v>957</v>
      </c>
      <c r="J1104" s="63" t="s">
        <v>1917</v>
      </c>
      <c r="K1104" s="63" t="s">
        <v>961</v>
      </c>
      <c r="L1104" s="69" t="s">
        <v>950</v>
      </c>
      <c r="M1104" s="70">
        <f t="shared" si="160"/>
        <v>11077.97</v>
      </c>
      <c r="N1104" s="70">
        <f t="shared" si="161"/>
        <v>257.63</v>
      </c>
      <c r="O1104" s="70">
        <v>11077.97</v>
      </c>
      <c r="P1104" s="65">
        <v>17310</v>
      </c>
      <c r="Q1104" s="65">
        <f t="shared" si="162"/>
        <v>3808.2</v>
      </c>
      <c r="R1104" s="65">
        <f t="shared" si="163"/>
        <v>21118.2</v>
      </c>
      <c r="S1104" s="272"/>
      <c r="T1104" s="64">
        <v>47</v>
      </c>
      <c r="U1104" s="274"/>
      <c r="V1104" s="38">
        <v>19869</v>
      </c>
      <c r="W1104" s="38">
        <f t="shared" si="164"/>
        <v>4371.18</v>
      </c>
      <c r="X1104" s="38">
        <f t="shared" si="165"/>
        <v>24240.18</v>
      </c>
    </row>
    <row r="1105" spans="1:24" ht="15" customHeight="1" x14ac:dyDescent="0.35">
      <c r="A1105" s="56" t="s">
        <v>3362</v>
      </c>
      <c r="B1105" s="2">
        <v>1055</v>
      </c>
      <c r="C1105" s="77">
        <v>10109104</v>
      </c>
      <c r="D1105" s="74" t="s">
        <v>1667</v>
      </c>
      <c r="E1105" s="74" t="s">
        <v>2167</v>
      </c>
      <c r="F1105" s="75">
        <v>13</v>
      </c>
      <c r="G1105" s="64" t="s">
        <v>0</v>
      </c>
      <c r="H1105" s="78">
        <v>41479</v>
      </c>
      <c r="I1105" s="4" t="s">
        <v>957</v>
      </c>
      <c r="J1105" s="63" t="s">
        <v>1917</v>
      </c>
      <c r="K1105" s="63" t="s">
        <v>961</v>
      </c>
      <c r="L1105" s="69" t="s">
        <v>950</v>
      </c>
      <c r="M1105" s="70">
        <f t="shared" si="160"/>
        <v>3760.54</v>
      </c>
      <c r="N1105" s="70">
        <f t="shared" si="161"/>
        <v>289.27</v>
      </c>
      <c r="O1105" s="70">
        <v>3760.54</v>
      </c>
      <c r="P1105" s="65">
        <v>5870</v>
      </c>
      <c r="Q1105" s="65">
        <f t="shared" si="162"/>
        <v>1291.4000000000001</v>
      </c>
      <c r="R1105" s="65">
        <f t="shared" si="163"/>
        <v>7161.4</v>
      </c>
      <c r="S1105" s="272"/>
      <c r="T1105" s="64">
        <v>47</v>
      </c>
      <c r="U1105" s="274"/>
      <c r="V1105" s="38">
        <v>6745</v>
      </c>
      <c r="W1105" s="38">
        <f t="shared" si="164"/>
        <v>1483.9</v>
      </c>
      <c r="X1105" s="38">
        <f t="shared" si="165"/>
        <v>8228.9</v>
      </c>
    </row>
    <row r="1106" spans="1:24" ht="15" customHeight="1" x14ac:dyDescent="0.35">
      <c r="A1106" s="56" t="s">
        <v>3363</v>
      </c>
      <c r="B1106" s="2">
        <v>1056</v>
      </c>
      <c r="C1106" s="77">
        <v>10122495</v>
      </c>
      <c r="D1106" s="74" t="s">
        <v>1668</v>
      </c>
      <c r="E1106" s="74" t="s">
        <v>2167</v>
      </c>
      <c r="F1106" s="75">
        <v>11</v>
      </c>
      <c r="G1106" s="64" t="s">
        <v>0</v>
      </c>
      <c r="H1106" s="78">
        <v>41310</v>
      </c>
      <c r="I1106" s="4" t="s">
        <v>957</v>
      </c>
      <c r="J1106" s="63" t="s">
        <v>1917</v>
      </c>
      <c r="K1106" s="63" t="s">
        <v>961</v>
      </c>
      <c r="L1106" s="69" t="s">
        <v>950</v>
      </c>
      <c r="M1106" s="70">
        <f t="shared" si="160"/>
        <v>1779.25</v>
      </c>
      <c r="N1106" s="70">
        <f t="shared" si="161"/>
        <v>161.75</v>
      </c>
      <c r="O1106" s="70">
        <v>1779.25</v>
      </c>
      <c r="P1106" s="65">
        <v>2790</v>
      </c>
      <c r="Q1106" s="65">
        <f t="shared" si="162"/>
        <v>613.79999999999995</v>
      </c>
      <c r="R1106" s="65">
        <f t="shared" si="163"/>
        <v>3403.8</v>
      </c>
      <c r="S1106" s="272"/>
      <c r="T1106" s="64">
        <v>47</v>
      </c>
      <c r="U1106" s="274"/>
      <c r="V1106" s="38">
        <v>3207</v>
      </c>
      <c r="W1106" s="38">
        <f t="shared" si="164"/>
        <v>705.54</v>
      </c>
      <c r="X1106" s="38">
        <f t="shared" si="165"/>
        <v>3912.54</v>
      </c>
    </row>
    <row r="1107" spans="1:24" ht="15" customHeight="1" x14ac:dyDescent="0.35">
      <c r="A1107" s="56" t="s">
        <v>3364</v>
      </c>
      <c r="B1107" s="2">
        <v>1057</v>
      </c>
      <c r="C1107" s="77">
        <v>10112816</v>
      </c>
      <c r="D1107" s="74" t="s">
        <v>1677</v>
      </c>
      <c r="E1107" s="74" t="s">
        <v>2167</v>
      </c>
      <c r="F1107" s="75">
        <v>132</v>
      </c>
      <c r="G1107" s="64" t="s">
        <v>0</v>
      </c>
      <c r="H1107" s="78">
        <v>40444</v>
      </c>
      <c r="I1107" s="4" t="s">
        <v>957</v>
      </c>
      <c r="J1107" s="63" t="s">
        <v>1917</v>
      </c>
      <c r="K1107" s="63" t="s">
        <v>961</v>
      </c>
      <c r="L1107" s="69" t="s">
        <v>950</v>
      </c>
      <c r="M1107" s="70">
        <f t="shared" si="160"/>
        <v>5881.91</v>
      </c>
      <c r="N1107" s="70">
        <f t="shared" si="161"/>
        <v>44.56</v>
      </c>
      <c r="O1107" s="70">
        <v>5881.91</v>
      </c>
      <c r="P1107" s="65">
        <v>10170</v>
      </c>
      <c r="Q1107" s="65">
        <f t="shared" si="162"/>
        <v>2237.4</v>
      </c>
      <c r="R1107" s="65">
        <f t="shared" si="163"/>
        <v>12407.4</v>
      </c>
      <c r="S1107" s="272"/>
      <c r="T1107" s="64">
        <v>47</v>
      </c>
      <c r="U1107" s="274"/>
      <c r="V1107" s="38">
        <v>11674</v>
      </c>
      <c r="W1107" s="38">
        <f t="shared" si="164"/>
        <v>2568.2800000000002</v>
      </c>
      <c r="X1107" s="38">
        <f t="shared" si="165"/>
        <v>14242.28</v>
      </c>
    </row>
    <row r="1108" spans="1:24" ht="15" customHeight="1" x14ac:dyDescent="0.35">
      <c r="A1108" s="56" t="s">
        <v>3365</v>
      </c>
      <c r="B1108" s="2">
        <v>1058</v>
      </c>
      <c r="C1108" s="77">
        <v>10112779</v>
      </c>
      <c r="D1108" s="74" t="s">
        <v>1678</v>
      </c>
      <c r="E1108" s="74" t="s">
        <v>2167</v>
      </c>
      <c r="F1108" s="75">
        <v>30</v>
      </c>
      <c r="G1108" s="64" t="s">
        <v>0</v>
      </c>
      <c r="H1108" s="78">
        <v>40424</v>
      </c>
      <c r="I1108" s="4" t="s">
        <v>957</v>
      </c>
      <c r="J1108" s="63" t="s">
        <v>1917</v>
      </c>
      <c r="K1108" s="63" t="s">
        <v>961</v>
      </c>
      <c r="L1108" s="69" t="s">
        <v>950</v>
      </c>
      <c r="M1108" s="70">
        <f t="shared" si="160"/>
        <v>2835</v>
      </c>
      <c r="N1108" s="70">
        <f t="shared" si="161"/>
        <v>94.5</v>
      </c>
      <c r="O1108" s="70">
        <v>2835</v>
      </c>
      <c r="P1108" s="65">
        <v>4900</v>
      </c>
      <c r="Q1108" s="65">
        <f t="shared" si="162"/>
        <v>1078</v>
      </c>
      <c r="R1108" s="65">
        <f t="shared" si="163"/>
        <v>5978</v>
      </c>
      <c r="S1108" s="272"/>
      <c r="T1108" s="64">
        <v>47</v>
      </c>
      <c r="U1108" s="274"/>
      <c r="V1108" s="38">
        <v>5627</v>
      </c>
      <c r="W1108" s="38">
        <f t="shared" si="164"/>
        <v>1237.94</v>
      </c>
      <c r="X1108" s="38">
        <f t="shared" si="165"/>
        <v>6864.94</v>
      </c>
    </row>
    <row r="1109" spans="1:24" ht="15" customHeight="1" x14ac:dyDescent="0.35">
      <c r="A1109" s="56" t="s">
        <v>3366</v>
      </c>
      <c r="B1109" s="2">
        <v>1059</v>
      </c>
      <c r="C1109" s="77">
        <v>10113852</v>
      </c>
      <c r="D1109" s="74" t="s">
        <v>1679</v>
      </c>
      <c r="E1109" s="74" t="s">
        <v>2167</v>
      </c>
      <c r="F1109" s="75">
        <v>10</v>
      </c>
      <c r="G1109" s="64" t="s">
        <v>0</v>
      </c>
      <c r="H1109" s="78">
        <v>40841</v>
      </c>
      <c r="I1109" s="4" t="s">
        <v>957</v>
      </c>
      <c r="J1109" s="63" t="s">
        <v>1917</v>
      </c>
      <c r="K1109" s="63" t="s">
        <v>961</v>
      </c>
      <c r="L1109" s="69" t="s">
        <v>950</v>
      </c>
      <c r="M1109" s="70">
        <f t="shared" si="160"/>
        <v>357.9</v>
      </c>
      <c r="N1109" s="70">
        <f t="shared" si="161"/>
        <v>35.79</v>
      </c>
      <c r="O1109" s="70">
        <v>357.9</v>
      </c>
      <c r="P1109" s="65">
        <v>560</v>
      </c>
      <c r="Q1109" s="65">
        <f t="shared" si="162"/>
        <v>123.2</v>
      </c>
      <c r="R1109" s="65">
        <f t="shared" si="163"/>
        <v>683.2</v>
      </c>
      <c r="S1109" s="272"/>
      <c r="T1109" s="64">
        <v>47</v>
      </c>
      <c r="U1109" s="274"/>
      <c r="V1109" s="38">
        <v>649</v>
      </c>
      <c r="W1109" s="38">
        <f t="shared" si="164"/>
        <v>142.78</v>
      </c>
      <c r="X1109" s="38">
        <f t="shared" si="165"/>
        <v>791.78</v>
      </c>
    </row>
    <row r="1110" spans="1:24" ht="15.75" customHeight="1" x14ac:dyDescent="0.35">
      <c r="A1110" s="56" t="s">
        <v>3367</v>
      </c>
      <c r="B1110" s="2">
        <v>1060</v>
      </c>
      <c r="C1110" s="77">
        <v>10041296</v>
      </c>
      <c r="D1110" s="74" t="s">
        <v>1680</v>
      </c>
      <c r="E1110" s="74" t="s">
        <v>1978</v>
      </c>
      <c r="F1110" s="75">
        <v>710</v>
      </c>
      <c r="G1110" s="64" t="s">
        <v>0</v>
      </c>
      <c r="H1110" s="78">
        <v>41310</v>
      </c>
      <c r="I1110" s="4" t="s">
        <v>957</v>
      </c>
      <c r="J1110" s="63" t="s">
        <v>1917</v>
      </c>
      <c r="K1110" s="63" t="s">
        <v>961</v>
      </c>
      <c r="L1110" s="69" t="s">
        <v>950</v>
      </c>
      <c r="M1110" s="70">
        <f t="shared" si="160"/>
        <v>40242.800000000003</v>
      </c>
      <c r="N1110" s="70">
        <f t="shared" si="161"/>
        <v>56.68</v>
      </c>
      <c r="O1110" s="70">
        <v>40242.800000000003</v>
      </c>
      <c r="P1110" s="65">
        <v>63180</v>
      </c>
      <c r="Q1110" s="65">
        <f t="shared" si="162"/>
        <v>13899.6</v>
      </c>
      <c r="R1110" s="65">
        <f t="shared" si="163"/>
        <v>77079.600000000006</v>
      </c>
      <c r="S1110" s="272"/>
      <c r="T1110" s="64">
        <v>47</v>
      </c>
      <c r="U1110" s="274"/>
      <c r="V1110" s="38">
        <v>72535</v>
      </c>
      <c r="W1110" s="38">
        <f t="shared" si="164"/>
        <v>15957.7</v>
      </c>
      <c r="X1110" s="38">
        <f t="shared" si="165"/>
        <v>88492.7</v>
      </c>
    </row>
    <row r="1111" spans="1:24" ht="19.5" customHeight="1" x14ac:dyDescent="0.35">
      <c r="A1111" s="56" t="s">
        <v>3368</v>
      </c>
      <c r="B1111" s="2">
        <v>1061</v>
      </c>
      <c r="C1111" s="77">
        <v>10092302</v>
      </c>
      <c r="D1111" s="74" t="s">
        <v>1681</v>
      </c>
      <c r="E1111" s="74" t="s">
        <v>2167</v>
      </c>
      <c r="F1111" s="75">
        <v>132</v>
      </c>
      <c r="G1111" s="64" t="s">
        <v>0</v>
      </c>
      <c r="H1111" s="78">
        <v>41310</v>
      </c>
      <c r="I1111" s="4" t="s">
        <v>957</v>
      </c>
      <c r="J1111" s="63" t="s">
        <v>1917</v>
      </c>
      <c r="K1111" s="63" t="s">
        <v>961</v>
      </c>
      <c r="L1111" s="69" t="s">
        <v>950</v>
      </c>
      <c r="M1111" s="70">
        <f t="shared" si="160"/>
        <v>6922.41</v>
      </c>
      <c r="N1111" s="70">
        <f t="shared" si="161"/>
        <v>52.44</v>
      </c>
      <c r="O1111" s="70">
        <v>6922.41</v>
      </c>
      <c r="P1111" s="65">
        <v>10870</v>
      </c>
      <c r="Q1111" s="65">
        <f t="shared" si="162"/>
        <v>2391.4</v>
      </c>
      <c r="R1111" s="65">
        <f t="shared" si="163"/>
        <v>13261.4</v>
      </c>
      <c r="S1111" s="272"/>
      <c r="T1111" s="64">
        <v>47</v>
      </c>
      <c r="U1111" s="274"/>
      <c r="V1111" s="38">
        <v>12477</v>
      </c>
      <c r="W1111" s="38">
        <f t="shared" si="164"/>
        <v>2744.94</v>
      </c>
      <c r="X1111" s="38">
        <f t="shared" si="165"/>
        <v>15221.94</v>
      </c>
    </row>
    <row r="1112" spans="1:24" ht="15" customHeight="1" x14ac:dyDescent="0.35">
      <c r="A1112" s="56" t="s">
        <v>3369</v>
      </c>
      <c r="B1112" s="2">
        <v>1062</v>
      </c>
      <c r="C1112" s="77">
        <v>10130947</v>
      </c>
      <c r="D1112" s="74" t="s">
        <v>1682</v>
      </c>
      <c r="E1112" s="74" t="s">
        <v>2167</v>
      </c>
      <c r="F1112" s="75">
        <v>474</v>
      </c>
      <c r="G1112" s="64" t="s">
        <v>28</v>
      </c>
      <c r="H1112" s="78">
        <v>42583</v>
      </c>
      <c r="I1112" s="4" t="s">
        <v>957</v>
      </c>
      <c r="J1112" s="63" t="s">
        <v>1917</v>
      </c>
      <c r="K1112" s="63" t="s">
        <v>961</v>
      </c>
      <c r="L1112" s="69" t="s">
        <v>950</v>
      </c>
      <c r="M1112" s="70">
        <f t="shared" si="160"/>
        <v>14931</v>
      </c>
      <c r="N1112" s="70">
        <f t="shared" si="161"/>
        <v>31.5</v>
      </c>
      <c r="O1112" s="70">
        <v>14931</v>
      </c>
      <c r="P1112" s="65">
        <v>19490</v>
      </c>
      <c r="Q1112" s="65">
        <f t="shared" si="162"/>
        <v>4287.8</v>
      </c>
      <c r="R1112" s="65">
        <f t="shared" si="163"/>
        <v>23777.8</v>
      </c>
      <c r="S1112" s="272"/>
      <c r="T1112" s="64">
        <v>47</v>
      </c>
      <c r="U1112" s="274"/>
      <c r="V1112" s="38">
        <v>22381</v>
      </c>
      <c r="W1112" s="38">
        <f t="shared" si="164"/>
        <v>4923.82</v>
      </c>
      <c r="X1112" s="38">
        <f t="shared" si="165"/>
        <v>27304.82</v>
      </c>
    </row>
    <row r="1113" spans="1:24" ht="15" customHeight="1" x14ac:dyDescent="0.35">
      <c r="A1113" s="56" t="s">
        <v>3370</v>
      </c>
      <c r="B1113" s="2">
        <v>1063</v>
      </c>
      <c r="C1113" s="77">
        <v>10029765</v>
      </c>
      <c r="D1113" s="74" t="s">
        <v>1686</v>
      </c>
      <c r="E1113" s="74" t="s">
        <v>2167</v>
      </c>
      <c r="F1113" s="75">
        <v>216</v>
      </c>
      <c r="G1113" s="64" t="s">
        <v>0</v>
      </c>
      <c r="H1113" s="78">
        <v>41479</v>
      </c>
      <c r="I1113" s="4" t="s">
        <v>957</v>
      </c>
      <c r="J1113" s="63" t="s">
        <v>1917</v>
      </c>
      <c r="K1113" s="63" t="s">
        <v>961</v>
      </c>
      <c r="L1113" s="69" t="s">
        <v>950</v>
      </c>
      <c r="M1113" s="70">
        <f t="shared" si="160"/>
        <v>12932.06</v>
      </c>
      <c r="N1113" s="70">
        <f t="shared" si="161"/>
        <v>59.87</v>
      </c>
      <c r="O1113" s="70">
        <v>12932.06</v>
      </c>
      <c r="P1113" s="65">
        <v>20200</v>
      </c>
      <c r="Q1113" s="65">
        <f t="shared" si="162"/>
        <v>4444</v>
      </c>
      <c r="R1113" s="65">
        <f t="shared" si="163"/>
        <v>24644</v>
      </c>
      <c r="S1113" s="272"/>
      <c r="T1113" s="64">
        <v>47</v>
      </c>
      <c r="U1113" s="274"/>
      <c r="V1113" s="38">
        <v>23194</v>
      </c>
      <c r="W1113" s="38">
        <f t="shared" si="164"/>
        <v>5102.68</v>
      </c>
      <c r="X1113" s="38">
        <f t="shared" si="165"/>
        <v>28296.68</v>
      </c>
    </row>
    <row r="1114" spans="1:24" ht="15" customHeight="1" x14ac:dyDescent="0.35">
      <c r="A1114" s="56" t="s">
        <v>3371</v>
      </c>
      <c r="B1114" s="2">
        <v>1064</v>
      </c>
      <c r="C1114" s="77">
        <v>10111870</v>
      </c>
      <c r="D1114" s="74" t="s">
        <v>1687</v>
      </c>
      <c r="E1114" s="74" t="s">
        <v>2167</v>
      </c>
      <c r="F1114" s="75">
        <v>30</v>
      </c>
      <c r="G1114" s="64" t="s">
        <v>0</v>
      </c>
      <c r="H1114" s="78">
        <v>41479</v>
      </c>
      <c r="I1114" s="4" t="s">
        <v>957</v>
      </c>
      <c r="J1114" s="63" t="s">
        <v>1917</v>
      </c>
      <c r="K1114" s="63" t="s">
        <v>961</v>
      </c>
      <c r="L1114" s="69" t="s">
        <v>950</v>
      </c>
      <c r="M1114" s="70">
        <f t="shared" si="160"/>
        <v>4196.7</v>
      </c>
      <c r="N1114" s="70">
        <f t="shared" si="161"/>
        <v>139.88999999999999</v>
      </c>
      <c r="O1114" s="70">
        <v>4196.7</v>
      </c>
      <c r="P1114" s="65">
        <v>6560</v>
      </c>
      <c r="Q1114" s="65">
        <f t="shared" si="162"/>
        <v>1443.2</v>
      </c>
      <c r="R1114" s="65">
        <f t="shared" si="163"/>
        <v>8003.2</v>
      </c>
      <c r="S1114" s="272"/>
      <c r="T1114" s="64">
        <v>47</v>
      </c>
      <c r="U1114" s="274"/>
      <c r="V1114" s="38">
        <v>7527</v>
      </c>
      <c r="W1114" s="38">
        <f t="shared" si="164"/>
        <v>1655.94</v>
      </c>
      <c r="X1114" s="38">
        <f t="shared" si="165"/>
        <v>9182.94</v>
      </c>
    </row>
    <row r="1115" spans="1:24" ht="15" customHeight="1" x14ac:dyDescent="0.35">
      <c r="A1115" s="56" t="s">
        <v>3372</v>
      </c>
      <c r="B1115" s="2">
        <v>1065</v>
      </c>
      <c r="C1115" s="77">
        <v>10043881</v>
      </c>
      <c r="D1115" s="74" t="s">
        <v>1688</v>
      </c>
      <c r="E1115" s="74" t="s">
        <v>2167</v>
      </c>
      <c r="F1115" s="75">
        <v>39</v>
      </c>
      <c r="G1115" s="64" t="s">
        <v>0</v>
      </c>
      <c r="H1115" s="78">
        <v>41479</v>
      </c>
      <c r="I1115" s="4" t="s">
        <v>957</v>
      </c>
      <c r="J1115" s="63" t="s">
        <v>1917</v>
      </c>
      <c r="K1115" s="63" t="s">
        <v>961</v>
      </c>
      <c r="L1115" s="69" t="s">
        <v>950</v>
      </c>
      <c r="M1115" s="70">
        <f t="shared" si="160"/>
        <v>5443.62</v>
      </c>
      <c r="N1115" s="70">
        <f t="shared" si="161"/>
        <v>139.58000000000001</v>
      </c>
      <c r="O1115" s="70">
        <v>5443.62</v>
      </c>
      <c r="P1115" s="65">
        <v>8500</v>
      </c>
      <c r="Q1115" s="65">
        <f t="shared" si="162"/>
        <v>1870</v>
      </c>
      <c r="R1115" s="65">
        <f t="shared" si="163"/>
        <v>10370</v>
      </c>
      <c r="S1115" s="272"/>
      <c r="T1115" s="64">
        <v>47</v>
      </c>
      <c r="U1115" s="274"/>
      <c r="V1115" s="38">
        <v>9763</v>
      </c>
      <c r="W1115" s="38">
        <f t="shared" si="164"/>
        <v>2147.86</v>
      </c>
      <c r="X1115" s="38">
        <f t="shared" si="165"/>
        <v>11910.86</v>
      </c>
    </row>
    <row r="1116" spans="1:24" ht="15" customHeight="1" x14ac:dyDescent="0.35">
      <c r="A1116" s="56" t="s">
        <v>3373</v>
      </c>
      <c r="B1116" s="2">
        <v>1066</v>
      </c>
      <c r="C1116" s="77">
        <v>10112774</v>
      </c>
      <c r="D1116" s="74" t="s">
        <v>1689</v>
      </c>
      <c r="E1116" s="74" t="s">
        <v>2167</v>
      </c>
      <c r="F1116" s="75">
        <v>133</v>
      </c>
      <c r="G1116" s="64" t="s">
        <v>0</v>
      </c>
      <c r="H1116" s="78">
        <v>40444</v>
      </c>
      <c r="I1116" s="4" t="s">
        <v>957</v>
      </c>
      <c r="J1116" s="63" t="s">
        <v>1917</v>
      </c>
      <c r="K1116" s="63" t="s">
        <v>961</v>
      </c>
      <c r="L1116" s="69" t="s">
        <v>950</v>
      </c>
      <c r="M1116" s="70">
        <f t="shared" si="160"/>
        <v>9534.77</v>
      </c>
      <c r="N1116" s="70">
        <f t="shared" si="161"/>
        <v>71.69</v>
      </c>
      <c r="O1116" s="70">
        <v>9534.77</v>
      </c>
      <c r="P1116" s="65">
        <v>16480</v>
      </c>
      <c r="Q1116" s="65">
        <f t="shared" si="162"/>
        <v>3625.6</v>
      </c>
      <c r="R1116" s="65">
        <f t="shared" si="163"/>
        <v>20105.599999999999</v>
      </c>
      <c r="S1116" s="272"/>
      <c r="T1116" s="64">
        <v>47</v>
      </c>
      <c r="U1116" s="274"/>
      <c r="V1116" s="38">
        <v>18923</v>
      </c>
      <c r="W1116" s="38">
        <f t="shared" si="164"/>
        <v>4163.0600000000004</v>
      </c>
      <c r="X1116" s="38">
        <f t="shared" si="165"/>
        <v>23086.06</v>
      </c>
    </row>
    <row r="1117" spans="1:24" ht="15" customHeight="1" x14ac:dyDescent="0.35">
      <c r="A1117" s="56" t="s">
        <v>3374</v>
      </c>
      <c r="B1117" s="2">
        <v>1067</v>
      </c>
      <c r="C1117" s="77">
        <v>10112879</v>
      </c>
      <c r="D1117" s="74" t="s">
        <v>1690</v>
      </c>
      <c r="E1117" s="74" t="s">
        <v>2167</v>
      </c>
      <c r="F1117" s="75">
        <v>49</v>
      </c>
      <c r="G1117" s="64" t="s">
        <v>0</v>
      </c>
      <c r="H1117" s="78">
        <v>41431</v>
      </c>
      <c r="I1117" s="4" t="s">
        <v>957</v>
      </c>
      <c r="J1117" s="63" t="s">
        <v>1917</v>
      </c>
      <c r="K1117" s="63" t="s">
        <v>961</v>
      </c>
      <c r="L1117" s="69" t="s">
        <v>950</v>
      </c>
      <c r="M1117" s="70">
        <f t="shared" si="160"/>
        <v>3624.53</v>
      </c>
      <c r="N1117" s="70">
        <f t="shared" si="161"/>
        <v>73.97</v>
      </c>
      <c r="O1117" s="70">
        <v>3624.53</v>
      </c>
      <c r="P1117" s="65">
        <v>5920</v>
      </c>
      <c r="Q1117" s="65">
        <f t="shared" si="162"/>
        <v>1302.4000000000001</v>
      </c>
      <c r="R1117" s="65">
        <f t="shared" si="163"/>
        <v>7222.4</v>
      </c>
      <c r="S1117" s="272"/>
      <c r="T1117" s="64">
        <v>47</v>
      </c>
      <c r="U1117" s="274"/>
      <c r="V1117" s="38">
        <v>6795</v>
      </c>
      <c r="W1117" s="38">
        <f t="shared" si="164"/>
        <v>1494.9</v>
      </c>
      <c r="X1117" s="38">
        <f t="shared" si="165"/>
        <v>8289.9</v>
      </c>
    </row>
    <row r="1118" spans="1:24" ht="15" customHeight="1" x14ac:dyDescent="0.35">
      <c r="A1118" s="56" t="s">
        <v>3375</v>
      </c>
      <c r="B1118" s="2">
        <v>1068</v>
      </c>
      <c r="C1118" s="77">
        <v>10093406</v>
      </c>
      <c r="D1118" s="74" t="s">
        <v>1708</v>
      </c>
      <c r="E1118" s="74" t="s">
        <v>2167</v>
      </c>
      <c r="F1118" s="75">
        <v>1</v>
      </c>
      <c r="G1118" s="64" t="s">
        <v>0</v>
      </c>
      <c r="H1118" s="78">
        <v>41431</v>
      </c>
      <c r="I1118" s="4" t="s">
        <v>957</v>
      </c>
      <c r="J1118" s="63" t="s">
        <v>1917</v>
      </c>
      <c r="K1118" s="63" t="s">
        <v>961</v>
      </c>
      <c r="L1118" s="69" t="s">
        <v>950</v>
      </c>
      <c r="M1118" s="70">
        <f t="shared" si="160"/>
        <v>81.31</v>
      </c>
      <c r="N1118" s="70">
        <f t="shared" si="161"/>
        <v>81.31</v>
      </c>
      <c r="O1118" s="70">
        <v>81.31</v>
      </c>
      <c r="P1118" s="65">
        <v>130</v>
      </c>
      <c r="Q1118" s="65">
        <f t="shared" si="162"/>
        <v>28.6</v>
      </c>
      <c r="R1118" s="65">
        <f t="shared" si="163"/>
        <v>158.6</v>
      </c>
      <c r="S1118" s="272"/>
      <c r="T1118" s="64">
        <v>47</v>
      </c>
      <c r="U1118" s="274"/>
      <c r="V1118" s="38">
        <v>145</v>
      </c>
      <c r="W1118" s="38">
        <f t="shared" si="164"/>
        <v>31.9</v>
      </c>
      <c r="X1118" s="38">
        <f t="shared" si="165"/>
        <v>176.9</v>
      </c>
    </row>
    <row r="1119" spans="1:24" ht="15" customHeight="1" x14ac:dyDescent="0.35">
      <c r="A1119" s="56" t="s">
        <v>3376</v>
      </c>
      <c r="B1119" s="2">
        <v>1069</v>
      </c>
      <c r="C1119" s="77">
        <v>10093396</v>
      </c>
      <c r="D1119" s="74" t="s">
        <v>1715</v>
      </c>
      <c r="E1119" s="74" t="s">
        <v>2167</v>
      </c>
      <c r="F1119" s="75">
        <v>3</v>
      </c>
      <c r="G1119" s="64" t="s">
        <v>0</v>
      </c>
      <c r="H1119" s="78">
        <v>41431</v>
      </c>
      <c r="I1119" s="4" t="s">
        <v>957</v>
      </c>
      <c r="J1119" s="63" t="s">
        <v>1917</v>
      </c>
      <c r="K1119" s="63" t="s">
        <v>961</v>
      </c>
      <c r="L1119" s="69" t="s">
        <v>950</v>
      </c>
      <c r="M1119" s="70">
        <f t="shared" si="160"/>
        <v>59.46</v>
      </c>
      <c r="N1119" s="70">
        <f t="shared" si="161"/>
        <v>19.82</v>
      </c>
      <c r="O1119" s="70">
        <v>59.46</v>
      </c>
      <c r="P1119" s="65">
        <v>90</v>
      </c>
      <c r="Q1119" s="65">
        <f t="shared" si="162"/>
        <v>19.8</v>
      </c>
      <c r="R1119" s="65">
        <f t="shared" si="163"/>
        <v>109.8</v>
      </c>
      <c r="S1119" s="272"/>
      <c r="T1119" s="64">
        <v>47</v>
      </c>
      <c r="U1119" s="274"/>
      <c r="V1119" s="38">
        <v>108</v>
      </c>
      <c r="W1119" s="38">
        <f t="shared" si="164"/>
        <v>23.76</v>
      </c>
      <c r="X1119" s="38">
        <f t="shared" si="165"/>
        <v>131.76</v>
      </c>
    </row>
    <row r="1120" spans="1:24" ht="15" customHeight="1" x14ac:dyDescent="0.35">
      <c r="A1120" s="56" t="s">
        <v>3377</v>
      </c>
      <c r="B1120" s="2">
        <v>1070</v>
      </c>
      <c r="C1120" s="77">
        <v>10095531</v>
      </c>
      <c r="D1120" s="74" t="s">
        <v>1716</v>
      </c>
      <c r="E1120" s="74" t="s">
        <v>2167</v>
      </c>
      <c r="F1120" s="75">
        <v>6</v>
      </c>
      <c r="G1120" s="64" t="s">
        <v>0</v>
      </c>
      <c r="H1120" s="78">
        <v>41479</v>
      </c>
      <c r="I1120" s="4" t="s">
        <v>957</v>
      </c>
      <c r="J1120" s="63" t="s">
        <v>1917</v>
      </c>
      <c r="K1120" s="63" t="s">
        <v>961</v>
      </c>
      <c r="L1120" s="69" t="s">
        <v>950</v>
      </c>
      <c r="M1120" s="70">
        <f t="shared" si="160"/>
        <v>2117.04</v>
      </c>
      <c r="N1120" s="70">
        <f t="shared" si="161"/>
        <v>352.84</v>
      </c>
      <c r="O1120" s="70">
        <v>2117.04</v>
      </c>
      <c r="P1120" s="65">
        <v>3310</v>
      </c>
      <c r="Q1120" s="65">
        <f t="shared" si="162"/>
        <v>728.2</v>
      </c>
      <c r="R1120" s="65">
        <f t="shared" si="163"/>
        <v>4038.2</v>
      </c>
      <c r="S1120" s="272"/>
      <c r="T1120" s="64">
        <v>47</v>
      </c>
      <c r="U1120" s="274"/>
      <c r="V1120" s="38">
        <v>3797</v>
      </c>
      <c r="W1120" s="38">
        <f t="shared" si="164"/>
        <v>835.34</v>
      </c>
      <c r="X1120" s="38">
        <f t="shared" si="165"/>
        <v>4632.34</v>
      </c>
    </row>
    <row r="1121" spans="1:24" ht="30" customHeight="1" x14ac:dyDescent="0.35">
      <c r="A1121" s="56" t="s">
        <v>3378</v>
      </c>
      <c r="B1121" s="2">
        <v>1071</v>
      </c>
      <c r="C1121" s="77">
        <v>10093397</v>
      </c>
      <c r="D1121" s="74" t="s">
        <v>1717</v>
      </c>
      <c r="E1121" s="74" t="s">
        <v>2167</v>
      </c>
      <c r="F1121" s="75">
        <v>4</v>
      </c>
      <c r="G1121" s="64" t="s">
        <v>0</v>
      </c>
      <c r="H1121" s="78">
        <v>41431</v>
      </c>
      <c r="I1121" s="4" t="s">
        <v>957</v>
      </c>
      <c r="J1121" s="63" t="s">
        <v>1917</v>
      </c>
      <c r="K1121" s="63" t="s">
        <v>961</v>
      </c>
      <c r="L1121" s="69" t="s">
        <v>950</v>
      </c>
      <c r="M1121" s="70">
        <f t="shared" si="160"/>
        <v>102.84</v>
      </c>
      <c r="N1121" s="70">
        <f t="shared" si="161"/>
        <v>25.71</v>
      </c>
      <c r="O1121" s="70">
        <v>102.84</v>
      </c>
      <c r="P1121" s="65">
        <v>160</v>
      </c>
      <c r="Q1121" s="65">
        <f t="shared" si="162"/>
        <v>35.200000000000003</v>
      </c>
      <c r="R1121" s="65">
        <f t="shared" si="163"/>
        <v>195.2</v>
      </c>
      <c r="S1121" s="272"/>
      <c r="T1121" s="64">
        <v>47</v>
      </c>
      <c r="U1121" s="274"/>
      <c r="V1121" s="38">
        <v>178</v>
      </c>
      <c r="W1121" s="38">
        <f t="shared" si="164"/>
        <v>39.159999999999997</v>
      </c>
      <c r="X1121" s="38">
        <f t="shared" si="165"/>
        <v>217.16</v>
      </c>
    </row>
    <row r="1122" spans="1:24" ht="15" customHeight="1" x14ac:dyDescent="0.35">
      <c r="A1122" s="56" t="s">
        <v>3379</v>
      </c>
      <c r="B1122" s="2">
        <v>1072</v>
      </c>
      <c r="C1122" s="77">
        <v>10093404</v>
      </c>
      <c r="D1122" s="74" t="s">
        <v>1718</v>
      </c>
      <c r="E1122" s="74" t="s">
        <v>2167</v>
      </c>
      <c r="F1122" s="75">
        <v>4</v>
      </c>
      <c r="G1122" s="64" t="s">
        <v>0</v>
      </c>
      <c r="H1122" s="78">
        <v>41431</v>
      </c>
      <c r="I1122" s="4" t="s">
        <v>957</v>
      </c>
      <c r="J1122" s="63" t="s">
        <v>1917</v>
      </c>
      <c r="K1122" s="63" t="s">
        <v>961</v>
      </c>
      <c r="L1122" s="69" t="s">
        <v>950</v>
      </c>
      <c r="M1122" s="70">
        <f t="shared" si="160"/>
        <v>347.88</v>
      </c>
      <c r="N1122" s="70">
        <f t="shared" si="161"/>
        <v>86.97</v>
      </c>
      <c r="O1122" s="70">
        <v>347.88</v>
      </c>
      <c r="P1122" s="65">
        <v>520</v>
      </c>
      <c r="Q1122" s="65">
        <f t="shared" si="162"/>
        <v>114.4</v>
      </c>
      <c r="R1122" s="65">
        <f t="shared" si="163"/>
        <v>634.4</v>
      </c>
      <c r="S1122" s="272"/>
      <c r="T1122" s="64">
        <v>47</v>
      </c>
      <c r="U1122" s="274"/>
      <c r="V1122" s="38">
        <v>603</v>
      </c>
      <c r="W1122" s="38">
        <f t="shared" si="164"/>
        <v>132.66</v>
      </c>
      <c r="X1122" s="38">
        <f t="shared" si="165"/>
        <v>735.66</v>
      </c>
    </row>
    <row r="1123" spans="1:24" ht="15" customHeight="1" x14ac:dyDescent="0.35">
      <c r="A1123" s="56" t="s">
        <v>3380</v>
      </c>
      <c r="B1123" s="2">
        <v>1073</v>
      </c>
      <c r="C1123" s="77">
        <v>10128554</v>
      </c>
      <c r="D1123" s="74" t="s">
        <v>1875</v>
      </c>
      <c r="E1123" s="74" t="s">
        <v>2167</v>
      </c>
      <c r="F1123" s="75">
        <v>45</v>
      </c>
      <c r="G1123" s="64" t="s">
        <v>0</v>
      </c>
      <c r="H1123" s="78">
        <v>41431</v>
      </c>
      <c r="I1123" s="4" t="s">
        <v>957</v>
      </c>
      <c r="J1123" s="63" t="s">
        <v>1917</v>
      </c>
      <c r="K1123" s="63" t="s">
        <v>961</v>
      </c>
      <c r="L1123" s="69" t="s">
        <v>950</v>
      </c>
      <c r="M1123" s="70">
        <f t="shared" si="160"/>
        <v>2763.9</v>
      </c>
      <c r="N1123" s="70">
        <f t="shared" si="161"/>
        <v>61.42</v>
      </c>
      <c r="O1123" s="70">
        <v>2763.9</v>
      </c>
      <c r="P1123" s="65">
        <v>4350</v>
      </c>
      <c r="Q1123" s="65">
        <f t="shared" si="162"/>
        <v>957</v>
      </c>
      <c r="R1123" s="65">
        <f t="shared" si="163"/>
        <v>5307</v>
      </c>
      <c r="S1123" s="272"/>
      <c r="T1123" s="64">
        <v>47</v>
      </c>
      <c r="U1123" s="274"/>
      <c r="V1123" s="38">
        <v>4998</v>
      </c>
      <c r="W1123" s="38">
        <f t="shared" si="164"/>
        <v>1099.56</v>
      </c>
      <c r="X1123" s="38">
        <f t="shared" si="165"/>
        <v>6097.56</v>
      </c>
    </row>
    <row r="1124" spans="1:24" ht="15" customHeight="1" x14ac:dyDescent="0.35">
      <c r="A1124" s="56" t="s">
        <v>3381</v>
      </c>
      <c r="B1124" s="2">
        <v>1074</v>
      </c>
      <c r="C1124" s="11">
        <v>10148690</v>
      </c>
      <c r="D1124" s="3" t="s">
        <v>1333</v>
      </c>
      <c r="E1124" s="59" t="s">
        <v>2167</v>
      </c>
      <c r="F1124" s="14">
        <v>1</v>
      </c>
      <c r="G1124" s="64" t="s">
        <v>0</v>
      </c>
      <c r="H1124" s="5">
        <v>41518</v>
      </c>
      <c r="I1124" s="4" t="s">
        <v>957</v>
      </c>
      <c r="J1124" s="6" t="s">
        <v>1365</v>
      </c>
      <c r="K1124" s="63" t="s">
        <v>961</v>
      </c>
      <c r="L1124" s="69" t="s">
        <v>950</v>
      </c>
      <c r="M1124" s="70">
        <f t="shared" si="160"/>
        <v>193.03</v>
      </c>
      <c r="N1124" s="70">
        <f t="shared" si="161"/>
        <v>193.03</v>
      </c>
      <c r="O1124" s="70">
        <v>193.03</v>
      </c>
      <c r="P1124" s="65">
        <v>300</v>
      </c>
      <c r="Q1124" s="65">
        <f t="shared" si="162"/>
        <v>66</v>
      </c>
      <c r="R1124" s="65">
        <f t="shared" si="163"/>
        <v>366</v>
      </c>
      <c r="S1124" s="272"/>
      <c r="T1124" s="64">
        <v>47</v>
      </c>
      <c r="U1124" s="274"/>
      <c r="V1124" s="38">
        <v>345</v>
      </c>
      <c r="W1124" s="38">
        <f t="shared" si="164"/>
        <v>75.900000000000006</v>
      </c>
      <c r="X1124" s="38">
        <f t="shared" si="165"/>
        <v>420.9</v>
      </c>
    </row>
    <row r="1125" spans="1:24" ht="15" customHeight="1" x14ac:dyDescent="0.35">
      <c r="A1125" s="56" t="s">
        <v>3382</v>
      </c>
      <c r="B1125" s="2">
        <v>1075</v>
      </c>
      <c r="C1125" s="77">
        <v>10006969</v>
      </c>
      <c r="D1125" s="74" t="s">
        <v>1729</v>
      </c>
      <c r="E1125" s="59" t="s">
        <v>2167</v>
      </c>
      <c r="F1125" s="75">
        <v>83</v>
      </c>
      <c r="G1125" s="64" t="s">
        <v>0</v>
      </c>
      <c r="H1125" s="78">
        <v>41431</v>
      </c>
      <c r="I1125" s="4" t="s">
        <v>957</v>
      </c>
      <c r="J1125" s="63" t="s">
        <v>1917</v>
      </c>
      <c r="K1125" s="63" t="s">
        <v>961</v>
      </c>
      <c r="L1125" s="69" t="s">
        <v>950</v>
      </c>
      <c r="M1125" s="99">
        <f t="shared" si="160"/>
        <v>20189.41</v>
      </c>
      <c r="N1125" s="99">
        <f t="shared" si="161"/>
        <v>243.25</v>
      </c>
      <c r="O1125" s="99">
        <v>20189.41</v>
      </c>
      <c r="P1125" s="65">
        <v>31800</v>
      </c>
      <c r="Q1125" s="65">
        <f t="shared" si="162"/>
        <v>6996</v>
      </c>
      <c r="R1125" s="65">
        <f t="shared" si="163"/>
        <v>38796</v>
      </c>
      <c r="S1125" s="276"/>
      <c r="T1125" s="64">
        <v>47</v>
      </c>
      <c r="U1125" s="274"/>
      <c r="V1125" s="38">
        <v>36510</v>
      </c>
      <c r="W1125" s="38">
        <f t="shared" si="164"/>
        <v>8032.2</v>
      </c>
      <c r="X1125" s="38">
        <f t="shared" si="165"/>
        <v>44542.2</v>
      </c>
    </row>
    <row r="1126" spans="1:24" ht="15" customHeight="1" x14ac:dyDescent="0.35">
      <c r="A1126" s="56"/>
      <c r="B1126" s="15"/>
      <c r="C1126" s="77"/>
      <c r="D1126" s="74"/>
      <c r="E1126" s="74"/>
      <c r="F1126" s="75"/>
      <c r="G1126" s="64"/>
      <c r="H1126" s="78"/>
      <c r="I1126" s="4"/>
      <c r="J1126" s="63"/>
      <c r="K1126" s="63"/>
      <c r="L1126" s="69"/>
      <c r="M1126" s="99"/>
      <c r="N1126" s="99"/>
      <c r="O1126" s="100">
        <f>SUM(O1053:O1125)</f>
        <v>678641.21</v>
      </c>
      <c r="P1126" s="100">
        <f t="shared" ref="P1126:R1126" si="166">SUM(P1053:P1125)</f>
        <v>1068990</v>
      </c>
      <c r="Q1126" s="100">
        <f t="shared" si="166"/>
        <v>235177.8</v>
      </c>
      <c r="R1126" s="100">
        <f t="shared" si="166"/>
        <v>1304167.8</v>
      </c>
      <c r="S1126" s="72">
        <f>R1126/100*10</f>
        <v>130416.78</v>
      </c>
      <c r="T1126" s="73">
        <v>47</v>
      </c>
      <c r="U1126" s="275"/>
      <c r="V1126" s="38"/>
      <c r="W1126" s="38"/>
      <c r="X1126" s="38"/>
    </row>
    <row r="1127" spans="1:24" ht="15" customHeight="1" x14ac:dyDescent="0.35">
      <c r="A1127" s="56" t="s">
        <v>3383</v>
      </c>
      <c r="B1127" s="2">
        <v>1076</v>
      </c>
      <c r="C1127" s="77">
        <v>10095538</v>
      </c>
      <c r="D1127" s="74" t="s">
        <v>327</v>
      </c>
      <c r="E1127" s="74" t="s">
        <v>2151</v>
      </c>
      <c r="F1127" s="75">
        <v>2</v>
      </c>
      <c r="G1127" s="64" t="s">
        <v>0</v>
      </c>
      <c r="H1127" s="61">
        <v>42824</v>
      </c>
      <c r="I1127" s="61" t="s">
        <v>972</v>
      </c>
      <c r="J1127" s="63" t="s">
        <v>1917</v>
      </c>
      <c r="K1127" s="61" t="s">
        <v>961</v>
      </c>
      <c r="L1127" s="61" t="s">
        <v>845</v>
      </c>
      <c r="M1127" s="65">
        <f t="shared" si="160"/>
        <v>554.6</v>
      </c>
      <c r="N1127" s="65">
        <f t="shared" ref="N1127:N1148" si="167">O1127/F1127</f>
        <v>277.3</v>
      </c>
      <c r="O1127" s="65">
        <v>554.6</v>
      </c>
      <c r="P1127" s="65">
        <v>420</v>
      </c>
      <c r="Q1127" s="65">
        <f t="shared" si="162"/>
        <v>92.4</v>
      </c>
      <c r="R1127" s="65">
        <f t="shared" si="163"/>
        <v>512.4</v>
      </c>
      <c r="S1127" s="267"/>
      <c r="T1127" s="64">
        <v>48</v>
      </c>
      <c r="U1127" s="273" t="s">
        <v>2272</v>
      </c>
      <c r="V1127" s="38">
        <v>473</v>
      </c>
      <c r="W1127" s="38">
        <f t="shared" si="164"/>
        <v>104.06</v>
      </c>
      <c r="X1127" s="38">
        <f t="shared" si="165"/>
        <v>577.05999999999995</v>
      </c>
    </row>
    <row r="1128" spans="1:24" ht="15" customHeight="1" x14ac:dyDescent="0.35">
      <c r="A1128" s="56" t="s">
        <v>3384</v>
      </c>
      <c r="B1128" s="2">
        <v>1077</v>
      </c>
      <c r="C1128" s="77">
        <v>10134195</v>
      </c>
      <c r="D1128" s="74" t="s">
        <v>333</v>
      </c>
      <c r="E1128" s="74" t="s">
        <v>2151</v>
      </c>
      <c r="F1128" s="75">
        <v>2</v>
      </c>
      <c r="G1128" s="64" t="s">
        <v>0</v>
      </c>
      <c r="H1128" s="61">
        <v>42824</v>
      </c>
      <c r="I1128" s="61" t="s">
        <v>972</v>
      </c>
      <c r="J1128" s="63" t="s">
        <v>1917</v>
      </c>
      <c r="K1128" s="61" t="s">
        <v>961</v>
      </c>
      <c r="L1128" s="61" t="s">
        <v>845</v>
      </c>
      <c r="M1128" s="65">
        <f t="shared" si="160"/>
        <v>323.04000000000002</v>
      </c>
      <c r="N1128" s="65">
        <f t="shared" si="167"/>
        <v>161.52000000000001</v>
      </c>
      <c r="O1128" s="65">
        <v>323.04000000000002</v>
      </c>
      <c r="P1128" s="65">
        <v>250</v>
      </c>
      <c r="Q1128" s="65">
        <f t="shared" si="162"/>
        <v>55</v>
      </c>
      <c r="R1128" s="65">
        <f t="shared" si="163"/>
        <v>305</v>
      </c>
      <c r="S1128" s="272"/>
      <c r="T1128" s="64">
        <v>48</v>
      </c>
      <c r="U1128" s="274"/>
      <c r="V1128" s="38">
        <v>276</v>
      </c>
      <c r="W1128" s="38">
        <f t="shared" si="164"/>
        <v>60.72</v>
      </c>
      <c r="X1128" s="38">
        <f t="shared" si="165"/>
        <v>336.72</v>
      </c>
    </row>
    <row r="1129" spans="1:24" ht="15" customHeight="1" x14ac:dyDescent="0.35">
      <c r="A1129" s="56" t="s">
        <v>3385</v>
      </c>
      <c r="B1129" s="2">
        <v>1078</v>
      </c>
      <c r="C1129" s="77">
        <v>10134214</v>
      </c>
      <c r="D1129" s="74" t="s">
        <v>334</v>
      </c>
      <c r="E1129" s="74" t="s">
        <v>2151</v>
      </c>
      <c r="F1129" s="75">
        <v>2</v>
      </c>
      <c r="G1129" s="64" t="s">
        <v>0</v>
      </c>
      <c r="H1129" s="61">
        <v>42824</v>
      </c>
      <c r="I1129" s="61" t="s">
        <v>972</v>
      </c>
      <c r="J1129" s="63" t="s">
        <v>1917</v>
      </c>
      <c r="K1129" s="61" t="s">
        <v>961</v>
      </c>
      <c r="L1129" s="61" t="s">
        <v>845</v>
      </c>
      <c r="M1129" s="65">
        <f t="shared" si="160"/>
        <v>308.54000000000002</v>
      </c>
      <c r="N1129" s="65">
        <f t="shared" si="167"/>
        <v>154.27000000000001</v>
      </c>
      <c r="O1129" s="65">
        <v>308.54000000000002</v>
      </c>
      <c r="P1129" s="65">
        <v>240</v>
      </c>
      <c r="Q1129" s="65">
        <f t="shared" si="162"/>
        <v>52.8</v>
      </c>
      <c r="R1129" s="65">
        <f t="shared" si="163"/>
        <v>292.8</v>
      </c>
      <c r="S1129" s="272"/>
      <c r="T1129" s="64">
        <v>48</v>
      </c>
      <c r="U1129" s="274"/>
      <c r="V1129" s="38">
        <v>263</v>
      </c>
      <c r="W1129" s="38">
        <f t="shared" si="164"/>
        <v>57.86</v>
      </c>
      <c r="X1129" s="38">
        <f t="shared" si="165"/>
        <v>320.86</v>
      </c>
    </row>
    <row r="1130" spans="1:24" ht="15" customHeight="1" x14ac:dyDescent="0.35">
      <c r="A1130" s="56" t="s">
        <v>3386</v>
      </c>
      <c r="B1130" s="2">
        <v>1079</v>
      </c>
      <c r="C1130" s="77">
        <v>10134230</v>
      </c>
      <c r="D1130" s="74" t="s">
        <v>351</v>
      </c>
      <c r="E1130" s="74" t="s">
        <v>2151</v>
      </c>
      <c r="F1130" s="75">
        <v>3</v>
      </c>
      <c r="G1130" s="64" t="s">
        <v>0</v>
      </c>
      <c r="H1130" s="61">
        <v>42824</v>
      </c>
      <c r="I1130" s="61" t="s">
        <v>972</v>
      </c>
      <c r="J1130" s="63" t="s">
        <v>1917</v>
      </c>
      <c r="K1130" s="61" t="s">
        <v>961</v>
      </c>
      <c r="L1130" s="61" t="s">
        <v>845</v>
      </c>
      <c r="M1130" s="65">
        <f t="shared" ref="M1130:M1193" si="168">O1130</f>
        <v>1202.82</v>
      </c>
      <c r="N1130" s="65">
        <f t="shared" si="167"/>
        <v>400.94</v>
      </c>
      <c r="O1130" s="65">
        <v>1202.82</v>
      </c>
      <c r="P1130" s="65">
        <v>920</v>
      </c>
      <c r="Q1130" s="65">
        <f t="shared" si="162"/>
        <v>202.4</v>
      </c>
      <c r="R1130" s="65">
        <f t="shared" si="163"/>
        <v>1122.4000000000001</v>
      </c>
      <c r="S1130" s="272"/>
      <c r="T1130" s="64">
        <v>48</v>
      </c>
      <c r="U1130" s="274"/>
      <c r="V1130" s="38">
        <v>1026</v>
      </c>
      <c r="W1130" s="38">
        <f t="shared" si="164"/>
        <v>225.72</v>
      </c>
      <c r="X1130" s="38">
        <f t="shared" si="165"/>
        <v>1251.72</v>
      </c>
    </row>
    <row r="1131" spans="1:24" ht="15" customHeight="1" x14ac:dyDescent="0.35">
      <c r="A1131" s="56" t="s">
        <v>3387</v>
      </c>
      <c r="B1131" s="2">
        <v>1080</v>
      </c>
      <c r="C1131" s="77">
        <v>10094708</v>
      </c>
      <c r="D1131" s="74" t="s">
        <v>353</v>
      </c>
      <c r="E1131" s="74" t="s">
        <v>2151</v>
      </c>
      <c r="F1131" s="75">
        <v>4</v>
      </c>
      <c r="G1131" s="64" t="s">
        <v>52</v>
      </c>
      <c r="H1131" s="61">
        <v>42824</v>
      </c>
      <c r="I1131" s="61" t="s">
        <v>972</v>
      </c>
      <c r="J1131" s="63" t="s">
        <v>1917</v>
      </c>
      <c r="K1131" s="61" t="s">
        <v>961</v>
      </c>
      <c r="L1131" s="61" t="s">
        <v>845</v>
      </c>
      <c r="M1131" s="65">
        <f t="shared" si="168"/>
        <v>572.80999999999995</v>
      </c>
      <c r="N1131" s="65">
        <f t="shared" si="167"/>
        <v>143.19999999999999</v>
      </c>
      <c r="O1131" s="65">
        <v>572.80999999999995</v>
      </c>
      <c r="P1131" s="65">
        <v>390</v>
      </c>
      <c r="Q1131" s="65">
        <f t="shared" si="162"/>
        <v>85.8</v>
      </c>
      <c r="R1131" s="65">
        <f t="shared" si="163"/>
        <v>475.8</v>
      </c>
      <c r="S1131" s="272"/>
      <c r="T1131" s="64">
        <v>48</v>
      </c>
      <c r="U1131" s="274"/>
      <c r="V1131" s="38">
        <v>432</v>
      </c>
      <c r="W1131" s="38">
        <f t="shared" si="164"/>
        <v>95.04</v>
      </c>
      <c r="X1131" s="38">
        <f t="shared" si="165"/>
        <v>527.04</v>
      </c>
    </row>
    <row r="1132" spans="1:24" ht="15" customHeight="1" x14ac:dyDescent="0.35">
      <c r="A1132" s="56" t="s">
        <v>3388</v>
      </c>
      <c r="B1132" s="2">
        <v>1081</v>
      </c>
      <c r="C1132" s="77">
        <v>10134216</v>
      </c>
      <c r="D1132" s="74" t="s">
        <v>356</v>
      </c>
      <c r="E1132" s="74" t="s">
        <v>2151</v>
      </c>
      <c r="F1132" s="75">
        <v>4</v>
      </c>
      <c r="G1132" s="64" t="s">
        <v>0</v>
      </c>
      <c r="H1132" s="61">
        <v>42824</v>
      </c>
      <c r="I1132" s="61" t="s">
        <v>972</v>
      </c>
      <c r="J1132" s="63" t="s">
        <v>1917</v>
      </c>
      <c r="K1132" s="61" t="s">
        <v>961</v>
      </c>
      <c r="L1132" s="61" t="s">
        <v>845</v>
      </c>
      <c r="M1132" s="65">
        <f t="shared" si="168"/>
        <v>1574.88</v>
      </c>
      <c r="N1132" s="65">
        <f t="shared" si="167"/>
        <v>393.72</v>
      </c>
      <c r="O1132" s="65">
        <v>1574.88</v>
      </c>
      <c r="P1132" s="65">
        <v>1200</v>
      </c>
      <c r="Q1132" s="65">
        <f t="shared" si="162"/>
        <v>264</v>
      </c>
      <c r="R1132" s="65">
        <f t="shared" si="163"/>
        <v>1464</v>
      </c>
      <c r="S1132" s="272"/>
      <c r="T1132" s="64">
        <v>48</v>
      </c>
      <c r="U1132" s="274"/>
      <c r="V1132" s="38">
        <v>1343</v>
      </c>
      <c r="W1132" s="38">
        <f t="shared" si="164"/>
        <v>295.45999999999998</v>
      </c>
      <c r="X1132" s="38">
        <f t="shared" si="165"/>
        <v>1638.46</v>
      </c>
    </row>
    <row r="1133" spans="1:24" ht="15" customHeight="1" x14ac:dyDescent="0.35">
      <c r="A1133" s="56" t="s">
        <v>3389</v>
      </c>
      <c r="B1133" s="2">
        <v>1082</v>
      </c>
      <c r="C1133" s="77">
        <v>10107989</v>
      </c>
      <c r="D1133" s="74" t="s">
        <v>360</v>
      </c>
      <c r="E1133" s="74" t="s">
        <v>2151</v>
      </c>
      <c r="F1133" s="75">
        <v>5</v>
      </c>
      <c r="G1133" s="64" t="s">
        <v>0</v>
      </c>
      <c r="H1133" s="61">
        <v>42824</v>
      </c>
      <c r="I1133" s="61" t="s">
        <v>972</v>
      </c>
      <c r="J1133" s="63" t="s">
        <v>1917</v>
      </c>
      <c r="K1133" s="61" t="s">
        <v>961</v>
      </c>
      <c r="L1133" s="61" t="s">
        <v>845</v>
      </c>
      <c r="M1133" s="65">
        <f t="shared" si="168"/>
        <v>1452.92</v>
      </c>
      <c r="N1133" s="65">
        <f t="shared" si="167"/>
        <v>290.58</v>
      </c>
      <c r="O1133" s="65">
        <v>1452.92</v>
      </c>
      <c r="P1133" s="65">
        <v>1110</v>
      </c>
      <c r="Q1133" s="65">
        <f t="shared" si="162"/>
        <v>244.2</v>
      </c>
      <c r="R1133" s="65">
        <f t="shared" si="163"/>
        <v>1354.2</v>
      </c>
      <c r="S1133" s="272"/>
      <c r="T1133" s="64">
        <v>48</v>
      </c>
      <c r="U1133" s="274"/>
      <c r="V1133" s="38">
        <v>1239</v>
      </c>
      <c r="W1133" s="38">
        <f t="shared" si="164"/>
        <v>272.58</v>
      </c>
      <c r="X1133" s="38">
        <f t="shared" si="165"/>
        <v>1511.58</v>
      </c>
    </row>
    <row r="1134" spans="1:24" ht="15" customHeight="1" x14ac:dyDescent="0.35">
      <c r="A1134" s="56" t="s">
        <v>3390</v>
      </c>
      <c r="B1134" s="2">
        <v>1083</v>
      </c>
      <c r="C1134" s="77">
        <v>10108004</v>
      </c>
      <c r="D1134" s="74" t="s">
        <v>361</v>
      </c>
      <c r="E1134" s="74" t="s">
        <v>2151</v>
      </c>
      <c r="F1134" s="75">
        <v>5</v>
      </c>
      <c r="G1134" s="64" t="s">
        <v>0</v>
      </c>
      <c r="H1134" s="61">
        <v>42824</v>
      </c>
      <c r="I1134" s="61" t="s">
        <v>972</v>
      </c>
      <c r="J1134" s="63" t="s">
        <v>1917</v>
      </c>
      <c r="K1134" s="61" t="s">
        <v>961</v>
      </c>
      <c r="L1134" s="61" t="s">
        <v>845</v>
      </c>
      <c r="M1134" s="65">
        <f t="shared" si="168"/>
        <v>3041.97</v>
      </c>
      <c r="N1134" s="65">
        <f t="shared" si="167"/>
        <v>608.39</v>
      </c>
      <c r="O1134" s="65">
        <v>3041.97</v>
      </c>
      <c r="P1134" s="65">
        <v>2320</v>
      </c>
      <c r="Q1134" s="65">
        <f t="shared" si="162"/>
        <v>510.4</v>
      </c>
      <c r="R1134" s="65">
        <f t="shared" si="163"/>
        <v>2830.4</v>
      </c>
      <c r="S1134" s="272"/>
      <c r="T1134" s="64">
        <v>48</v>
      </c>
      <c r="U1134" s="274"/>
      <c r="V1134" s="38">
        <v>2595</v>
      </c>
      <c r="W1134" s="38">
        <f t="shared" si="164"/>
        <v>570.9</v>
      </c>
      <c r="X1134" s="38">
        <f t="shared" si="165"/>
        <v>3165.9</v>
      </c>
    </row>
    <row r="1135" spans="1:24" ht="15" customHeight="1" x14ac:dyDescent="0.35">
      <c r="A1135" s="56" t="s">
        <v>3391</v>
      </c>
      <c r="B1135" s="2">
        <v>1084</v>
      </c>
      <c r="C1135" s="77">
        <v>10108006</v>
      </c>
      <c r="D1135" s="74" t="s">
        <v>367</v>
      </c>
      <c r="E1135" s="74" t="s">
        <v>2151</v>
      </c>
      <c r="F1135" s="75">
        <v>6</v>
      </c>
      <c r="G1135" s="64" t="s">
        <v>0</v>
      </c>
      <c r="H1135" s="61">
        <v>42824</v>
      </c>
      <c r="I1135" s="61" t="s">
        <v>972</v>
      </c>
      <c r="J1135" s="63" t="s">
        <v>1917</v>
      </c>
      <c r="K1135" s="61" t="s">
        <v>961</v>
      </c>
      <c r="L1135" s="61" t="s">
        <v>845</v>
      </c>
      <c r="M1135" s="65">
        <f t="shared" si="168"/>
        <v>1106.27</v>
      </c>
      <c r="N1135" s="65">
        <f t="shared" si="167"/>
        <v>184.38</v>
      </c>
      <c r="O1135" s="65">
        <v>1106.27</v>
      </c>
      <c r="P1135" s="65">
        <v>840</v>
      </c>
      <c r="Q1135" s="65">
        <f t="shared" si="162"/>
        <v>184.8</v>
      </c>
      <c r="R1135" s="65">
        <f t="shared" si="163"/>
        <v>1024.8</v>
      </c>
      <c r="S1135" s="272"/>
      <c r="T1135" s="64">
        <v>48</v>
      </c>
      <c r="U1135" s="274"/>
      <c r="V1135" s="38">
        <v>944</v>
      </c>
      <c r="W1135" s="38">
        <f t="shared" si="164"/>
        <v>207.68</v>
      </c>
      <c r="X1135" s="38">
        <f t="shared" si="165"/>
        <v>1151.68</v>
      </c>
    </row>
    <row r="1136" spans="1:24" ht="30" customHeight="1" x14ac:dyDescent="0.35">
      <c r="A1136" s="56" t="s">
        <v>3392</v>
      </c>
      <c r="B1136" s="2">
        <v>1085</v>
      </c>
      <c r="C1136" s="77">
        <v>10133856</v>
      </c>
      <c r="D1136" s="74" t="s">
        <v>369</v>
      </c>
      <c r="E1136" s="74" t="s">
        <v>2151</v>
      </c>
      <c r="F1136" s="75">
        <v>6</v>
      </c>
      <c r="G1136" s="64" t="s">
        <v>0</v>
      </c>
      <c r="H1136" s="61">
        <v>42824</v>
      </c>
      <c r="I1136" s="61" t="s">
        <v>972</v>
      </c>
      <c r="J1136" s="63" t="s">
        <v>1917</v>
      </c>
      <c r="K1136" s="61" t="s">
        <v>961</v>
      </c>
      <c r="L1136" s="61" t="s">
        <v>845</v>
      </c>
      <c r="M1136" s="65">
        <f t="shared" si="168"/>
        <v>1215.24</v>
      </c>
      <c r="N1136" s="65">
        <f t="shared" si="167"/>
        <v>202.54</v>
      </c>
      <c r="O1136" s="65">
        <v>1215.24</v>
      </c>
      <c r="P1136" s="65">
        <v>930</v>
      </c>
      <c r="Q1136" s="65">
        <f t="shared" si="162"/>
        <v>204.6</v>
      </c>
      <c r="R1136" s="65">
        <f t="shared" si="163"/>
        <v>1134.5999999999999</v>
      </c>
      <c r="S1136" s="272"/>
      <c r="T1136" s="64">
        <v>48</v>
      </c>
      <c r="U1136" s="274"/>
      <c r="V1136" s="38">
        <v>1037</v>
      </c>
      <c r="W1136" s="38">
        <f t="shared" si="164"/>
        <v>228.14</v>
      </c>
      <c r="X1136" s="38">
        <f t="shared" si="165"/>
        <v>1265.1400000000001</v>
      </c>
    </row>
    <row r="1137" spans="1:24" ht="15" customHeight="1" x14ac:dyDescent="0.35">
      <c r="A1137" s="56" t="s">
        <v>3393</v>
      </c>
      <c r="B1137" s="2">
        <v>1086</v>
      </c>
      <c r="C1137" s="77">
        <v>10134190</v>
      </c>
      <c r="D1137" s="74" t="s">
        <v>377</v>
      </c>
      <c r="E1137" s="74" t="s">
        <v>2151</v>
      </c>
      <c r="F1137" s="75">
        <v>9</v>
      </c>
      <c r="G1137" s="64" t="s">
        <v>0</v>
      </c>
      <c r="H1137" s="61">
        <v>42824</v>
      </c>
      <c r="I1137" s="61" t="s">
        <v>972</v>
      </c>
      <c r="J1137" s="63" t="s">
        <v>1917</v>
      </c>
      <c r="K1137" s="61" t="s">
        <v>961</v>
      </c>
      <c r="L1137" s="61" t="s">
        <v>845</v>
      </c>
      <c r="M1137" s="65">
        <f t="shared" si="168"/>
        <v>3215.52</v>
      </c>
      <c r="N1137" s="65">
        <f t="shared" si="167"/>
        <v>357.28</v>
      </c>
      <c r="O1137" s="65">
        <v>3215.52</v>
      </c>
      <c r="P1137" s="65">
        <v>2450</v>
      </c>
      <c r="Q1137" s="65">
        <f t="shared" si="162"/>
        <v>539</v>
      </c>
      <c r="R1137" s="65">
        <f t="shared" si="163"/>
        <v>2989</v>
      </c>
      <c r="S1137" s="272"/>
      <c r="T1137" s="64">
        <v>48</v>
      </c>
      <c r="U1137" s="274"/>
      <c r="V1137" s="38">
        <v>2743</v>
      </c>
      <c r="W1137" s="38">
        <f t="shared" si="164"/>
        <v>603.46</v>
      </c>
      <c r="X1137" s="38">
        <f t="shared" si="165"/>
        <v>3346.46</v>
      </c>
    </row>
    <row r="1138" spans="1:24" ht="15" customHeight="1" x14ac:dyDescent="0.35">
      <c r="A1138" s="56" t="s">
        <v>3394</v>
      </c>
      <c r="B1138" s="2">
        <v>1087</v>
      </c>
      <c r="C1138" s="77">
        <v>10130670</v>
      </c>
      <c r="D1138" s="74" t="s">
        <v>384</v>
      </c>
      <c r="E1138" s="74" t="s">
        <v>2151</v>
      </c>
      <c r="F1138" s="75">
        <v>18</v>
      </c>
      <c r="G1138" s="64" t="s">
        <v>0</v>
      </c>
      <c r="H1138" s="61">
        <v>42824</v>
      </c>
      <c r="I1138" s="61" t="s">
        <v>972</v>
      </c>
      <c r="J1138" s="63" t="s">
        <v>1917</v>
      </c>
      <c r="K1138" s="61" t="s">
        <v>961</v>
      </c>
      <c r="L1138" s="61" t="s">
        <v>845</v>
      </c>
      <c r="M1138" s="65">
        <f t="shared" si="168"/>
        <v>8952.1200000000008</v>
      </c>
      <c r="N1138" s="65">
        <f t="shared" si="167"/>
        <v>497.34</v>
      </c>
      <c r="O1138" s="65">
        <v>8952.1200000000008</v>
      </c>
      <c r="P1138" s="65">
        <v>6830</v>
      </c>
      <c r="Q1138" s="65">
        <f t="shared" si="162"/>
        <v>1502.6</v>
      </c>
      <c r="R1138" s="65">
        <f t="shared" si="163"/>
        <v>8332.6</v>
      </c>
      <c r="S1138" s="272"/>
      <c r="T1138" s="64">
        <v>48</v>
      </c>
      <c r="U1138" s="274"/>
      <c r="V1138" s="38">
        <v>7635</v>
      </c>
      <c r="W1138" s="38">
        <f t="shared" si="164"/>
        <v>1679.7</v>
      </c>
      <c r="X1138" s="38">
        <f t="shared" si="165"/>
        <v>9314.7000000000007</v>
      </c>
    </row>
    <row r="1139" spans="1:24" ht="15" customHeight="1" x14ac:dyDescent="0.35">
      <c r="A1139" s="56" t="s">
        <v>3395</v>
      </c>
      <c r="B1139" s="2">
        <v>1088</v>
      </c>
      <c r="C1139" s="74">
        <v>10108495</v>
      </c>
      <c r="D1139" s="74" t="s">
        <v>2136</v>
      </c>
      <c r="E1139" s="74" t="s">
        <v>2147</v>
      </c>
      <c r="F1139" s="75">
        <v>10</v>
      </c>
      <c r="G1139" s="64" t="s">
        <v>17</v>
      </c>
      <c r="H1139" s="64">
        <v>2007</v>
      </c>
      <c r="I1139" s="105" t="s">
        <v>972</v>
      </c>
      <c r="J1139" s="63" t="s">
        <v>1917</v>
      </c>
      <c r="K1139" s="63" t="s">
        <v>961</v>
      </c>
      <c r="L1139" s="61" t="s">
        <v>845</v>
      </c>
      <c r="M1139" s="65">
        <f t="shared" si="168"/>
        <v>275.60000000000002</v>
      </c>
      <c r="N1139" s="65">
        <f t="shared" si="167"/>
        <v>27.56</v>
      </c>
      <c r="O1139" s="65">
        <v>275.60000000000002</v>
      </c>
      <c r="P1139" s="65">
        <v>400</v>
      </c>
      <c r="Q1139" s="65">
        <f t="shared" si="162"/>
        <v>88</v>
      </c>
      <c r="R1139" s="65">
        <f t="shared" si="163"/>
        <v>488</v>
      </c>
      <c r="S1139" s="272"/>
      <c r="T1139" s="64">
        <v>48</v>
      </c>
      <c r="U1139" s="274"/>
      <c r="V1139" s="38">
        <v>446</v>
      </c>
      <c r="W1139" s="38">
        <f t="shared" si="164"/>
        <v>98.12</v>
      </c>
      <c r="X1139" s="38">
        <f t="shared" si="165"/>
        <v>544.12</v>
      </c>
    </row>
    <row r="1140" spans="1:24" ht="30" customHeight="1" x14ac:dyDescent="0.35">
      <c r="A1140" s="56" t="s">
        <v>3396</v>
      </c>
      <c r="B1140" s="2">
        <v>1089</v>
      </c>
      <c r="C1140" s="77">
        <v>10136935</v>
      </c>
      <c r="D1140" s="74" t="s">
        <v>94</v>
      </c>
      <c r="E1140" s="74" t="s">
        <v>2167</v>
      </c>
      <c r="F1140" s="75">
        <f>25-20</f>
        <v>5</v>
      </c>
      <c r="G1140" s="64" t="s">
        <v>17</v>
      </c>
      <c r="H1140" s="61" t="s">
        <v>502</v>
      </c>
      <c r="I1140" s="4" t="s">
        <v>957</v>
      </c>
      <c r="J1140" s="61" t="s">
        <v>1917</v>
      </c>
      <c r="K1140" s="61" t="s">
        <v>2006</v>
      </c>
      <c r="L1140" s="61" t="s">
        <v>2097</v>
      </c>
      <c r="M1140" s="65">
        <f t="shared" si="168"/>
        <v>465.65</v>
      </c>
      <c r="N1140" s="65">
        <f t="shared" si="167"/>
        <v>93.13</v>
      </c>
      <c r="O1140" s="65">
        <v>465.65</v>
      </c>
      <c r="P1140" s="65">
        <v>610</v>
      </c>
      <c r="Q1140" s="65">
        <f t="shared" si="162"/>
        <v>134.19999999999999</v>
      </c>
      <c r="R1140" s="65">
        <f t="shared" si="163"/>
        <v>744.2</v>
      </c>
      <c r="S1140" s="272"/>
      <c r="T1140" s="64">
        <v>48</v>
      </c>
      <c r="U1140" s="274"/>
      <c r="V1140" s="38">
        <v>679</v>
      </c>
      <c r="W1140" s="38">
        <f t="shared" si="164"/>
        <v>149.38</v>
      </c>
      <c r="X1140" s="38">
        <f t="shared" si="165"/>
        <v>828.38</v>
      </c>
    </row>
    <row r="1141" spans="1:24" ht="15" customHeight="1" x14ac:dyDescent="0.35">
      <c r="A1141" s="56" t="s">
        <v>3397</v>
      </c>
      <c r="B1141" s="2">
        <v>1090</v>
      </c>
      <c r="C1141" s="77">
        <v>10108003</v>
      </c>
      <c r="D1141" s="74" t="s">
        <v>120</v>
      </c>
      <c r="E1141" s="74" t="s">
        <v>2167</v>
      </c>
      <c r="F1141" s="75">
        <v>140</v>
      </c>
      <c r="G1141" s="64" t="s">
        <v>17</v>
      </c>
      <c r="H1141" s="61">
        <v>41974</v>
      </c>
      <c r="I1141" s="4" t="s">
        <v>957</v>
      </c>
      <c r="J1141" s="61" t="s">
        <v>1917</v>
      </c>
      <c r="K1141" s="61" t="s">
        <v>2007</v>
      </c>
      <c r="L1141" s="61" t="s">
        <v>2097</v>
      </c>
      <c r="M1141" s="65">
        <f t="shared" si="168"/>
        <v>9902.2000000000007</v>
      </c>
      <c r="N1141" s="65">
        <f t="shared" si="167"/>
        <v>70.73</v>
      </c>
      <c r="O1141" s="65">
        <v>9902.2000000000007</v>
      </c>
      <c r="P1141" s="65">
        <v>12930</v>
      </c>
      <c r="Q1141" s="65">
        <f t="shared" si="162"/>
        <v>2844.6</v>
      </c>
      <c r="R1141" s="65">
        <f t="shared" si="163"/>
        <v>15774.6</v>
      </c>
      <c r="S1141" s="272"/>
      <c r="T1141" s="64">
        <v>48</v>
      </c>
      <c r="U1141" s="274"/>
      <c r="V1141" s="38">
        <v>14446</v>
      </c>
      <c r="W1141" s="38">
        <f t="shared" si="164"/>
        <v>3178.12</v>
      </c>
      <c r="X1141" s="38">
        <f t="shared" si="165"/>
        <v>17624.12</v>
      </c>
    </row>
    <row r="1142" spans="1:24" ht="15" customHeight="1" x14ac:dyDescent="0.35">
      <c r="A1142" s="56" t="s">
        <v>3398</v>
      </c>
      <c r="B1142" s="2">
        <v>1091</v>
      </c>
      <c r="C1142" s="77">
        <v>10109047</v>
      </c>
      <c r="D1142" s="74" t="s">
        <v>129</v>
      </c>
      <c r="E1142" s="74" t="s">
        <v>2167</v>
      </c>
      <c r="F1142" s="75">
        <f>328-20-100-4</f>
        <v>204</v>
      </c>
      <c r="G1142" s="64" t="s">
        <v>17</v>
      </c>
      <c r="H1142" s="61">
        <v>41974</v>
      </c>
      <c r="I1142" s="4" t="s">
        <v>957</v>
      </c>
      <c r="J1142" s="61" t="s">
        <v>1917</v>
      </c>
      <c r="K1142" s="61" t="s">
        <v>2008</v>
      </c>
      <c r="L1142" s="61" t="s">
        <v>2097</v>
      </c>
      <c r="M1142" s="65">
        <f t="shared" si="168"/>
        <v>14427.13</v>
      </c>
      <c r="N1142" s="65">
        <f t="shared" si="167"/>
        <v>70.72</v>
      </c>
      <c r="O1142" s="65">
        <f>21782.13/308*204</f>
        <v>14427.13</v>
      </c>
      <c r="P1142" s="65">
        <v>18840</v>
      </c>
      <c r="Q1142" s="65">
        <f t="shared" si="162"/>
        <v>4144.8</v>
      </c>
      <c r="R1142" s="65">
        <f t="shared" si="163"/>
        <v>22984.799999999999</v>
      </c>
      <c r="S1142" s="272"/>
      <c r="T1142" s="64">
        <v>48</v>
      </c>
      <c r="U1142" s="274"/>
      <c r="V1142" s="38">
        <v>21048</v>
      </c>
      <c r="W1142" s="38">
        <f t="shared" si="164"/>
        <v>4630.5600000000004</v>
      </c>
      <c r="X1142" s="38">
        <f t="shared" si="165"/>
        <v>25678.560000000001</v>
      </c>
    </row>
    <row r="1143" spans="1:24" ht="15" customHeight="1" x14ac:dyDescent="0.35">
      <c r="A1143" s="56" t="s">
        <v>3399</v>
      </c>
      <c r="B1143" s="2">
        <v>1092</v>
      </c>
      <c r="C1143" s="77">
        <v>10111975</v>
      </c>
      <c r="D1143" s="74" t="s">
        <v>85</v>
      </c>
      <c r="E1143" s="74" t="s">
        <v>2167</v>
      </c>
      <c r="F1143" s="75">
        <v>13</v>
      </c>
      <c r="G1143" s="64" t="s">
        <v>28</v>
      </c>
      <c r="H1143" s="101">
        <v>2014</v>
      </c>
      <c r="I1143" s="4" t="s">
        <v>957</v>
      </c>
      <c r="J1143" s="61" t="s">
        <v>1917</v>
      </c>
      <c r="K1143" s="101" t="s">
        <v>2034</v>
      </c>
      <c r="L1143" s="61" t="s">
        <v>2097</v>
      </c>
      <c r="M1143" s="65">
        <f t="shared" si="168"/>
        <v>6672.7</v>
      </c>
      <c r="N1143" s="65">
        <f t="shared" si="167"/>
        <v>513.28</v>
      </c>
      <c r="O1143" s="65">
        <v>6672.7</v>
      </c>
      <c r="P1143" s="65">
        <v>8920</v>
      </c>
      <c r="Q1143" s="65">
        <f t="shared" si="162"/>
        <v>1962.4</v>
      </c>
      <c r="R1143" s="65">
        <f t="shared" si="163"/>
        <v>10882.4</v>
      </c>
      <c r="S1143" s="272"/>
      <c r="T1143" s="64">
        <v>48</v>
      </c>
      <c r="U1143" s="274"/>
      <c r="V1143" s="38">
        <v>9963</v>
      </c>
      <c r="W1143" s="38">
        <f t="shared" si="164"/>
        <v>2191.86</v>
      </c>
      <c r="X1143" s="38">
        <f t="shared" si="165"/>
        <v>12154.86</v>
      </c>
    </row>
    <row r="1144" spans="1:24" ht="15" customHeight="1" x14ac:dyDescent="0.35">
      <c r="A1144" s="56" t="s">
        <v>3400</v>
      </c>
      <c r="B1144" s="2">
        <v>1093</v>
      </c>
      <c r="C1144" s="77">
        <v>10015411</v>
      </c>
      <c r="D1144" s="74" t="s">
        <v>102</v>
      </c>
      <c r="E1144" s="74" t="s">
        <v>2167</v>
      </c>
      <c r="F1144" s="75">
        <v>42</v>
      </c>
      <c r="G1144" s="64" t="s">
        <v>0</v>
      </c>
      <c r="H1144" s="101">
        <v>2014</v>
      </c>
      <c r="I1144" s="4" t="s">
        <v>957</v>
      </c>
      <c r="J1144" s="61" t="s">
        <v>1917</v>
      </c>
      <c r="K1144" s="101" t="s">
        <v>2039</v>
      </c>
      <c r="L1144" s="61" t="s">
        <v>2097</v>
      </c>
      <c r="M1144" s="65">
        <f t="shared" si="168"/>
        <v>10366.02</v>
      </c>
      <c r="N1144" s="65">
        <f t="shared" si="167"/>
        <v>246.81</v>
      </c>
      <c r="O1144" s="65">
        <v>10366.02</v>
      </c>
      <c r="P1144" s="65">
        <v>13850</v>
      </c>
      <c r="Q1144" s="65">
        <f t="shared" ref="Q1144:Q1207" si="169">P1144*0.22</f>
        <v>3047</v>
      </c>
      <c r="R1144" s="65">
        <f t="shared" ref="R1144:R1207" si="170">P1144+Q1144</f>
        <v>16897</v>
      </c>
      <c r="S1144" s="272"/>
      <c r="T1144" s="64">
        <v>48</v>
      </c>
      <c r="U1144" s="274"/>
      <c r="V1144" s="38">
        <v>15477</v>
      </c>
      <c r="W1144" s="38">
        <f t="shared" ref="W1144:W1207" si="171">V1144*0.22</f>
        <v>3404.94</v>
      </c>
      <c r="X1144" s="38">
        <f t="shared" si="165"/>
        <v>18881.939999999999</v>
      </c>
    </row>
    <row r="1145" spans="1:24" ht="15" customHeight="1" x14ac:dyDescent="0.35">
      <c r="A1145" s="56" t="s">
        <v>3401</v>
      </c>
      <c r="B1145" s="2">
        <v>1094</v>
      </c>
      <c r="C1145" s="77">
        <v>10110758</v>
      </c>
      <c r="D1145" s="74" t="s">
        <v>105</v>
      </c>
      <c r="E1145" s="74" t="s">
        <v>2167</v>
      </c>
      <c r="F1145" s="75">
        <v>50</v>
      </c>
      <c r="G1145" s="64" t="s">
        <v>0</v>
      </c>
      <c r="H1145" s="101">
        <v>2014</v>
      </c>
      <c r="I1145" s="4" t="s">
        <v>957</v>
      </c>
      <c r="J1145" s="61" t="s">
        <v>1917</v>
      </c>
      <c r="K1145" s="101" t="s">
        <v>2041</v>
      </c>
      <c r="L1145" s="61" t="s">
        <v>2097</v>
      </c>
      <c r="M1145" s="65">
        <f t="shared" si="168"/>
        <v>264.5</v>
      </c>
      <c r="N1145" s="65">
        <f t="shared" si="167"/>
        <v>5.29</v>
      </c>
      <c r="O1145" s="65">
        <v>264.5</v>
      </c>
      <c r="P1145" s="65">
        <v>330</v>
      </c>
      <c r="Q1145" s="65">
        <f t="shared" si="169"/>
        <v>72.599999999999994</v>
      </c>
      <c r="R1145" s="65">
        <f t="shared" si="170"/>
        <v>402.6</v>
      </c>
      <c r="S1145" s="272"/>
      <c r="T1145" s="64">
        <v>48</v>
      </c>
      <c r="U1145" s="274"/>
      <c r="V1145" s="38">
        <v>370</v>
      </c>
      <c r="W1145" s="38">
        <f t="shared" si="171"/>
        <v>81.400000000000006</v>
      </c>
      <c r="X1145" s="38">
        <f t="shared" si="165"/>
        <v>451.4</v>
      </c>
    </row>
    <row r="1146" spans="1:24" ht="15" customHeight="1" x14ac:dyDescent="0.35">
      <c r="A1146" s="56" t="s">
        <v>3402</v>
      </c>
      <c r="B1146" s="2">
        <v>1095</v>
      </c>
      <c r="C1146" s="77">
        <v>10010748</v>
      </c>
      <c r="D1146" s="74" t="s">
        <v>116</v>
      </c>
      <c r="E1146" s="74" t="s">
        <v>2167</v>
      </c>
      <c r="F1146" s="75">
        <f>88-35</f>
        <v>53</v>
      </c>
      <c r="G1146" s="64" t="s">
        <v>52</v>
      </c>
      <c r="H1146" s="101">
        <v>2014</v>
      </c>
      <c r="I1146" s="4" t="s">
        <v>957</v>
      </c>
      <c r="J1146" s="61" t="s">
        <v>1917</v>
      </c>
      <c r="K1146" s="101" t="s">
        <v>2045</v>
      </c>
      <c r="L1146" s="61" t="s">
        <v>2097</v>
      </c>
      <c r="M1146" s="65">
        <f t="shared" si="168"/>
        <v>5157.71</v>
      </c>
      <c r="N1146" s="65">
        <f t="shared" si="167"/>
        <v>97.32</v>
      </c>
      <c r="O1146" s="65">
        <f>8563.74/88*53</f>
        <v>5157.71</v>
      </c>
      <c r="P1146" s="65">
        <v>6460</v>
      </c>
      <c r="Q1146" s="65">
        <f t="shared" si="169"/>
        <v>1421.2</v>
      </c>
      <c r="R1146" s="65">
        <f t="shared" si="170"/>
        <v>7881.2</v>
      </c>
      <c r="S1146" s="272"/>
      <c r="T1146" s="64">
        <v>48</v>
      </c>
      <c r="U1146" s="274"/>
      <c r="V1146" s="38">
        <v>7222</v>
      </c>
      <c r="W1146" s="38">
        <f t="shared" si="171"/>
        <v>1588.84</v>
      </c>
      <c r="X1146" s="38">
        <f t="shared" ref="X1146:X1209" si="172">V1146+W1146</f>
        <v>8810.84</v>
      </c>
    </row>
    <row r="1147" spans="1:24" ht="15" customHeight="1" x14ac:dyDescent="0.35">
      <c r="A1147" s="56" t="s">
        <v>3998</v>
      </c>
      <c r="B1147" s="2">
        <v>1096</v>
      </c>
      <c r="C1147" s="77">
        <v>10010748</v>
      </c>
      <c r="D1147" s="74" t="s">
        <v>116</v>
      </c>
      <c r="E1147" s="74" t="s">
        <v>2167</v>
      </c>
      <c r="F1147" s="75">
        <v>35</v>
      </c>
      <c r="G1147" s="64" t="s">
        <v>52</v>
      </c>
      <c r="H1147" s="101">
        <v>2014</v>
      </c>
      <c r="I1147" s="4" t="s">
        <v>957</v>
      </c>
      <c r="J1147" s="63" t="s">
        <v>1917</v>
      </c>
      <c r="K1147" s="63" t="s">
        <v>961</v>
      </c>
      <c r="L1147" s="69" t="s">
        <v>950</v>
      </c>
      <c r="M1147" s="65">
        <f t="shared" si="168"/>
        <v>3406.03</v>
      </c>
      <c r="N1147" s="65">
        <f t="shared" si="167"/>
        <v>97.32</v>
      </c>
      <c r="O1147" s="65">
        <v>3406.03</v>
      </c>
      <c r="P1147" s="65">
        <v>5000</v>
      </c>
      <c r="Q1147" s="65">
        <f t="shared" si="169"/>
        <v>1100</v>
      </c>
      <c r="R1147" s="65">
        <f t="shared" si="170"/>
        <v>6100</v>
      </c>
      <c r="S1147" s="272"/>
      <c r="T1147" s="64">
        <v>48</v>
      </c>
      <c r="U1147" s="274"/>
      <c r="V1147" s="38">
        <v>5591</v>
      </c>
      <c r="W1147" s="38">
        <f t="shared" si="171"/>
        <v>1230.02</v>
      </c>
      <c r="X1147" s="38">
        <f t="shared" si="172"/>
        <v>6821.02</v>
      </c>
    </row>
    <row r="1148" spans="1:24" ht="15" customHeight="1" x14ac:dyDescent="0.35">
      <c r="A1148" s="56" t="s">
        <v>3403</v>
      </c>
      <c r="B1148" s="2">
        <v>1097</v>
      </c>
      <c r="C1148" s="77">
        <v>10007615</v>
      </c>
      <c r="D1148" s="74" t="s">
        <v>507</v>
      </c>
      <c r="E1148" s="74" t="s">
        <v>2167</v>
      </c>
      <c r="F1148" s="75">
        <v>1</v>
      </c>
      <c r="G1148" s="64" t="s">
        <v>52</v>
      </c>
      <c r="H1148" s="101">
        <v>2014</v>
      </c>
      <c r="I1148" s="4" t="s">
        <v>957</v>
      </c>
      <c r="J1148" s="61" t="s">
        <v>1917</v>
      </c>
      <c r="K1148" s="101" t="s">
        <v>2052</v>
      </c>
      <c r="L1148" s="61" t="s">
        <v>2097</v>
      </c>
      <c r="M1148" s="65">
        <f t="shared" si="168"/>
        <v>546.61</v>
      </c>
      <c r="N1148" s="65">
        <f t="shared" si="167"/>
        <v>546.61</v>
      </c>
      <c r="O1148" s="65">
        <v>546.61</v>
      </c>
      <c r="P1148" s="65">
        <v>730</v>
      </c>
      <c r="Q1148" s="65">
        <f t="shared" si="169"/>
        <v>160.6</v>
      </c>
      <c r="R1148" s="65">
        <f t="shared" si="170"/>
        <v>890.6</v>
      </c>
      <c r="S1148" s="276"/>
      <c r="T1148" s="64">
        <v>48</v>
      </c>
      <c r="U1148" s="274"/>
      <c r="V1148" s="38">
        <v>816</v>
      </c>
      <c r="W1148" s="38">
        <f t="shared" si="171"/>
        <v>179.52</v>
      </c>
      <c r="X1148" s="38">
        <f t="shared" si="172"/>
        <v>995.52</v>
      </c>
    </row>
    <row r="1149" spans="1:24" ht="15" customHeight="1" x14ac:dyDescent="0.35">
      <c r="A1149" s="56"/>
      <c r="B1149" s="15"/>
      <c r="C1149" s="77"/>
      <c r="D1149" s="74"/>
      <c r="E1149" s="74"/>
      <c r="F1149" s="75"/>
      <c r="G1149" s="64"/>
      <c r="H1149" s="101"/>
      <c r="I1149" s="4"/>
      <c r="J1149" s="61"/>
      <c r="K1149" s="101"/>
      <c r="L1149" s="61"/>
      <c r="M1149" s="65"/>
      <c r="N1149" s="65"/>
      <c r="O1149" s="126">
        <f>SUM(O1127:O1148)</f>
        <v>75004.88</v>
      </c>
      <c r="P1149" s="126">
        <f t="shared" ref="P1149:R1149" si="173">SUM(P1127:P1148)</f>
        <v>85970</v>
      </c>
      <c r="Q1149" s="126">
        <f t="shared" si="173"/>
        <v>18913.400000000001</v>
      </c>
      <c r="R1149" s="126">
        <f t="shared" si="173"/>
        <v>104883.4</v>
      </c>
      <c r="S1149" s="72">
        <f>R1149/100*10</f>
        <v>10488.34</v>
      </c>
      <c r="T1149" s="73">
        <v>48</v>
      </c>
      <c r="U1149" s="275"/>
      <c r="V1149" s="38"/>
      <c r="W1149" s="38"/>
      <c r="X1149" s="38"/>
    </row>
    <row r="1150" spans="1:24" ht="15" customHeight="1" x14ac:dyDescent="0.35">
      <c r="A1150" s="56" t="s">
        <v>3404</v>
      </c>
      <c r="B1150" s="2">
        <v>1098</v>
      </c>
      <c r="C1150" s="77">
        <v>10118929</v>
      </c>
      <c r="D1150" s="74" t="s">
        <v>1628</v>
      </c>
      <c r="E1150" s="74" t="s">
        <v>2167</v>
      </c>
      <c r="F1150" s="75">
        <v>1</v>
      </c>
      <c r="G1150" s="64" t="s">
        <v>0</v>
      </c>
      <c r="H1150" s="78">
        <v>41610</v>
      </c>
      <c r="I1150" s="4" t="s">
        <v>957</v>
      </c>
      <c r="J1150" s="63" t="s">
        <v>1917</v>
      </c>
      <c r="K1150" s="63" t="s">
        <v>961</v>
      </c>
      <c r="L1150" s="69" t="s">
        <v>950</v>
      </c>
      <c r="M1150" s="70">
        <f t="shared" si="168"/>
        <v>190.68</v>
      </c>
      <c r="N1150" s="70">
        <f t="shared" ref="N1150:N1169" si="174">O1150/F1150</f>
        <v>190.68</v>
      </c>
      <c r="O1150" s="70">
        <v>190.68</v>
      </c>
      <c r="P1150" s="65">
        <v>310</v>
      </c>
      <c r="Q1150" s="65">
        <f t="shared" si="169"/>
        <v>68.2</v>
      </c>
      <c r="R1150" s="65">
        <f t="shared" si="170"/>
        <v>378.2</v>
      </c>
      <c r="S1150" s="267"/>
      <c r="T1150" s="64">
        <v>49</v>
      </c>
      <c r="U1150" s="270" t="s">
        <v>2273</v>
      </c>
      <c r="V1150" s="38">
        <v>341</v>
      </c>
      <c r="W1150" s="38">
        <f t="shared" si="171"/>
        <v>75.02</v>
      </c>
      <c r="X1150" s="38">
        <f t="shared" si="172"/>
        <v>416.02</v>
      </c>
    </row>
    <row r="1151" spans="1:24" ht="15" customHeight="1" x14ac:dyDescent="0.35">
      <c r="A1151" s="56" t="s">
        <v>3405</v>
      </c>
      <c r="B1151" s="2">
        <v>1099</v>
      </c>
      <c r="C1151" s="77">
        <v>10116829</v>
      </c>
      <c r="D1151" s="74" t="s">
        <v>1630</v>
      </c>
      <c r="E1151" s="74" t="s">
        <v>2167</v>
      </c>
      <c r="F1151" s="75">
        <v>3</v>
      </c>
      <c r="G1151" s="64" t="s">
        <v>0</v>
      </c>
      <c r="H1151" s="78">
        <v>41610</v>
      </c>
      <c r="I1151" s="4" t="s">
        <v>957</v>
      </c>
      <c r="J1151" s="63" t="s">
        <v>1917</v>
      </c>
      <c r="K1151" s="63" t="s">
        <v>961</v>
      </c>
      <c r="L1151" s="69" t="s">
        <v>950</v>
      </c>
      <c r="M1151" s="70">
        <f t="shared" si="168"/>
        <v>508.47</v>
      </c>
      <c r="N1151" s="70">
        <f t="shared" si="174"/>
        <v>169.49</v>
      </c>
      <c r="O1151" s="70">
        <v>508.47</v>
      </c>
      <c r="P1151" s="65">
        <v>810</v>
      </c>
      <c r="Q1151" s="65">
        <f t="shared" si="169"/>
        <v>178.2</v>
      </c>
      <c r="R1151" s="65">
        <f t="shared" si="170"/>
        <v>988.2</v>
      </c>
      <c r="S1151" s="272"/>
      <c r="T1151" s="64">
        <v>49</v>
      </c>
      <c r="U1151" s="274"/>
      <c r="V1151" s="38">
        <v>909</v>
      </c>
      <c r="W1151" s="38">
        <f t="shared" si="171"/>
        <v>199.98</v>
      </c>
      <c r="X1151" s="38">
        <f t="shared" si="172"/>
        <v>1108.98</v>
      </c>
    </row>
    <row r="1152" spans="1:24" ht="15" customHeight="1" x14ac:dyDescent="0.35">
      <c r="A1152" s="56" t="s">
        <v>3406</v>
      </c>
      <c r="B1152" s="2">
        <v>1100</v>
      </c>
      <c r="C1152" s="77">
        <v>10006186</v>
      </c>
      <c r="D1152" s="74" t="s">
        <v>84</v>
      </c>
      <c r="E1152" s="74" t="s">
        <v>2167</v>
      </c>
      <c r="F1152" s="75">
        <v>13</v>
      </c>
      <c r="G1152" s="64" t="s">
        <v>8</v>
      </c>
      <c r="H1152" s="101">
        <v>2014</v>
      </c>
      <c r="I1152" s="4" t="s">
        <v>957</v>
      </c>
      <c r="J1152" s="61" t="s">
        <v>1917</v>
      </c>
      <c r="K1152" s="101" t="s">
        <v>2072</v>
      </c>
      <c r="L1152" s="63" t="s">
        <v>950</v>
      </c>
      <c r="M1152" s="76">
        <f t="shared" si="168"/>
        <v>1000.02</v>
      </c>
      <c r="N1152" s="76">
        <f t="shared" si="174"/>
        <v>76.92</v>
      </c>
      <c r="O1152" s="76">
        <v>1000.02</v>
      </c>
      <c r="P1152" s="65">
        <v>1620</v>
      </c>
      <c r="Q1152" s="65">
        <f t="shared" si="169"/>
        <v>356.4</v>
      </c>
      <c r="R1152" s="65">
        <f t="shared" si="170"/>
        <v>1976.4</v>
      </c>
      <c r="S1152" s="272"/>
      <c r="T1152" s="64">
        <v>49</v>
      </c>
      <c r="U1152" s="274"/>
      <c r="V1152" s="38">
        <v>1815</v>
      </c>
      <c r="W1152" s="38">
        <f t="shared" si="171"/>
        <v>399.3</v>
      </c>
      <c r="X1152" s="38">
        <f t="shared" si="172"/>
        <v>2214.3000000000002</v>
      </c>
    </row>
    <row r="1153" spans="1:24" ht="15" customHeight="1" x14ac:dyDescent="0.35">
      <c r="A1153" s="56" t="s">
        <v>3407</v>
      </c>
      <c r="B1153" s="2">
        <v>1101</v>
      </c>
      <c r="C1153" s="77">
        <v>10006175</v>
      </c>
      <c r="D1153" s="74" t="s">
        <v>510</v>
      </c>
      <c r="E1153" s="74" t="s">
        <v>2167</v>
      </c>
      <c r="F1153" s="75">
        <v>1</v>
      </c>
      <c r="G1153" s="75" t="s">
        <v>8</v>
      </c>
      <c r="H1153" s="63">
        <v>2014</v>
      </c>
      <c r="I1153" s="4" t="s">
        <v>957</v>
      </c>
      <c r="J1153" s="63" t="s">
        <v>1917</v>
      </c>
      <c r="K1153" s="63" t="s">
        <v>961</v>
      </c>
      <c r="L1153" s="63" t="s">
        <v>950</v>
      </c>
      <c r="M1153" s="76">
        <f t="shared" si="168"/>
        <v>81.569999999999993</v>
      </c>
      <c r="N1153" s="76">
        <f t="shared" si="174"/>
        <v>81.569999999999993</v>
      </c>
      <c r="O1153" s="76">
        <v>81.569999999999993</v>
      </c>
      <c r="P1153" s="65">
        <v>130</v>
      </c>
      <c r="Q1153" s="65">
        <f t="shared" si="169"/>
        <v>28.6</v>
      </c>
      <c r="R1153" s="65">
        <f t="shared" si="170"/>
        <v>158.6</v>
      </c>
      <c r="S1153" s="272"/>
      <c r="T1153" s="64">
        <v>49</v>
      </c>
      <c r="U1153" s="274"/>
      <c r="V1153" s="38">
        <v>148</v>
      </c>
      <c r="W1153" s="38">
        <f t="shared" si="171"/>
        <v>32.56</v>
      </c>
      <c r="X1153" s="38">
        <f t="shared" si="172"/>
        <v>180.56</v>
      </c>
    </row>
    <row r="1154" spans="1:24" ht="15" customHeight="1" x14ac:dyDescent="0.35">
      <c r="A1154" s="56" t="s">
        <v>3408</v>
      </c>
      <c r="B1154" s="2">
        <v>1102</v>
      </c>
      <c r="C1154" s="77">
        <v>10097503</v>
      </c>
      <c r="D1154" s="74" t="s">
        <v>1740</v>
      </c>
      <c r="E1154" s="74" t="s">
        <v>2167</v>
      </c>
      <c r="F1154" s="75">
        <v>50</v>
      </c>
      <c r="G1154" s="64" t="s">
        <v>8</v>
      </c>
      <c r="H1154" s="78">
        <v>42520</v>
      </c>
      <c r="I1154" s="4" t="s">
        <v>957</v>
      </c>
      <c r="J1154" s="63" t="s">
        <v>1917</v>
      </c>
      <c r="K1154" s="63" t="s">
        <v>961</v>
      </c>
      <c r="L1154" s="69" t="s">
        <v>950</v>
      </c>
      <c r="M1154" s="70">
        <f t="shared" si="168"/>
        <v>59844</v>
      </c>
      <c r="N1154" s="70">
        <f t="shared" si="174"/>
        <v>1196.8800000000001</v>
      </c>
      <c r="O1154" s="70">
        <v>59844</v>
      </c>
      <c r="P1154" s="65">
        <v>86650</v>
      </c>
      <c r="Q1154" s="65">
        <f t="shared" si="169"/>
        <v>19063</v>
      </c>
      <c r="R1154" s="65">
        <f t="shared" si="170"/>
        <v>105713</v>
      </c>
      <c r="S1154" s="272"/>
      <c r="T1154" s="64">
        <v>49</v>
      </c>
      <c r="U1154" s="274"/>
      <c r="V1154" s="38">
        <v>96812</v>
      </c>
      <c r="W1154" s="38">
        <f t="shared" si="171"/>
        <v>21298.639999999999</v>
      </c>
      <c r="X1154" s="38">
        <f t="shared" si="172"/>
        <v>118110.64</v>
      </c>
    </row>
    <row r="1155" spans="1:24" ht="15" customHeight="1" x14ac:dyDescent="0.35">
      <c r="A1155" s="56" t="s">
        <v>3409</v>
      </c>
      <c r="B1155" s="2">
        <v>1103</v>
      </c>
      <c r="C1155" s="77">
        <v>10135922</v>
      </c>
      <c r="D1155" s="74" t="s">
        <v>1745</v>
      </c>
      <c r="E1155" s="74" t="s">
        <v>2167</v>
      </c>
      <c r="F1155" s="75">
        <v>1</v>
      </c>
      <c r="G1155" s="64" t="s">
        <v>0</v>
      </c>
      <c r="H1155" s="78">
        <v>41176</v>
      </c>
      <c r="I1155" s="4" t="s">
        <v>957</v>
      </c>
      <c r="J1155" s="63" t="s">
        <v>1917</v>
      </c>
      <c r="K1155" s="63" t="s">
        <v>961</v>
      </c>
      <c r="L1155" s="69" t="s">
        <v>950</v>
      </c>
      <c r="M1155" s="70">
        <f t="shared" si="168"/>
        <v>19332.810000000001</v>
      </c>
      <c r="N1155" s="70">
        <f t="shared" si="174"/>
        <v>19332.810000000001</v>
      </c>
      <c r="O1155" s="70">
        <v>19332.810000000001</v>
      </c>
      <c r="P1155" s="65">
        <v>31160</v>
      </c>
      <c r="Q1155" s="65">
        <f t="shared" si="169"/>
        <v>6855.2</v>
      </c>
      <c r="R1155" s="65">
        <f t="shared" si="170"/>
        <v>38015.199999999997</v>
      </c>
      <c r="S1155" s="272"/>
      <c r="T1155" s="64">
        <v>49</v>
      </c>
      <c r="U1155" s="274"/>
      <c r="V1155" s="38">
        <v>34818</v>
      </c>
      <c r="W1155" s="38">
        <f t="shared" si="171"/>
        <v>7659.96</v>
      </c>
      <c r="X1155" s="38">
        <f t="shared" si="172"/>
        <v>42477.96</v>
      </c>
    </row>
    <row r="1156" spans="1:24" ht="15" customHeight="1" x14ac:dyDescent="0.35">
      <c r="A1156" s="56" t="s">
        <v>3410</v>
      </c>
      <c r="B1156" s="2">
        <v>1104</v>
      </c>
      <c r="C1156" s="77">
        <v>10135921</v>
      </c>
      <c r="D1156" s="74" t="s">
        <v>1746</v>
      </c>
      <c r="E1156" s="74" t="s">
        <v>2167</v>
      </c>
      <c r="F1156" s="75">
        <v>1</v>
      </c>
      <c r="G1156" s="64" t="s">
        <v>0</v>
      </c>
      <c r="H1156" s="78">
        <v>41176</v>
      </c>
      <c r="I1156" s="4" t="s">
        <v>957</v>
      </c>
      <c r="J1156" s="63" t="s">
        <v>1917</v>
      </c>
      <c r="K1156" s="63" t="s">
        <v>961</v>
      </c>
      <c r="L1156" s="69" t="s">
        <v>950</v>
      </c>
      <c r="M1156" s="70">
        <f t="shared" si="168"/>
        <v>81250.509999999995</v>
      </c>
      <c r="N1156" s="70">
        <f t="shared" si="174"/>
        <v>81250.509999999995</v>
      </c>
      <c r="O1156" s="70">
        <v>81250.509999999995</v>
      </c>
      <c r="P1156" s="65">
        <v>130960</v>
      </c>
      <c r="Q1156" s="65">
        <f t="shared" si="169"/>
        <v>28811.200000000001</v>
      </c>
      <c r="R1156" s="65">
        <f t="shared" si="170"/>
        <v>159771.20000000001</v>
      </c>
      <c r="S1156" s="272"/>
      <c r="T1156" s="64">
        <v>49</v>
      </c>
      <c r="U1156" s="274"/>
      <c r="V1156" s="38">
        <v>146329</v>
      </c>
      <c r="W1156" s="38">
        <f t="shared" si="171"/>
        <v>32192.38</v>
      </c>
      <c r="X1156" s="38">
        <f t="shared" si="172"/>
        <v>178521.38</v>
      </c>
    </row>
    <row r="1157" spans="1:24" ht="15" customHeight="1" x14ac:dyDescent="0.35">
      <c r="A1157" s="56" t="s">
        <v>3411</v>
      </c>
      <c r="B1157" s="2">
        <v>1105</v>
      </c>
      <c r="C1157" s="77">
        <v>10135934</v>
      </c>
      <c r="D1157" s="74" t="s">
        <v>1747</v>
      </c>
      <c r="E1157" s="74" t="s">
        <v>2167</v>
      </c>
      <c r="F1157" s="75">
        <v>1</v>
      </c>
      <c r="G1157" s="64" t="s">
        <v>0</v>
      </c>
      <c r="H1157" s="78">
        <v>41176</v>
      </c>
      <c r="I1157" s="4" t="s">
        <v>957</v>
      </c>
      <c r="J1157" s="63" t="s">
        <v>1917</v>
      </c>
      <c r="K1157" s="63" t="s">
        <v>961</v>
      </c>
      <c r="L1157" s="69" t="s">
        <v>950</v>
      </c>
      <c r="M1157" s="70">
        <f t="shared" si="168"/>
        <v>72102.31</v>
      </c>
      <c r="N1157" s="70">
        <f t="shared" si="174"/>
        <v>72102.31</v>
      </c>
      <c r="O1157" s="70">
        <v>72102.31</v>
      </c>
      <c r="P1157" s="65">
        <v>116220</v>
      </c>
      <c r="Q1157" s="65">
        <f t="shared" si="169"/>
        <v>25568.400000000001</v>
      </c>
      <c r="R1157" s="65">
        <f t="shared" si="170"/>
        <v>141788.4</v>
      </c>
      <c r="S1157" s="272"/>
      <c r="T1157" s="64">
        <v>49</v>
      </c>
      <c r="U1157" s="274"/>
      <c r="V1157" s="38">
        <v>129853</v>
      </c>
      <c r="W1157" s="38">
        <f t="shared" si="171"/>
        <v>28567.66</v>
      </c>
      <c r="X1157" s="38">
        <f t="shared" si="172"/>
        <v>158420.66</v>
      </c>
    </row>
    <row r="1158" spans="1:24" ht="15" customHeight="1" x14ac:dyDescent="0.35">
      <c r="A1158" s="56" t="s">
        <v>3412</v>
      </c>
      <c r="B1158" s="2">
        <v>1106</v>
      </c>
      <c r="C1158" s="77">
        <v>10135941</v>
      </c>
      <c r="D1158" s="74" t="s">
        <v>1748</v>
      </c>
      <c r="E1158" s="74" t="s">
        <v>2167</v>
      </c>
      <c r="F1158" s="75">
        <v>1</v>
      </c>
      <c r="G1158" s="64" t="s">
        <v>0</v>
      </c>
      <c r="H1158" s="78">
        <v>41176</v>
      </c>
      <c r="I1158" s="4" t="s">
        <v>957</v>
      </c>
      <c r="J1158" s="63" t="s">
        <v>1917</v>
      </c>
      <c r="K1158" s="63" t="s">
        <v>961</v>
      </c>
      <c r="L1158" s="69" t="s">
        <v>950</v>
      </c>
      <c r="M1158" s="70">
        <f t="shared" si="168"/>
        <v>64865.43</v>
      </c>
      <c r="N1158" s="70">
        <f t="shared" si="174"/>
        <v>64865.43</v>
      </c>
      <c r="O1158" s="70">
        <v>64865.43</v>
      </c>
      <c r="P1158" s="65">
        <v>104550</v>
      </c>
      <c r="Q1158" s="65">
        <f t="shared" si="169"/>
        <v>23001</v>
      </c>
      <c r="R1158" s="65">
        <f t="shared" si="170"/>
        <v>127551</v>
      </c>
      <c r="S1158" s="272"/>
      <c r="T1158" s="64">
        <v>49</v>
      </c>
      <c r="U1158" s="274"/>
      <c r="V1158" s="38">
        <v>116820</v>
      </c>
      <c r="W1158" s="38">
        <f t="shared" si="171"/>
        <v>25700.400000000001</v>
      </c>
      <c r="X1158" s="38">
        <f t="shared" si="172"/>
        <v>142520.4</v>
      </c>
    </row>
    <row r="1159" spans="1:24" ht="15" customHeight="1" x14ac:dyDescent="0.35">
      <c r="A1159" s="56" t="s">
        <v>3413</v>
      </c>
      <c r="B1159" s="2">
        <v>1107</v>
      </c>
      <c r="C1159" s="77">
        <v>10051098</v>
      </c>
      <c r="D1159" s="74" t="s">
        <v>1785</v>
      </c>
      <c r="E1159" s="74" t="s">
        <v>2167</v>
      </c>
      <c r="F1159" s="75">
        <v>1.7000000000000001E-2</v>
      </c>
      <c r="G1159" s="64" t="s">
        <v>3</v>
      </c>
      <c r="H1159" s="78">
        <v>42229</v>
      </c>
      <c r="I1159" s="4" t="s">
        <v>957</v>
      </c>
      <c r="J1159" s="63" t="s">
        <v>1932</v>
      </c>
      <c r="K1159" s="63" t="s">
        <v>961</v>
      </c>
      <c r="L1159" s="69" t="s">
        <v>950</v>
      </c>
      <c r="M1159" s="70">
        <f t="shared" si="168"/>
        <v>10266.65</v>
      </c>
      <c r="N1159" s="70">
        <f t="shared" si="174"/>
        <v>603920.59</v>
      </c>
      <c r="O1159" s="70">
        <v>10266.65</v>
      </c>
      <c r="P1159" s="65">
        <v>14890</v>
      </c>
      <c r="Q1159" s="65">
        <f t="shared" si="169"/>
        <v>3275.8</v>
      </c>
      <c r="R1159" s="65">
        <f t="shared" si="170"/>
        <v>18165.8</v>
      </c>
      <c r="S1159" s="272"/>
      <c r="T1159" s="64">
        <v>49</v>
      </c>
      <c r="U1159" s="274"/>
      <c r="V1159" s="38">
        <v>16640</v>
      </c>
      <c r="W1159" s="38">
        <f t="shared" si="171"/>
        <v>3660.8</v>
      </c>
      <c r="X1159" s="38">
        <f t="shared" si="172"/>
        <v>20300.8</v>
      </c>
    </row>
    <row r="1160" spans="1:24" ht="15.75" customHeight="1" x14ac:dyDescent="0.35">
      <c r="A1160" s="56" t="s">
        <v>3414</v>
      </c>
      <c r="B1160" s="2">
        <v>1108</v>
      </c>
      <c r="C1160" s="77">
        <v>10097738</v>
      </c>
      <c r="D1160" s="74" t="s">
        <v>1800</v>
      </c>
      <c r="E1160" s="74" t="s">
        <v>2167</v>
      </c>
      <c r="F1160" s="75">
        <v>9</v>
      </c>
      <c r="G1160" s="64" t="s">
        <v>17</v>
      </c>
      <c r="H1160" s="78">
        <v>40394</v>
      </c>
      <c r="I1160" s="4" t="s">
        <v>957</v>
      </c>
      <c r="J1160" s="63" t="s">
        <v>1917</v>
      </c>
      <c r="K1160" s="63" t="s">
        <v>961</v>
      </c>
      <c r="L1160" s="69" t="s">
        <v>950</v>
      </c>
      <c r="M1160" s="70">
        <f t="shared" si="168"/>
        <v>2479.1799999999998</v>
      </c>
      <c r="N1160" s="70">
        <f t="shared" si="174"/>
        <v>275.45999999999998</v>
      </c>
      <c r="O1160" s="70">
        <v>2479.1799999999998</v>
      </c>
      <c r="P1160" s="65">
        <v>4440</v>
      </c>
      <c r="Q1160" s="65">
        <f t="shared" si="169"/>
        <v>976.8</v>
      </c>
      <c r="R1160" s="65">
        <f t="shared" si="170"/>
        <v>5416.8</v>
      </c>
      <c r="S1160" s="272"/>
      <c r="T1160" s="64">
        <v>49</v>
      </c>
      <c r="U1160" s="274"/>
      <c r="V1160" s="38">
        <v>4958</v>
      </c>
      <c r="W1160" s="38">
        <f t="shared" si="171"/>
        <v>1090.76</v>
      </c>
      <c r="X1160" s="38">
        <f t="shared" si="172"/>
        <v>6048.76</v>
      </c>
    </row>
    <row r="1161" spans="1:24" ht="19.5" customHeight="1" x14ac:dyDescent="0.35">
      <c r="A1161" s="56" t="s">
        <v>3415</v>
      </c>
      <c r="B1161" s="2">
        <v>1109</v>
      </c>
      <c r="C1161" s="77">
        <v>10132082</v>
      </c>
      <c r="D1161" s="74" t="s">
        <v>1812</v>
      </c>
      <c r="E1161" s="74" t="s">
        <v>2167</v>
      </c>
      <c r="F1161" s="75">
        <f>20-12</f>
        <v>8</v>
      </c>
      <c r="G1161" s="64" t="s">
        <v>0</v>
      </c>
      <c r="H1161" s="78">
        <v>41985</v>
      </c>
      <c r="I1161" s="4" t="s">
        <v>957</v>
      </c>
      <c r="J1161" s="63" t="s">
        <v>1917</v>
      </c>
      <c r="K1161" s="63" t="s">
        <v>961</v>
      </c>
      <c r="L1161" s="69" t="s">
        <v>950</v>
      </c>
      <c r="M1161" s="70">
        <f t="shared" si="168"/>
        <v>2136.08</v>
      </c>
      <c r="N1161" s="70">
        <f t="shared" si="174"/>
        <v>267.01</v>
      </c>
      <c r="O1161" s="70">
        <f>5340.2/20*8</f>
        <v>2136.08</v>
      </c>
      <c r="P1161" s="65">
        <v>3390</v>
      </c>
      <c r="Q1161" s="65">
        <f t="shared" si="169"/>
        <v>745.8</v>
      </c>
      <c r="R1161" s="65">
        <f t="shared" si="170"/>
        <v>4135.8</v>
      </c>
      <c r="S1161" s="272"/>
      <c r="T1161" s="64">
        <v>49</v>
      </c>
      <c r="U1161" s="274"/>
      <c r="V1161" s="38">
        <v>3788</v>
      </c>
      <c r="W1161" s="38">
        <f t="shared" si="171"/>
        <v>833.36</v>
      </c>
      <c r="X1161" s="38">
        <f t="shared" si="172"/>
        <v>4621.3599999999997</v>
      </c>
    </row>
    <row r="1162" spans="1:24" ht="15" customHeight="1" x14ac:dyDescent="0.35">
      <c r="A1162" s="56" t="s">
        <v>3416</v>
      </c>
      <c r="B1162" s="2">
        <v>1110</v>
      </c>
      <c r="C1162" s="77">
        <v>10122584</v>
      </c>
      <c r="D1162" s="74" t="s">
        <v>1816</v>
      </c>
      <c r="E1162" s="74" t="s">
        <v>2176</v>
      </c>
      <c r="F1162" s="75">
        <v>81.650000000000006</v>
      </c>
      <c r="G1162" s="64" t="s">
        <v>17</v>
      </c>
      <c r="H1162" s="78">
        <v>40863</v>
      </c>
      <c r="I1162" s="4" t="s">
        <v>957</v>
      </c>
      <c r="J1162" s="63" t="s">
        <v>1917</v>
      </c>
      <c r="K1162" s="63" t="s">
        <v>961</v>
      </c>
      <c r="L1162" s="69" t="s">
        <v>950</v>
      </c>
      <c r="M1162" s="70">
        <f t="shared" si="168"/>
        <v>10900.28</v>
      </c>
      <c r="N1162" s="70">
        <f t="shared" si="174"/>
        <v>133.5</v>
      </c>
      <c r="O1162" s="70">
        <v>10900.28</v>
      </c>
      <c r="P1162" s="65">
        <v>17640</v>
      </c>
      <c r="Q1162" s="65">
        <f t="shared" si="169"/>
        <v>3880.8</v>
      </c>
      <c r="R1162" s="65">
        <f t="shared" si="170"/>
        <v>21520.799999999999</v>
      </c>
      <c r="S1162" s="272"/>
      <c r="T1162" s="64">
        <v>49</v>
      </c>
      <c r="U1162" s="274"/>
      <c r="V1162" s="38">
        <v>19712</v>
      </c>
      <c r="W1162" s="38">
        <f t="shared" si="171"/>
        <v>4336.6400000000003</v>
      </c>
      <c r="X1162" s="38">
        <f t="shared" si="172"/>
        <v>24048.639999999999</v>
      </c>
    </row>
    <row r="1163" spans="1:24" ht="15" customHeight="1" x14ac:dyDescent="0.35">
      <c r="A1163" s="56" t="s">
        <v>3417</v>
      </c>
      <c r="B1163" s="2">
        <v>1111</v>
      </c>
      <c r="C1163" s="77">
        <v>10099981</v>
      </c>
      <c r="D1163" s="74" t="s">
        <v>1817</v>
      </c>
      <c r="E1163" s="74" t="s">
        <v>2167</v>
      </c>
      <c r="F1163" s="75">
        <v>70</v>
      </c>
      <c r="G1163" s="64" t="s">
        <v>8</v>
      </c>
      <c r="H1163" s="78">
        <v>40639</v>
      </c>
      <c r="I1163" s="4" t="s">
        <v>957</v>
      </c>
      <c r="J1163" s="63" t="s">
        <v>1917</v>
      </c>
      <c r="K1163" s="63" t="s">
        <v>961</v>
      </c>
      <c r="L1163" s="69" t="s">
        <v>950</v>
      </c>
      <c r="M1163" s="70">
        <f t="shared" si="168"/>
        <v>2450.6999999999998</v>
      </c>
      <c r="N1163" s="70">
        <f t="shared" si="174"/>
        <v>35.01</v>
      </c>
      <c r="O1163" s="70">
        <v>2450.6999999999998</v>
      </c>
      <c r="P1163" s="65">
        <v>4300</v>
      </c>
      <c r="Q1163" s="65">
        <f t="shared" si="169"/>
        <v>946</v>
      </c>
      <c r="R1163" s="65">
        <f t="shared" si="170"/>
        <v>5246</v>
      </c>
      <c r="S1163" s="272"/>
      <c r="T1163" s="64">
        <v>49</v>
      </c>
      <c r="U1163" s="274"/>
      <c r="V1163" s="38">
        <v>4809</v>
      </c>
      <c r="W1163" s="38">
        <f t="shared" si="171"/>
        <v>1057.98</v>
      </c>
      <c r="X1163" s="38">
        <f t="shared" si="172"/>
        <v>5866.98</v>
      </c>
    </row>
    <row r="1164" spans="1:24" ht="15" customHeight="1" x14ac:dyDescent="0.35">
      <c r="A1164" s="56" t="s">
        <v>3418</v>
      </c>
      <c r="B1164" s="2">
        <v>1112</v>
      </c>
      <c r="C1164" s="77">
        <v>10059302</v>
      </c>
      <c r="D1164" s="74" t="s">
        <v>1818</v>
      </c>
      <c r="E1164" s="74" t="s">
        <v>2167</v>
      </c>
      <c r="F1164" s="75">
        <v>780</v>
      </c>
      <c r="G1164" s="64" t="s">
        <v>0</v>
      </c>
      <c r="H1164" s="78">
        <v>41985</v>
      </c>
      <c r="I1164" s="4" t="s">
        <v>957</v>
      </c>
      <c r="J1164" s="63" t="s">
        <v>1917</v>
      </c>
      <c r="K1164" s="63" t="s">
        <v>961</v>
      </c>
      <c r="L1164" s="69" t="s">
        <v>950</v>
      </c>
      <c r="M1164" s="70">
        <f t="shared" si="168"/>
        <v>2511.6</v>
      </c>
      <c r="N1164" s="70">
        <f t="shared" si="174"/>
        <v>3.22</v>
      </c>
      <c r="O1164" s="70">
        <v>2511.6</v>
      </c>
      <c r="P1164" s="65">
        <v>3990</v>
      </c>
      <c r="Q1164" s="65">
        <f t="shared" si="169"/>
        <v>877.8</v>
      </c>
      <c r="R1164" s="65">
        <f t="shared" si="170"/>
        <v>4867.8</v>
      </c>
      <c r="S1164" s="272"/>
      <c r="T1164" s="64">
        <v>49</v>
      </c>
      <c r="U1164" s="274"/>
      <c r="V1164" s="38">
        <v>4453</v>
      </c>
      <c r="W1164" s="38">
        <f t="shared" si="171"/>
        <v>979.66</v>
      </c>
      <c r="X1164" s="38">
        <f t="shared" si="172"/>
        <v>5432.66</v>
      </c>
    </row>
    <row r="1165" spans="1:24" ht="15" customHeight="1" x14ac:dyDescent="0.35">
      <c r="A1165" s="56" t="s">
        <v>3419</v>
      </c>
      <c r="B1165" s="2">
        <v>1113</v>
      </c>
      <c r="C1165" s="77">
        <v>10059307</v>
      </c>
      <c r="D1165" s="74" t="s">
        <v>1819</v>
      </c>
      <c r="E1165" s="74" t="s">
        <v>2167</v>
      </c>
      <c r="F1165" s="75">
        <v>180</v>
      </c>
      <c r="G1165" s="64" t="s">
        <v>0</v>
      </c>
      <c r="H1165" s="78">
        <v>41985</v>
      </c>
      <c r="I1165" s="4" t="s">
        <v>957</v>
      </c>
      <c r="J1165" s="63" t="s">
        <v>1917</v>
      </c>
      <c r="K1165" s="63" t="s">
        <v>961</v>
      </c>
      <c r="L1165" s="69" t="s">
        <v>950</v>
      </c>
      <c r="M1165" s="70">
        <f t="shared" si="168"/>
        <v>185.4</v>
      </c>
      <c r="N1165" s="70">
        <f t="shared" si="174"/>
        <v>1.03</v>
      </c>
      <c r="O1165" s="70">
        <v>185.4</v>
      </c>
      <c r="P1165" s="65">
        <v>290</v>
      </c>
      <c r="Q1165" s="65">
        <f t="shared" si="169"/>
        <v>63.8</v>
      </c>
      <c r="R1165" s="65">
        <f t="shared" si="170"/>
        <v>353.8</v>
      </c>
      <c r="S1165" s="272"/>
      <c r="T1165" s="64">
        <v>49</v>
      </c>
      <c r="U1165" s="274"/>
      <c r="V1165" s="38">
        <v>329</v>
      </c>
      <c r="W1165" s="38">
        <f t="shared" si="171"/>
        <v>72.38</v>
      </c>
      <c r="X1165" s="38">
        <f t="shared" si="172"/>
        <v>401.38</v>
      </c>
    </row>
    <row r="1166" spans="1:24" ht="15" customHeight="1" x14ac:dyDescent="0.35">
      <c r="A1166" s="56" t="s">
        <v>3420</v>
      </c>
      <c r="B1166" s="2">
        <v>1114</v>
      </c>
      <c r="C1166" s="77">
        <v>10106864</v>
      </c>
      <c r="D1166" s="74" t="s">
        <v>1820</v>
      </c>
      <c r="E1166" s="59" t="s">
        <v>2167</v>
      </c>
      <c r="F1166" s="75">
        <f>188-20</f>
        <v>168</v>
      </c>
      <c r="G1166" s="64" t="s">
        <v>8</v>
      </c>
      <c r="H1166" s="78">
        <v>41375</v>
      </c>
      <c r="I1166" s="4" t="s">
        <v>957</v>
      </c>
      <c r="J1166" s="63" t="s">
        <v>1917</v>
      </c>
      <c r="K1166" s="63" t="s">
        <v>961</v>
      </c>
      <c r="L1166" s="69" t="s">
        <v>950</v>
      </c>
      <c r="M1166" s="70">
        <f t="shared" si="168"/>
        <v>8617.11</v>
      </c>
      <c r="N1166" s="70">
        <f t="shared" si="174"/>
        <v>51.29</v>
      </c>
      <c r="O1166" s="70">
        <f>9642.96/188*168</f>
        <v>8617.11</v>
      </c>
      <c r="P1166" s="65">
        <v>14510</v>
      </c>
      <c r="Q1166" s="65">
        <f t="shared" si="169"/>
        <v>3192.2</v>
      </c>
      <c r="R1166" s="65">
        <f t="shared" si="170"/>
        <v>17702.2</v>
      </c>
      <c r="S1166" s="272"/>
      <c r="T1166" s="64">
        <v>49</v>
      </c>
      <c r="U1166" s="274"/>
      <c r="V1166" s="38">
        <v>16214</v>
      </c>
      <c r="W1166" s="38">
        <f t="shared" si="171"/>
        <v>3567.08</v>
      </c>
      <c r="X1166" s="38">
        <f t="shared" si="172"/>
        <v>19781.080000000002</v>
      </c>
    </row>
    <row r="1167" spans="1:24" ht="15" customHeight="1" x14ac:dyDescent="0.35">
      <c r="A1167" s="56" t="s">
        <v>3421</v>
      </c>
      <c r="B1167" s="2">
        <v>1115</v>
      </c>
      <c r="C1167" s="11">
        <v>10145094</v>
      </c>
      <c r="D1167" s="3" t="s">
        <v>1404</v>
      </c>
      <c r="E1167" s="59" t="s">
        <v>2167</v>
      </c>
      <c r="F1167" s="14">
        <v>39000</v>
      </c>
      <c r="G1167" s="64" t="s">
        <v>0</v>
      </c>
      <c r="H1167" s="5">
        <v>41365</v>
      </c>
      <c r="I1167" s="4" t="s">
        <v>957</v>
      </c>
      <c r="J1167" s="63" t="s">
        <v>1917</v>
      </c>
      <c r="K1167" s="63" t="s">
        <v>961</v>
      </c>
      <c r="L1167" s="69" t="s">
        <v>950</v>
      </c>
      <c r="M1167" s="70">
        <f t="shared" si="168"/>
        <v>9360</v>
      </c>
      <c r="N1167" s="70">
        <f t="shared" si="174"/>
        <v>0.24</v>
      </c>
      <c r="O1167" s="70">
        <v>9360</v>
      </c>
      <c r="P1167" s="65">
        <v>15760</v>
      </c>
      <c r="Q1167" s="65">
        <f t="shared" si="169"/>
        <v>3467.2</v>
      </c>
      <c r="R1167" s="65">
        <f t="shared" si="170"/>
        <v>19227.2</v>
      </c>
      <c r="S1167" s="272"/>
      <c r="T1167" s="64">
        <v>49</v>
      </c>
      <c r="U1167" s="274"/>
      <c r="V1167" s="38">
        <v>17612</v>
      </c>
      <c r="W1167" s="38">
        <f t="shared" si="171"/>
        <v>3874.64</v>
      </c>
      <c r="X1167" s="38">
        <f t="shared" si="172"/>
        <v>21486.639999999999</v>
      </c>
    </row>
    <row r="1168" spans="1:24" ht="15" customHeight="1" x14ac:dyDescent="0.35">
      <c r="A1168" s="56" t="s">
        <v>3422</v>
      </c>
      <c r="B1168" s="2">
        <v>1116</v>
      </c>
      <c r="C1168" s="77">
        <v>10002286</v>
      </c>
      <c r="D1168" s="74" t="s">
        <v>1783</v>
      </c>
      <c r="E1168" s="74" t="s">
        <v>2167</v>
      </c>
      <c r="F1168" s="75">
        <v>89.9</v>
      </c>
      <c r="G1168" s="64" t="s">
        <v>8</v>
      </c>
      <c r="H1168" s="78">
        <v>42520</v>
      </c>
      <c r="I1168" s="4" t="s">
        <v>957</v>
      </c>
      <c r="J1168" s="63" t="s">
        <v>1917</v>
      </c>
      <c r="K1168" s="63" t="s">
        <v>961</v>
      </c>
      <c r="L1168" s="69" t="s">
        <v>950</v>
      </c>
      <c r="M1168" s="70">
        <f t="shared" si="168"/>
        <v>114503.58</v>
      </c>
      <c r="N1168" s="70">
        <f t="shared" si="174"/>
        <v>1273.68</v>
      </c>
      <c r="O1168" s="70">
        <v>114503.58</v>
      </c>
      <c r="P1168" s="65">
        <v>165790</v>
      </c>
      <c r="Q1168" s="65">
        <f t="shared" si="169"/>
        <v>36473.800000000003</v>
      </c>
      <c r="R1168" s="65">
        <f t="shared" si="170"/>
        <v>202263.8</v>
      </c>
      <c r="S1168" s="272"/>
      <c r="T1168" s="64">
        <v>49</v>
      </c>
      <c r="U1168" s="274"/>
      <c r="V1168" s="38">
        <v>185236</v>
      </c>
      <c r="W1168" s="38">
        <f t="shared" si="171"/>
        <v>40751.919999999998</v>
      </c>
      <c r="X1168" s="38">
        <f t="shared" si="172"/>
        <v>225987.92</v>
      </c>
    </row>
    <row r="1169" spans="1:24" ht="15" customHeight="1" x14ac:dyDescent="0.35">
      <c r="A1169" s="56" t="s">
        <v>3423</v>
      </c>
      <c r="B1169" s="2">
        <v>1117</v>
      </c>
      <c r="C1169" s="77">
        <v>10132558</v>
      </c>
      <c r="D1169" s="74" t="s">
        <v>1784</v>
      </c>
      <c r="E1169" s="74" t="s">
        <v>2167</v>
      </c>
      <c r="F1169" s="75">
        <v>27.6</v>
      </c>
      <c r="G1169" s="64" t="s">
        <v>8</v>
      </c>
      <c r="H1169" s="78">
        <v>42331</v>
      </c>
      <c r="I1169" s="4" t="s">
        <v>957</v>
      </c>
      <c r="J1169" s="63" t="s">
        <v>1917</v>
      </c>
      <c r="K1169" s="63" t="s">
        <v>961</v>
      </c>
      <c r="L1169" s="69" t="s">
        <v>950</v>
      </c>
      <c r="M1169" s="70">
        <f t="shared" si="168"/>
        <v>110582.73</v>
      </c>
      <c r="N1169" s="70">
        <f t="shared" si="174"/>
        <v>4006.62</v>
      </c>
      <c r="O1169" s="70">
        <v>110582.73</v>
      </c>
      <c r="P1169" s="65">
        <v>159200</v>
      </c>
      <c r="Q1169" s="65">
        <f t="shared" si="169"/>
        <v>35024</v>
      </c>
      <c r="R1169" s="65">
        <f t="shared" si="170"/>
        <v>194224</v>
      </c>
      <c r="S1169" s="276"/>
      <c r="T1169" s="64">
        <v>49</v>
      </c>
      <c r="U1169" s="274"/>
      <c r="V1169" s="38">
        <v>177873</v>
      </c>
      <c r="W1169" s="38">
        <f t="shared" si="171"/>
        <v>39132.06</v>
      </c>
      <c r="X1169" s="38">
        <f t="shared" si="172"/>
        <v>217005.06</v>
      </c>
    </row>
    <row r="1170" spans="1:24" ht="15" customHeight="1" x14ac:dyDescent="0.35">
      <c r="A1170" s="56"/>
      <c r="B1170" s="15"/>
      <c r="C1170" s="77"/>
      <c r="D1170" s="74"/>
      <c r="E1170" s="74"/>
      <c r="F1170" s="75"/>
      <c r="G1170" s="64"/>
      <c r="H1170" s="78"/>
      <c r="I1170" s="4"/>
      <c r="J1170" s="63"/>
      <c r="K1170" s="63"/>
      <c r="L1170" s="69"/>
      <c r="M1170" s="70"/>
      <c r="N1170" s="70"/>
      <c r="O1170" s="71">
        <f>SUM(O1150:O1169)</f>
        <v>573169.11</v>
      </c>
      <c r="P1170" s="71">
        <f t="shared" ref="P1170:R1170" si="175">SUM(P1150:P1169)</f>
        <v>876610</v>
      </c>
      <c r="Q1170" s="71">
        <f t="shared" si="175"/>
        <v>192854.2</v>
      </c>
      <c r="R1170" s="71">
        <f t="shared" si="175"/>
        <v>1069464.2</v>
      </c>
      <c r="S1170" s="72">
        <f>R1170/100*10</f>
        <v>106946.42</v>
      </c>
      <c r="T1170" s="73">
        <v>49</v>
      </c>
      <c r="U1170" s="275"/>
      <c r="V1170" s="38"/>
      <c r="W1170" s="38"/>
      <c r="X1170" s="38"/>
    </row>
    <row r="1171" spans="1:24" ht="15" customHeight="1" x14ac:dyDescent="0.35">
      <c r="A1171" s="56" t="s">
        <v>3424</v>
      </c>
      <c r="B1171" s="2">
        <v>1118</v>
      </c>
      <c r="C1171" s="77">
        <v>10090724</v>
      </c>
      <c r="D1171" s="74" t="s">
        <v>1257</v>
      </c>
      <c r="E1171" s="74" t="s">
        <v>2164</v>
      </c>
      <c r="F1171" s="75">
        <v>2</v>
      </c>
      <c r="G1171" s="64" t="s">
        <v>0</v>
      </c>
      <c r="H1171" s="64">
        <v>2014</v>
      </c>
      <c r="I1171" s="61" t="s">
        <v>2158</v>
      </c>
      <c r="J1171" s="63" t="s">
        <v>1917</v>
      </c>
      <c r="K1171" s="101" t="s">
        <v>961</v>
      </c>
      <c r="L1171" s="88" t="s">
        <v>845</v>
      </c>
      <c r="M1171" s="76">
        <f t="shared" si="168"/>
        <v>7721.92</v>
      </c>
      <c r="N1171" s="76">
        <f t="shared" ref="N1171:N1191" si="176">O1171/F1171</f>
        <v>3860.96</v>
      </c>
      <c r="O1171" s="76">
        <v>7721.92</v>
      </c>
      <c r="P1171" s="65">
        <v>7120</v>
      </c>
      <c r="Q1171" s="65">
        <f t="shared" si="169"/>
        <v>1566.4</v>
      </c>
      <c r="R1171" s="65">
        <f t="shared" si="170"/>
        <v>8686.4</v>
      </c>
      <c r="S1171" s="267"/>
      <c r="T1171" s="64">
        <v>50</v>
      </c>
      <c r="U1171" s="273" t="s">
        <v>2273</v>
      </c>
      <c r="V1171" s="38">
        <v>7951</v>
      </c>
      <c r="W1171" s="38">
        <f t="shared" si="171"/>
        <v>1749.22</v>
      </c>
      <c r="X1171" s="38">
        <f t="shared" si="172"/>
        <v>9700.2199999999993</v>
      </c>
    </row>
    <row r="1172" spans="1:24" ht="15" customHeight="1" x14ac:dyDescent="0.35">
      <c r="A1172" s="56" t="s">
        <v>3425</v>
      </c>
      <c r="B1172" s="2">
        <v>1119</v>
      </c>
      <c r="C1172" s="77">
        <v>10106294</v>
      </c>
      <c r="D1172" s="74" t="s">
        <v>107</v>
      </c>
      <c r="E1172" s="59" t="s">
        <v>2167</v>
      </c>
      <c r="F1172" s="75">
        <v>55</v>
      </c>
      <c r="G1172" s="64" t="s">
        <v>0</v>
      </c>
      <c r="H1172" s="101">
        <v>2014</v>
      </c>
      <c r="I1172" s="4" t="s">
        <v>957</v>
      </c>
      <c r="J1172" s="61" t="s">
        <v>1917</v>
      </c>
      <c r="K1172" s="101" t="s">
        <v>2042</v>
      </c>
      <c r="L1172" s="61" t="s">
        <v>2097</v>
      </c>
      <c r="M1172" s="65">
        <f t="shared" si="168"/>
        <v>1799.76</v>
      </c>
      <c r="N1172" s="65">
        <f t="shared" si="176"/>
        <v>32.72</v>
      </c>
      <c r="O1172" s="65">
        <v>1799.76</v>
      </c>
      <c r="P1172" s="65">
        <v>2490</v>
      </c>
      <c r="Q1172" s="65">
        <f t="shared" si="169"/>
        <v>547.79999999999995</v>
      </c>
      <c r="R1172" s="65">
        <f t="shared" si="170"/>
        <v>3037.8</v>
      </c>
      <c r="S1172" s="272"/>
      <c r="T1172" s="64">
        <v>50</v>
      </c>
      <c r="U1172" s="270"/>
      <c r="V1172" s="38">
        <v>2786</v>
      </c>
      <c r="W1172" s="38">
        <f t="shared" si="171"/>
        <v>612.91999999999996</v>
      </c>
      <c r="X1172" s="38">
        <f t="shared" si="172"/>
        <v>3398.92</v>
      </c>
    </row>
    <row r="1173" spans="1:24" ht="24.75" customHeight="1" x14ac:dyDescent="0.35">
      <c r="A1173" s="56" t="s">
        <v>3426</v>
      </c>
      <c r="B1173" s="2">
        <v>1120</v>
      </c>
      <c r="C1173" s="77">
        <v>10128643</v>
      </c>
      <c r="D1173" s="74" t="s">
        <v>59</v>
      </c>
      <c r="E1173" s="59" t="s">
        <v>2167</v>
      </c>
      <c r="F1173" s="75">
        <v>3</v>
      </c>
      <c r="G1173" s="64" t="s">
        <v>8</v>
      </c>
      <c r="H1173" s="61">
        <v>41963</v>
      </c>
      <c r="I1173" s="4" t="s">
        <v>957</v>
      </c>
      <c r="J1173" s="61" t="s">
        <v>1917</v>
      </c>
      <c r="K1173" s="61" t="s">
        <v>2001</v>
      </c>
      <c r="L1173" s="61" t="s">
        <v>2097</v>
      </c>
      <c r="M1173" s="65">
        <f t="shared" si="168"/>
        <v>268.35000000000002</v>
      </c>
      <c r="N1173" s="65">
        <f t="shared" si="176"/>
        <v>89.45</v>
      </c>
      <c r="O1173" s="65">
        <v>268.35000000000002</v>
      </c>
      <c r="P1173" s="65">
        <v>370</v>
      </c>
      <c r="Q1173" s="65">
        <f t="shared" si="169"/>
        <v>81.400000000000006</v>
      </c>
      <c r="R1173" s="65">
        <f t="shared" si="170"/>
        <v>451.4</v>
      </c>
      <c r="S1173" s="272"/>
      <c r="T1173" s="64">
        <v>50</v>
      </c>
      <c r="U1173" s="270"/>
      <c r="V1173" s="38">
        <v>414</v>
      </c>
      <c r="W1173" s="38">
        <f t="shared" si="171"/>
        <v>91.08</v>
      </c>
      <c r="X1173" s="38">
        <f t="shared" si="172"/>
        <v>505.08</v>
      </c>
    </row>
    <row r="1174" spans="1:24" ht="15" customHeight="1" x14ac:dyDescent="0.35">
      <c r="A1174" s="56" t="s">
        <v>3427</v>
      </c>
      <c r="B1174" s="2">
        <v>1121</v>
      </c>
      <c r="C1174" s="77">
        <v>10006180</v>
      </c>
      <c r="D1174" s="74" t="s">
        <v>69</v>
      </c>
      <c r="E1174" s="59" t="s">
        <v>2167</v>
      </c>
      <c r="F1174" s="75">
        <f>5-1</f>
        <v>4</v>
      </c>
      <c r="G1174" s="64" t="s">
        <v>8</v>
      </c>
      <c r="H1174" s="61">
        <v>41963</v>
      </c>
      <c r="I1174" s="4" t="s">
        <v>957</v>
      </c>
      <c r="J1174" s="61" t="s">
        <v>1917</v>
      </c>
      <c r="K1174" s="61" t="s">
        <v>2002</v>
      </c>
      <c r="L1174" s="61" t="s">
        <v>2097</v>
      </c>
      <c r="M1174" s="65">
        <f t="shared" si="168"/>
        <v>244.29</v>
      </c>
      <c r="N1174" s="65">
        <f t="shared" si="176"/>
        <v>61.07</v>
      </c>
      <c r="O1174" s="65">
        <f>305.36/5*4</f>
        <v>244.29</v>
      </c>
      <c r="P1174" s="65">
        <v>340</v>
      </c>
      <c r="Q1174" s="65">
        <f t="shared" si="169"/>
        <v>74.8</v>
      </c>
      <c r="R1174" s="65">
        <f t="shared" si="170"/>
        <v>414.8</v>
      </c>
      <c r="S1174" s="272"/>
      <c r="T1174" s="64">
        <v>50</v>
      </c>
      <c r="U1174" s="270"/>
      <c r="V1174" s="38">
        <v>377</v>
      </c>
      <c r="W1174" s="38">
        <f t="shared" si="171"/>
        <v>82.94</v>
      </c>
      <c r="X1174" s="38">
        <f t="shared" si="172"/>
        <v>459.94</v>
      </c>
    </row>
    <row r="1175" spans="1:24" ht="15" customHeight="1" x14ac:dyDescent="0.35">
      <c r="A1175" s="56" t="s">
        <v>3428</v>
      </c>
      <c r="B1175" s="2">
        <v>1122</v>
      </c>
      <c r="C1175" s="77">
        <v>10128604</v>
      </c>
      <c r="D1175" s="74" t="s">
        <v>74</v>
      </c>
      <c r="E1175" s="59" t="s">
        <v>2167</v>
      </c>
      <c r="F1175" s="75">
        <v>5</v>
      </c>
      <c r="G1175" s="64" t="s">
        <v>8</v>
      </c>
      <c r="H1175" s="61">
        <v>41963</v>
      </c>
      <c r="I1175" s="4" t="s">
        <v>957</v>
      </c>
      <c r="J1175" s="61" t="s">
        <v>1917</v>
      </c>
      <c r="K1175" s="61" t="s">
        <v>2003</v>
      </c>
      <c r="L1175" s="61" t="s">
        <v>2097</v>
      </c>
      <c r="M1175" s="65">
        <f t="shared" si="168"/>
        <v>330.8</v>
      </c>
      <c r="N1175" s="65">
        <f t="shared" si="176"/>
        <v>66.16</v>
      </c>
      <c r="O1175" s="65">
        <v>330.8</v>
      </c>
      <c r="P1175" s="65">
        <v>460</v>
      </c>
      <c r="Q1175" s="65">
        <f t="shared" si="169"/>
        <v>101.2</v>
      </c>
      <c r="R1175" s="65">
        <f t="shared" si="170"/>
        <v>561.20000000000005</v>
      </c>
      <c r="S1175" s="272"/>
      <c r="T1175" s="64">
        <v>50</v>
      </c>
      <c r="U1175" s="270"/>
      <c r="V1175" s="38">
        <v>511</v>
      </c>
      <c r="W1175" s="38">
        <f t="shared" si="171"/>
        <v>112.42</v>
      </c>
      <c r="X1175" s="38">
        <f t="shared" si="172"/>
        <v>623.41999999999996</v>
      </c>
    </row>
    <row r="1176" spans="1:24" ht="15" customHeight="1" x14ac:dyDescent="0.35">
      <c r="A1176" s="56" t="s">
        <v>3429</v>
      </c>
      <c r="B1176" s="2">
        <v>1123</v>
      </c>
      <c r="C1176" s="77">
        <v>10011665</v>
      </c>
      <c r="D1176" s="74" t="s">
        <v>64</v>
      </c>
      <c r="E1176" s="59" t="s">
        <v>2167</v>
      </c>
      <c r="F1176" s="75">
        <v>4</v>
      </c>
      <c r="G1176" s="64" t="s">
        <v>8</v>
      </c>
      <c r="H1176" s="101">
        <v>2014</v>
      </c>
      <c r="I1176" s="4" t="s">
        <v>957</v>
      </c>
      <c r="J1176" s="61" t="s">
        <v>1917</v>
      </c>
      <c r="K1176" s="101" t="s">
        <v>2068</v>
      </c>
      <c r="L1176" s="61" t="s">
        <v>2097</v>
      </c>
      <c r="M1176" s="65">
        <f t="shared" si="168"/>
        <v>244.44</v>
      </c>
      <c r="N1176" s="65">
        <f t="shared" si="176"/>
        <v>61.11</v>
      </c>
      <c r="O1176" s="65">
        <v>244.44</v>
      </c>
      <c r="P1176" s="65">
        <v>340</v>
      </c>
      <c r="Q1176" s="65">
        <f t="shared" si="169"/>
        <v>74.8</v>
      </c>
      <c r="R1176" s="65">
        <f t="shared" si="170"/>
        <v>414.8</v>
      </c>
      <c r="S1176" s="272"/>
      <c r="T1176" s="64">
        <v>50</v>
      </c>
      <c r="U1176" s="270"/>
      <c r="V1176" s="38">
        <v>378</v>
      </c>
      <c r="W1176" s="38">
        <f t="shared" si="171"/>
        <v>83.16</v>
      </c>
      <c r="X1176" s="38">
        <f t="shared" si="172"/>
        <v>461.16</v>
      </c>
    </row>
    <row r="1177" spans="1:24" ht="15" customHeight="1" x14ac:dyDescent="0.35">
      <c r="A1177" s="56" t="s">
        <v>3430</v>
      </c>
      <c r="B1177" s="2">
        <v>1124</v>
      </c>
      <c r="C1177" s="77">
        <v>10126742</v>
      </c>
      <c r="D1177" s="74" t="s">
        <v>66</v>
      </c>
      <c r="E1177" s="59" t="s">
        <v>2167</v>
      </c>
      <c r="F1177" s="75">
        <v>4</v>
      </c>
      <c r="G1177" s="64" t="s">
        <v>8</v>
      </c>
      <c r="H1177" s="101">
        <v>2014</v>
      </c>
      <c r="I1177" s="4" t="s">
        <v>957</v>
      </c>
      <c r="J1177" s="61" t="s">
        <v>1917</v>
      </c>
      <c r="K1177" s="101" t="s">
        <v>2069</v>
      </c>
      <c r="L1177" s="61" t="s">
        <v>2097</v>
      </c>
      <c r="M1177" s="65">
        <f t="shared" si="168"/>
        <v>292.24</v>
      </c>
      <c r="N1177" s="65">
        <f t="shared" si="176"/>
        <v>73.06</v>
      </c>
      <c r="O1177" s="65">
        <v>292.24</v>
      </c>
      <c r="P1177" s="65">
        <v>400</v>
      </c>
      <c r="Q1177" s="65">
        <f t="shared" si="169"/>
        <v>88</v>
      </c>
      <c r="R1177" s="65">
        <f t="shared" si="170"/>
        <v>488</v>
      </c>
      <c r="S1177" s="272"/>
      <c r="T1177" s="64">
        <v>50</v>
      </c>
      <c r="U1177" s="270"/>
      <c r="V1177" s="38">
        <v>452</v>
      </c>
      <c r="W1177" s="38">
        <f t="shared" si="171"/>
        <v>99.44</v>
      </c>
      <c r="X1177" s="38">
        <f t="shared" si="172"/>
        <v>551.44000000000005</v>
      </c>
    </row>
    <row r="1178" spans="1:24" ht="15" customHeight="1" x14ac:dyDescent="0.35">
      <c r="A1178" s="56" t="s">
        <v>3431</v>
      </c>
      <c r="B1178" s="2">
        <v>1125</v>
      </c>
      <c r="C1178" s="77">
        <v>10006171</v>
      </c>
      <c r="D1178" s="74" t="s">
        <v>75</v>
      </c>
      <c r="E1178" s="59" t="s">
        <v>2167</v>
      </c>
      <c r="F1178" s="75">
        <v>5.8</v>
      </c>
      <c r="G1178" s="64" t="s">
        <v>8</v>
      </c>
      <c r="H1178" s="101">
        <v>2014</v>
      </c>
      <c r="I1178" s="4" t="s">
        <v>957</v>
      </c>
      <c r="J1178" s="61" t="s">
        <v>1917</v>
      </c>
      <c r="K1178" s="101" t="s">
        <v>2070</v>
      </c>
      <c r="L1178" s="61" t="s">
        <v>2097</v>
      </c>
      <c r="M1178" s="65">
        <f t="shared" si="168"/>
        <v>398.81</v>
      </c>
      <c r="N1178" s="65">
        <f t="shared" si="176"/>
        <v>68.760000000000005</v>
      </c>
      <c r="O1178" s="65">
        <v>398.81</v>
      </c>
      <c r="P1178" s="65">
        <v>550</v>
      </c>
      <c r="Q1178" s="65">
        <f t="shared" si="169"/>
        <v>121</v>
      </c>
      <c r="R1178" s="65">
        <f t="shared" si="170"/>
        <v>671</v>
      </c>
      <c r="S1178" s="272"/>
      <c r="T1178" s="64">
        <v>50</v>
      </c>
      <c r="U1178" s="270"/>
      <c r="V1178" s="38">
        <v>617</v>
      </c>
      <c r="W1178" s="38">
        <f t="shared" si="171"/>
        <v>135.74</v>
      </c>
      <c r="X1178" s="38">
        <f t="shared" si="172"/>
        <v>752.74</v>
      </c>
    </row>
    <row r="1179" spans="1:24" ht="15" customHeight="1" x14ac:dyDescent="0.35">
      <c r="A1179" s="56" t="s">
        <v>3432</v>
      </c>
      <c r="B1179" s="2">
        <v>1126</v>
      </c>
      <c r="C1179" s="77">
        <v>10006172</v>
      </c>
      <c r="D1179" s="74" t="s">
        <v>87</v>
      </c>
      <c r="E1179" s="74" t="s">
        <v>2176</v>
      </c>
      <c r="F1179" s="75">
        <v>14.05</v>
      </c>
      <c r="G1179" s="64" t="s">
        <v>8</v>
      </c>
      <c r="H1179" s="101">
        <v>2014</v>
      </c>
      <c r="I1179" s="4" t="s">
        <v>957</v>
      </c>
      <c r="J1179" s="61" t="s">
        <v>1917</v>
      </c>
      <c r="K1179" s="101" t="s">
        <v>2073</v>
      </c>
      <c r="L1179" s="61" t="s">
        <v>2097</v>
      </c>
      <c r="M1179" s="65">
        <f t="shared" si="168"/>
        <v>863.35</v>
      </c>
      <c r="N1179" s="65">
        <f t="shared" si="176"/>
        <v>61.45</v>
      </c>
      <c r="O1179" s="65">
        <v>863.35</v>
      </c>
      <c r="P1179" s="65">
        <v>1200</v>
      </c>
      <c r="Q1179" s="65">
        <f t="shared" si="169"/>
        <v>264</v>
      </c>
      <c r="R1179" s="65">
        <f t="shared" si="170"/>
        <v>1464</v>
      </c>
      <c r="S1179" s="272"/>
      <c r="T1179" s="64">
        <v>50</v>
      </c>
      <c r="U1179" s="270"/>
      <c r="V1179" s="38">
        <v>1336</v>
      </c>
      <c r="W1179" s="38">
        <f t="shared" si="171"/>
        <v>293.92</v>
      </c>
      <c r="X1179" s="38">
        <f t="shared" si="172"/>
        <v>1629.92</v>
      </c>
    </row>
    <row r="1180" spans="1:24" ht="15" customHeight="1" x14ac:dyDescent="0.35">
      <c r="A1180" s="56" t="s">
        <v>3433</v>
      </c>
      <c r="B1180" s="2">
        <v>1127</v>
      </c>
      <c r="C1180" s="77">
        <v>10088409</v>
      </c>
      <c r="D1180" s="74" t="s">
        <v>93</v>
      </c>
      <c r="E1180" s="59" t="s">
        <v>2167</v>
      </c>
      <c r="F1180" s="75">
        <f>23.6-23</f>
        <v>0.6</v>
      </c>
      <c r="G1180" s="64" t="s">
        <v>8</v>
      </c>
      <c r="H1180" s="101">
        <v>2014</v>
      </c>
      <c r="I1180" s="4" t="s">
        <v>957</v>
      </c>
      <c r="J1180" s="61" t="s">
        <v>1917</v>
      </c>
      <c r="K1180" s="101" t="s">
        <v>2074</v>
      </c>
      <c r="L1180" s="61" t="s">
        <v>2097</v>
      </c>
      <c r="M1180" s="65">
        <f t="shared" si="168"/>
        <v>30.31</v>
      </c>
      <c r="N1180" s="65">
        <f t="shared" si="176"/>
        <v>50.52</v>
      </c>
      <c r="O1180" s="65">
        <f>1192.12/23.6*0.6</f>
        <v>30.31</v>
      </c>
      <c r="P1180" s="65">
        <v>40</v>
      </c>
      <c r="Q1180" s="65">
        <f t="shared" si="169"/>
        <v>8.8000000000000007</v>
      </c>
      <c r="R1180" s="65">
        <f t="shared" si="170"/>
        <v>48.8</v>
      </c>
      <c r="S1180" s="272"/>
      <c r="T1180" s="64">
        <v>50</v>
      </c>
      <c r="U1180" s="270"/>
      <c r="V1180" s="38">
        <v>47</v>
      </c>
      <c r="W1180" s="38">
        <f t="shared" si="171"/>
        <v>10.34</v>
      </c>
      <c r="X1180" s="38">
        <f t="shared" si="172"/>
        <v>57.34</v>
      </c>
    </row>
    <row r="1181" spans="1:24" ht="15" customHeight="1" x14ac:dyDescent="0.35">
      <c r="A1181" s="56" t="s">
        <v>3434</v>
      </c>
      <c r="B1181" s="2">
        <v>1128</v>
      </c>
      <c r="C1181" s="77">
        <v>10119125</v>
      </c>
      <c r="D1181" s="74" t="s">
        <v>97</v>
      </c>
      <c r="E1181" s="59" t="s">
        <v>2167</v>
      </c>
      <c r="F1181" s="75">
        <v>29</v>
      </c>
      <c r="G1181" s="64" t="s">
        <v>8</v>
      </c>
      <c r="H1181" s="101">
        <v>2014</v>
      </c>
      <c r="I1181" s="4" t="s">
        <v>957</v>
      </c>
      <c r="J1181" s="61" t="s">
        <v>1917</v>
      </c>
      <c r="K1181" s="101" t="s">
        <v>2075</v>
      </c>
      <c r="L1181" s="61" t="s">
        <v>2097</v>
      </c>
      <c r="M1181" s="65">
        <f t="shared" si="168"/>
        <v>971.5</v>
      </c>
      <c r="N1181" s="65">
        <f t="shared" si="176"/>
        <v>33.5</v>
      </c>
      <c r="O1181" s="65">
        <v>971.5</v>
      </c>
      <c r="P1181" s="65">
        <v>1350</v>
      </c>
      <c r="Q1181" s="65">
        <f t="shared" si="169"/>
        <v>297</v>
      </c>
      <c r="R1181" s="65">
        <f t="shared" si="170"/>
        <v>1647</v>
      </c>
      <c r="S1181" s="272"/>
      <c r="T1181" s="64">
        <v>50</v>
      </c>
      <c r="U1181" s="270"/>
      <c r="V1181" s="38">
        <v>1504</v>
      </c>
      <c r="W1181" s="38">
        <f t="shared" si="171"/>
        <v>330.88</v>
      </c>
      <c r="X1181" s="38">
        <f t="shared" si="172"/>
        <v>1834.88</v>
      </c>
    </row>
    <row r="1182" spans="1:24" ht="15" customHeight="1" x14ac:dyDescent="0.35">
      <c r="A1182" s="56" t="s">
        <v>3435</v>
      </c>
      <c r="B1182" s="2">
        <v>1129</v>
      </c>
      <c r="C1182" s="77">
        <v>10006188</v>
      </c>
      <c r="D1182" s="74" t="s">
        <v>100</v>
      </c>
      <c r="E1182" s="74" t="s">
        <v>2176</v>
      </c>
      <c r="F1182" s="75">
        <v>38</v>
      </c>
      <c r="G1182" s="64" t="s">
        <v>8</v>
      </c>
      <c r="H1182" s="101">
        <v>2014</v>
      </c>
      <c r="I1182" s="4" t="s">
        <v>957</v>
      </c>
      <c r="J1182" s="61" t="s">
        <v>1917</v>
      </c>
      <c r="K1182" s="101" t="s">
        <v>2076</v>
      </c>
      <c r="L1182" s="61" t="s">
        <v>2097</v>
      </c>
      <c r="M1182" s="65">
        <f t="shared" si="168"/>
        <v>2696.27</v>
      </c>
      <c r="N1182" s="65">
        <f t="shared" si="176"/>
        <v>70.95</v>
      </c>
      <c r="O1182" s="65">
        <v>2696.27</v>
      </c>
      <c r="P1182" s="65">
        <v>3740</v>
      </c>
      <c r="Q1182" s="65">
        <f t="shared" si="169"/>
        <v>822.8</v>
      </c>
      <c r="R1182" s="65">
        <f t="shared" si="170"/>
        <v>4562.8</v>
      </c>
      <c r="S1182" s="272"/>
      <c r="T1182" s="64">
        <v>50</v>
      </c>
      <c r="U1182" s="270"/>
      <c r="V1182" s="38">
        <v>4173</v>
      </c>
      <c r="W1182" s="38">
        <f t="shared" si="171"/>
        <v>918.06</v>
      </c>
      <c r="X1182" s="38">
        <f t="shared" si="172"/>
        <v>5091.0600000000004</v>
      </c>
    </row>
    <row r="1183" spans="1:24" ht="15" customHeight="1" x14ac:dyDescent="0.35">
      <c r="A1183" s="56" t="s">
        <v>3436</v>
      </c>
      <c r="B1183" s="2">
        <v>1130</v>
      </c>
      <c r="C1183" s="77">
        <v>10006177</v>
      </c>
      <c r="D1183" s="74" t="s">
        <v>106</v>
      </c>
      <c r="E1183" s="74" t="s">
        <v>2176</v>
      </c>
      <c r="F1183" s="75">
        <v>54</v>
      </c>
      <c r="G1183" s="64" t="s">
        <v>8</v>
      </c>
      <c r="H1183" s="101">
        <v>2014</v>
      </c>
      <c r="I1183" s="4" t="s">
        <v>957</v>
      </c>
      <c r="J1183" s="61" t="s">
        <v>1917</v>
      </c>
      <c r="K1183" s="101" t="s">
        <v>2077</v>
      </c>
      <c r="L1183" s="61" t="s">
        <v>2097</v>
      </c>
      <c r="M1183" s="65">
        <f t="shared" si="168"/>
        <v>3534.98</v>
      </c>
      <c r="N1183" s="65">
        <f t="shared" si="176"/>
        <v>65.459999999999994</v>
      </c>
      <c r="O1183" s="65">
        <v>3534.98</v>
      </c>
      <c r="P1183" s="65">
        <v>4900</v>
      </c>
      <c r="Q1183" s="65">
        <f t="shared" si="169"/>
        <v>1078</v>
      </c>
      <c r="R1183" s="65">
        <f t="shared" si="170"/>
        <v>5978</v>
      </c>
      <c r="S1183" s="272"/>
      <c r="T1183" s="64">
        <v>50</v>
      </c>
      <c r="U1183" s="270"/>
      <c r="V1183" s="38">
        <v>5471</v>
      </c>
      <c r="W1183" s="38">
        <f t="shared" si="171"/>
        <v>1203.6199999999999</v>
      </c>
      <c r="X1183" s="38">
        <f t="shared" si="172"/>
        <v>6674.62</v>
      </c>
    </row>
    <row r="1184" spans="1:24" ht="15" customHeight="1" x14ac:dyDescent="0.35">
      <c r="A1184" s="56" t="s">
        <v>3437</v>
      </c>
      <c r="B1184" s="2">
        <v>1131</v>
      </c>
      <c r="C1184" s="77">
        <v>10006182</v>
      </c>
      <c r="D1184" s="74" t="s">
        <v>109</v>
      </c>
      <c r="E1184" s="74" t="s">
        <v>2176</v>
      </c>
      <c r="F1184" s="75">
        <v>57</v>
      </c>
      <c r="G1184" s="64" t="s">
        <v>8</v>
      </c>
      <c r="H1184" s="101">
        <v>2014</v>
      </c>
      <c r="I1184" s="4" t="s">
        <v>957</v>
      </c>
      <c r="J1184" s="61" t="s">
        <v>1917</v>
      </c>
      <c r="K1184" s="101" t="s">
        <v>2078</v>
      </c>
      <c r="L1184" s="61" t="s">
        <v>2097</v>
      </c>
      <c r="M1184" s="65">
        <f t="shared" si="168"/>
        <v>3724.83</v>
      </c>
      <c r="N1184" s="65">
        <f t="shared" si="176"/>
        <v>65.349999999999994</v>
      </c>
      <c r="O1184" s="65">
        <v>3724.83</v>
      </c>
      <c r="P1184" s="65">
        <v>5160</v>
      </c>
      <c r="Q1184" s="65">
        <f t="shared" si="169"/>
        <v>1135.2</v>
      </c>
      <c r="R1184" s="65">
        <f t="shared" si="170"/>
        <v>6295.2</v>
      </c>
      <c r="S1184" s="272"/>
      <c r="T1184" s="64">
        <v>50</v>
      </c>
      <c r="U1184" s="270"/>
      <c r="V1184" s="38">
        <v>5765</v>
      </c>
      <c r="W1184" s="38">
        <f t="shared" si="171"/>
        <v>1268.3</v>
      </c>
      <c r="X1184" s="38">
        <f t="shared" si="172"/>
        <v>7033.3</v>
      </c>
    </row>
    <row r="1185" spans="1:24" ht="15" customHeight="1" x14ac:dyDescent="0.35">
      <c r="A1185" s="56" t="s">
        <v>3438</v>
      </c>
      <c r="B1185" s="2">
        <v>1132</v>
      </c>
      <c r="C1185" s="77">
        <v>10006190</v>
      </c>
      <c r="D1185" s="74" t="s">
        <v>113</v>
      </c>
      <c r="E1185" s="59" t="s">
        <v>2167</v>
      </c>
      <c r="F1185" s="75">
        <f>73.98-1-34</f>
        <v>38.979999999999997</v>
      </c>
      <c r="G1185" s="64" t="s">
        <v>8</v>
      </c>
      <c r="H1185" s="101">
        <v>2014</v>
      </c>
      <c r="I1185" s="4" t="s">
        <v>957</v>
      </c>
      <c r="J1185" s="61" t="s">
        <v>1917</v>
      </c>
      <c r="K1185" s="101" t="s">
        <v>2079</v>
      </c>
      <c r="L1185" s="61" t="s">
        <v>2097</v>
      </c>
      <c r="M1185" s="65">
        <f t="shared" si="168"/>
        <v>2508.8200000000002</v>
      </c>
      <c r="N1185" s="65">
        <f t="shared" si="176"/>
        <v>64.36</v>
      </c>
      <c r="O1185" s="65">
        <v>2508.8200000000002</v>
      </c>
      <c r="P1185" s="65">
        <v>3480</v>
      </c>
      <c r="Q1185" s="65">
        <f t="shared" si="169"/>
        <v>765.6</v>
      </c>
      <c r="R1185" s="65">
        <f t="shared" si="170"/>
        <v>4245.6000000000004</v>
      </c>
      <c r="S1185" s="272"/>
      <c r="T1185" s="64">
        <v>50</v>
      </c>
      <c r="U1185" s="270"/>
      <c r="V1185" s="38">
        <v>3883</v>
      </c>
      <c r="W1185" s="38">
        <f t="shared" si="171"/>
        <v>854.26</v>
      </c>
      <c r="X1185" s="38">
        <f t="shared" si="172"/>
        <v>4737.26</v>
      </c>
    </row>
    <row r="1186" spans="1:24" ht="22.5" customHeight="1" x14ac:dyDescent="0.35">
      <c r="A1186" s="56" t="s">
        <v>3439</v>
      </c>
      <c r="B1186" s="2">
        <v>1133</v>
      </c>
      <c r="C1186" s="77">
        <v>10108866</v>
      </c>
      <c r="D1186" s="74" t="s">
        <v>115</v>
      </c>
      <c r="E1186" s="74" t="s">
        <v>2176</v>
      </c>
      <c r="F1186" s="75">
        <f>87.45-81</f>
        <v>6.45</v>
      </c>
      <c r="G1186" s="64" t="s">
        <v>52</v>
      </c>
      <c r="H1186" s="101">
        <v>2014</v>
      </c>
      <c r="I1186" s="4" t="s">
        <v>957</v>
      </c>
      <c r="J1186" s="61" t="s">
        <v>1917</v>
      </c>
      <c r="K1186" s="101" t="s">
        <v>2080</v>
      </c>
      <c r="L1186" s="61" t="s">
        <v>2097</v>
      </c>
      <c r="M1186" s="65">
        <f t="shared" si="168"/>
        <v>1076.77</v>
      </c>
      <c r="N1186" s="65">
        <f t="shared" si="176"/>
        <v>166.94</v>
      </c>
      <c r="O1186" s="65">
        <f>14598.98/87.45*6.45</f>
        <v>1076.77</v>
      </c>
      <c r="P1186" s="65">
        <v>1490</v>
      </c>
      <c r="Q1186" s="65">
        <f t="shared" si="169"/>
        <v>327.8</v>
      </c>
      <c r="R1186" s="65">
        <f t="shared" si="170"/>
        <v>1817.8</v>
      </c>
      <c r="S1186" s="272"/>
      <c r="T1186" s="64">
        <v>50</v>
      </c>
      <c r="U1186" s="270"/>
      <c r="V1186" s="38">
        <v>1667</v>
      </c>
      <c r="W1186" s="38">
        <f t="shared" si="171"/>
        <v>366.74</v>
      </c>
      <c r="X1186" s="38">
        <f t="shared" si="172"/>
        <v>2033.74</v>
      </c>
    </row>
    <row r="1187" spans="1:24" ht="28.5" customHeight="1" x14ac:dyDescent="0.35">
      <c r="A1187" s="56" t="s">
        <v>3999</v>
      </c>
      <c r="B1187" s="2">
        <v>1134</v>
      </c>
      <c r="C1187" s="77">
        <v>10108866</v>
      </c>
      <c r="D1187" s="74" t="s">
        <v>115</v>
      </c>
      <c r="E1187" s="59" t="s">
        <v>2167</v>
      </c>
      <c r="F1187" s="75">
        <v>78</v>
      </c>
      <c r="G1187" s="64" t="s">
        <v>52</v>
      </c>
      <c r="H1187" s="101">
        <v>2014</v>
      </c>
      <c r="I1187" s="4" t="s">
        <v>957</v>
      </c>
      <c r="J1187" s="63" t="s">
        <v>1917</v>
      </c>
      <c r="K1187" s="63" t="s">
        <v>961</v>
      </c>
      <c r="L1187" s="69" t="s">
        <v>950</v>
      </c>
      <c r="M1187" s="65">
        <f t="shared" si="168"/>
        <v>13021.39</v>
      </c>
      <c r="N1187" s="65">
        <f t="shared" si="176"/>
        <v>166.94</v>
      </c>
      <c r="O1187" s="65">
        <v>13021.39</v>
      </c>
      <c r="P1187" s="65">
        <v>21150</v>
      </c>
      <c r="Q1187" s="65">
        <f t="shared" si="169"/>
        <v>4653</v>
      </c>
      <c r="R1187" s="65">
        <f t="shared" si="170"/>
        <v>25803</v>
      </c>
      <c r="S1187" s="272"/>
      <c r="T1187" s="64">
        <v>50</v>
      </c>
      <c r="U1187" s="270"/>
      <c r="V1187" s="38">
        <v>23629</v>
      </c>
      <c r="W1187" s="38">
        <f t="shared" si="171"/>
        <v>5198.38</v>
      </c>
      <c r="X1187" s="38">
        <f t="shared" si="172"/>
        <v>28827.38</v>
      </c>
    </row>
    <row r="1188" spans="1:24" ht="15" customHeight="1" x14ac:dyDescent="0.35">
      <c r="A1188" s="56" t="s">
        <v>3440</v>
      </c>
      <c r="B1188" s="2">
        <v>1135</v>
      </c>
      <c r="C1188" s="77">
        <v>10119264</v>
      </c>
      <c r="D1188" s="74" t="s">
        <v>125</v>
      </c>
      <c r="E1188" s="59" t="s">
        <v>2167</v>
      </c>
      <c r="F1188" s="75">
        <f>204-6-4-40</f>
        <v>154</v>
      </c>
      <c r="G1188" s="64" t="s">
        <v>0</v>
      </c>
      <c r="H1188" s="101">
        <v>2014</v>
      </c>
      <c r="I1188" s="4" t="s">
        <v>957</v>
      </c>
      <c r="J1188" s="61" t="s">
        <v>1917</v>
      </c>
      <c r="K1188" s="101" t="s">
        <v>2082</v>
      </c>
      <c r="L1188" s="61" t="s">
        <v>2097</v>
      </c>
      <c r="M1188" s="65">
        <f t="shared" si="168"/>
        <v>1386</v>
      </c>
      <c r="N1188" s="65">
        <f t="shared" si="176"/>
        <v>9</v>
      </c>
      <c r="O1188" s="65">
        <f>1836/204*154</f>
        <v>1386</v>
      </c>
      <c r="P1188" s="65">
        <v>1920</v>
      </c>
      <c r="Q1188" s="65">
        <f t="shared" si="169"/>
        <v>422.4</v>
      </c>
      <c r="R1188" s="65">
        <f t="shared" si="170"/>
        <v>2342.4</v>
      </c>
      <c r="S1188" s="272"/>
      <c r="T1188" s="64">
        <v>50</v>
      </c>
      <c r="U1188" s="270"/>
      <c r="V1188" s="38">
        <v>2145</v>
      </c>
      <c r="W1188" s="38">
        <f t="shared" si="171"/>
        <v>471.9</v>
      </c>
      <c r="X1188" s="38">
        <f t="shared" si="172"/>
        <v>2616.9</v>
      </c>
    </row>
    <row r="1189" spans="1:24" ht="15" customHeight="1" x14ac:dyDescent="0.35">
      <c r="A1189" s="56" t="s">
        <v>3441</v>
      </c>
      <c r="B1189" s="2">
        <v>1136</v>
      </c>
      <c r="C1189" s="77">
        <v>10089871</v>
      </c>
      <c r="D1189" s="74" t="s">
        <v>132</v>
      </c>
      <c r="E1189" s="59" t="s">
        <v>2167</v>
      </c>
      <c r="F1189" s="75">
        <f>438-51-77-2.4-43.34</f>
        <v>264.26</v>
      </c>
      <c r="G1189" s="64" t="s">
        <v>8</v>
      </c>
      <c r="H1189" s="101">
        <v>2014</v>
      </c>
      <c r="I1189" s="4" t="s">
        <v>957</v>
      </c>
      <c r="J1189" s="61" t="s">
        <v>1917</v>
      </c>
      <c r="K1189" s="101" t="s">
        <v>2085</v>
      </c>
      <c r="L1189" s="61" t="s">
        <v>2097</v>
      </c>
      <c r="M1189" s="65">
        <f t="shared" si="168"/>
        <v>15865.7</v>
      </c>
      <c r="N1189" s="65">
        <f t="shared" si="176"/>
        <v>60.04</v>
      </c>
      <c r="O1189" s="65">
        <f>26296.74/438*264.26</f>
        <v>15865.7</v>
      </c>
      <c r="P1189" s="65">
        <v>21980</v>
      </c>
      <c r="Q1189" s="65">
        <f t="shared" si="169"/>
        <v>4835.6000000000004</v>
      </c>
      <c r="R1189" s="65">
        <f t="shared" si="170"/>
        <v>26815.599999999999</v>
      </c>
      <c r="S1189" s="272"/>
      <c r="T1189" s="64">
        <v>50</v>
      </c>
      <c r="U1189" s="270"/>
      <c r="V1189" s="38">
        <v>24557</v>
      </c>
      <c r="W1189" s="38">
        <f t="shared" si="171"/>
        <v>5402.54</v>
      </c>
      <c r="X1189" s="38">
        <f t="shared" si="172"/>
        <v>29959.54</v>
      </c>
    </row>
    <row r="1190" spans="1:24" ht="15" customHeight="1" x14ac:dyDescent="0.35">
      <c r="A1190" s="56" t="s">
        <v>3442</v>
      </c>
      <c r="B1190" s="2">
        <v>1137</v>
      </c>
      <c r="C1190" s="77">
        <v>10029589</v>
      </c>
      <c r="D1190" s="74" t="s">
        <v>135</v>
      </c>
      <c r="E1190" s="74" t="s">
        <v>2167</v>
      </c>
      <c r="F1190" s="75">
        <v>606</v>
      </c>
      <c r="G1190" s="64" t="s">
        <v>0</v>
      </c>
      <c r="H1190" s="101">
        <v>2014</v>
      </c>
      <c r="I1190" s="4" t="s">
        <v>957</v>
      </c>
      <c r="J1190" s="61" t="s">
        <v>1917</v>
      </c>
      <c r="K1190" s="101" t="s">
        <v>2087</v>
      </c>
      <c r="L1190" s="61" t="s">
        <v>2097</v>
      </c>
      <c r="M1190" s="65">
        <f t="shared" si="168"/>
        <v>9217.26</v>
      </c>
      <c r="N1190" s="65">
        <f t="shared" si="176"/>
        <v>15.21</v>
      </c>
      <c r="O1190" s="65">
        <v>9217.26</v>
      </c>
      <c r="P1190" s="65">
        <v>12770</v>
      </c>
      <c r="Q1190" s="65">
        <f t="shared" si="169"/>
        <v>2809.4</v>
      </c>
      <c r="R1190" s="65">
        <f t="shared" si="170"/>
        <v>15579.4</v>
      </c>
      <c r="S1190" s="272"/>
      <c r="T1190" s="64">
        <v>50</v>
      </c>
      <c r="U1190" s="270"/>
      <c r="V1190" s="38">
        <v>14266</v>
      </c>
      <c r="W1190" s="38">
        <f t="shared" si="171"/>
        <v>3138.52</v>
      </c>
      <c r="X1190" s="38">
        <f t="shared" si="172"/>
        <v>17404.52</v>
      </c>
    </row>
    <row r="1191" spans="1:24" ht="15" customHeight="1" x14ac:dyDescent="0.35">
      <c r="A1191" s="56" t="s">
        <v>3443</v>
      </c>
      <c r="B1191" s="2">
        <v>1138</v>
      </c>
      <c r="C1191" s="77">
        <v>10071370</v>
      </c>
      <c r="D1191" s="74" t="s">
        <v>139</v>
      </c>
      <c r="E1191" s="74" t="s">
        <v>2167</v>
      </c>
      <c r="F1191" s="75">
        <v>4300</v>
      </c>
      <c r="G1191" s="64" t="s">
        <v>0</v>
      </c>
      <c r="H1191" s="101">
        <v>2014</v>
      </c>
      <c r="I1191" s="4" t="s">
        <v>957</v>
      </c>
      <c r="J1191" s="61" t="s">
        <v>1917</v>
      </c>
      <c r="K1191" s="101" t="s">
        <v>2088</v>
      </c>
      <c r="L1191" s="61" t="s">
        <v>2097</v>
      </c>
      <c r="M1191" s="65">
        <f t="shared" si="168"/>
        <v>2365</v>
      </c>
      <c r="N1191" s="65">
        <f t="shared" si="176"/>
        <v>0.55000000000000004</v>
      </c>
      <c r="O1191" s="65">
        <v>2365</v>
      </c>
      <c r="P1191" s="65">
        <v>3240</v>
      </c>
      <c r="Q1191" s="65">
        <f t="shared" si="169"/>
        <v>712.8</v>
      </c>
      <c r="R1191" s="65">
        <f t="shared" si="170"/>
        <v>3952.8</v>
      </c>
      <c r="S1191" s="276"/>
      <c r="T1191" s="64">
        <v>50</v>
      </c>
      <c r="U1191" s="270"/>
      <c r="V1191" s="38">
        <v>3617</v>
      </c>
      <c r="W1191" s="38">
        <f t="shared" si="171"/>
        <v>795.74</v>
      </c>
      <c r="X1191" s="38">
        <f t="shared" si="172"/>
        <v>4412.74</v>
      </c>
    </row>
    <row r="1192" spans="1:24" ht="15" customHeight="1" x14ac:dyDescent="0.35">
      <c r="A1192" s="56"/>
      <c r="B1192" s="15"/>
      <c r="C1192" s="77"/>
      <c r="D1192" s="74"/>
      <c r="E1192" s="74"/>
      <c r="F1192" s="75"/>
      <c r="G1192" s="64"/>
      <c r="H1192" s="101"/>
      <c r="I1192" s="4"/>
      <c r="J1192" s="61"/>
      <c r="K1192" s="101"/>
      <c r="L1192" s="61"/>
      <c r="M1192" s="65"/>
      <c r="N1192" s="65"/>
      <c r="O1192" s="126">
        <f>SUM(O1171:O1191)</f>
        <v>68562.789999999994</v>
      </c>
      <c r="P1192" s="126">
        <f t="shared" ref="P1192:R1192" si="177">SUM(P1171:P1191)</f>
        <v>94490</v>
      </c>
      <c r="Q1192" s="126">
        <f t="shared" si="177"/>
        <v>20787.8</v>
      </c>
      <c r="R1192" s="126">
        <f t="shared" si="177"/>
        <v>115277.8</v>
      </c>
      <c r="S1192" s="72">
        <f>R1192/100*10</f>
        <v>11527.78</v>
      </c>
      <c r="T1192" s="73">
        <v>50</v>
      </c>
      <c r="U1192" s="275"/>
      <c r="V1192" s="38"/>
      <c r="W1192" s="38"/>
      <c r="X1192" s="38"/>
    </row>
    <row r="1193" spans="1:24" ht="15" customHeight="1" x14ac:dyDescent="0.35">
      <c r="A1193" s="56" t="s">
        <v>3444</v>
      </c>
      <c r="B1193" s="2">
        <v>1139</v>
      </c>
      <c r="C1193" s="77">
        <v>10114040</v>
      </c>
      <c r="D1193" s="74" t="s">
        <v>78</v>
      </c>
      <c r="E1193" s="74" t="s">
        <v>2167</v>
      </c>
      <c r="F1193" s="75">
        <v>7</v>
      </c>
      <c r="G1193" s="64" t="s">
        <v>0</v>
      </c>
      <c r="H1193" s="101">
        <v>2014</v>
      </c>
      <c r="I1193" s="4" t="s">
        <v>957</v>
      </c>
      <c r="J1193" s="61" t="s">
        <v>1917</v>
      </c>
      <c r="K1193" s="101" t="s">
        <v>2030</v>
      </c>
      <c r="L1193" s="61" t="s">
        <v>2097</v>
      </c>
      <c r="M1193" s="65">
        <f t="shared" si="168"/>
        <v>12991.51</v>
      </c>
      <c r="N1193" s="65">
        <f>O1193/F1193</f>
        <v>1855.93</v>
      </c>
      <c r="O1193" s="65">
        <v>12991.51</v>
      </c>
      <c r="P1193" s="65">
        <v>19870</v>
      </c>
      <c r="Q1193" s="65">
        <f t="shared" si="169"/>
        <v>4371.3999999999996</v>
      </c>
      <c r="R1193" s="65">
        <f t="shared" si="170"/>
        <v>24241.4</v>
      </c>
      <c r="S1193" s="267"/>
      <c r="T1193" s="64">
        <v>51</v>
      </c>
      <c r="U1193" s="273" t="s">
        <v>4008</v>
      </c>
      <c r="V1193" s="38">
        <v>19870</v>
      </c>
      <c r="W1193" s="38">
        <f t="shared" si="171"/>
        <v>4371.3999999999996</v>
      </c>
      <c r="X1193" s="38">
        <f t="shared" si="172"/>
        <v>24241.4</v>
      </c>
    </row>
    <row r="1194" spans="1:24" ht="15" customHeight="1" x14ac:dyDescent="0.35">
      <c r="A1194" s="56" t="s">
        <v>3445</v>
      </c>
      <c r="B1194" s="2">
        <v>1140</v>
      </c>
      <c r="C1194" s="77">
        <v>10095834</v>
      </c>
      <c r="D1194" s="74" t="s">
        <v>90</v>
      </c>
      <c r="E1194" s="74" t="s">
        <v>2167</v>
      </c>
      <c r="F1194" s="75">
        <v>17</v>
      </c>
      <c r="G1194" s="64" t="s">
        <v>0</v>
      </c>
      <c r="H1194" s="101">
        <v>2014</v>
      </c>
      <c r="I1194" s="4" t="s">
        <v>957</v>
      </c>
      <c r="J1194" s="61" t="s">
        <v>1917</v>
      </c>
      <c r="K1194" s="101" t="s">
        <v>2036</v>
      </c>
      <c r="L1194" s="61" t="s">
        <v>2097</v>
      </c>
      <c r="M1194" s="65">
        <f t="shared" ref="M1194:M1257" si="178">O1194</f>
        <v>5927.56</v>
      </c>
      <c r="N1194" s="65">
        <f>O1194/F1194</f>
        <v>348.68</v>
      </c>
      <c r="O1194" s="65">
        <v>5927.56</v>
      </c>
      <c r="P1194" s="65">
        <v>11610</v>
      </c>
      <c r="Q1194" s="65">
        <f t="shared" si="169"/>
        <v>2554.1999999999998</v>
      </c>
      <c r="R1194" s="65">
        <f t="shared" si="170"/>
        <v>14164.2</v>
      </c>
      <c r="S1194" s="276"/>
      <c r="T1194" s="64">
        <v>51</v>
      </c>
      <c r="U1194" s="270"/>
      <c r="V1194" s="38">
        <v>11614</v>
      </c>
      <c r="W1194" s="38">
        <f t="shared" si="171"/>
        <v>2555.08</v>
      </c>
      <c r="X1194" s="38">
        <f t="shared" si="172"/>
        <v>14169.08</v>
      </c>
    </row>
    <row r="1195" spans="1:24" ht="15" customHeight="1" x14ac:dyDescent="0.35">
      <c r="A1195" s="56"/>
      <c r="B1195" s="15"/>
      <c r="C1195" s="77"/>
      <c r="D1195" s="74"/>
      <c r="E1195" s="74"/>
      <c r="F1195" s="75"/>
      <c r="G1195" s="64"/>
      <c r="H1195" s="101"/>
      <c r="I1195" s="4"/>
      <c r="J1195" s="61"/>
      <c r="K1195" s="101"/>
      <c r="L1195" s="61"/>
      <c r="M1195" s="65"/>
      <c r="N1195" s="65"/>
      <c r="O1195" s="126">
        <f>SUM(O1193:O1194)</f>
        <v>18919.07</v>
      </c>
      <c r="P1195" s="126">
        <f t="shared" ref="P1195:R1195" si="179">SUM(P1193:P1194)</f>
        <v>31480</v>
      </c>
      <c r="Q1195" s="126">
        <f t="shared" si="179"/>
        <v>6925.6</v>
      </c>
      <c r="R1195" s="126">
        <f t="shared" si="179"/>
        <v>38405.599999999999</v>
      </c>
      <c r="S1195" s="72">
        <f>R1195/100*10</f>
        <v>3840.56</v>
      </c>
      <c r="T1195" s="73">
        <v>51</v>
      </c>
      <c r="U1195" s="271"/>
      <c r="V1195" s="38"/>
      <c r="W1195" s="38"/>
      <c r="X1195" s="38"/>
    </row>
    <row r="1196" spans="1:24" ht="15" customHeight="1" x14ac:dyDescent="0.35">
      <c r="A1196" s="56" t="s">
        <v>3446</v>
      </c>
      <c r="B1196" s="2">
        <v>1141</v>
      </c>
      <c r="C1196" s="77">
        <v>102000312</v>
      </c>
      <c r="D1196" s="74" t="s">
        <v>1444</v>
      </c>
      <c r="E1196" s="59" t="s">
        <v>2167</v>
      </c>
      <c r="F1196" s="75">
        <v>2</v>
      </c>
      <c r="G1196" s="64" t="s">
        <v>0</v>
      </c>
      <c r="H1196" s="78">
        <v>41891</v>
      </c>
      <c r="I1196" s="4" t="s">
        <v>957</v>
      </c>
      <c r="J1196" s="63" t="s">
        <v>1917</v>
      </c>
      <c r="K1196" s="63" t="s">
        <v>961</v>
      </c>
      <c r="L1196" s="69" t="s">
        <v>950</v>
      </c>
      <c r="M1196" s="70">
        <f t="shared" si="178"/>
        <v>201689.77</v>
      </c>
      <c r="N1196" s="70">
        <f t="shared" ref="N1196:N1202" si="180">O1196/F1196</f>
        <v>100844.89</v>
      </c>
      <c r="O1196" s="70">
        <v>201689.77</v>
      </c>
      <c r="P1196" s="65">
        <v>419040</v>
      </c>
      <c r="Q1196" s="65">
        <f t="shared" si="169"/>
        <v>92188.800000000003</v>
      </c>
      <c r="R1196" s="65">
        <f t="shared" si="170"/>
        <v>511228.8</v>
      </c>
      <c r="S1196" s="267"/>
      <c r="T1196" s="64">
        <v>52</v>
      </c>
      <c r="U1196" s="273" t="s">
        <v>2274</v>
      </c>
      <c r="V1196" s="38">
        <v>456967</v>
      </c>
      <c r="W1196" s="38">
        <f t="shared" si="171"/>
        <v>100532.74</v>
      </c>
      <c r="X1196" s="38">
        <f t="shared" si="172"/>
        <v>557499.74</v>
      </c>
    </row>
    <row r="1197" spans="1:24" ht="15" customHeight="1" x14ac:dyDescent="0.35">
      <c r="A1197" s="56" t="s">
        <v>3447</v>
      </c>
      <c r="B1197" s="2">
        <v>1142</v>
      </c>
      <c r="C1197" s="77">
        <v>102000708</v>
      </c>
      <c r="D1197" s="74" t="s">
        <v>1445</v>
      </c>
      <c r="E1197" s="59" t="s">
        <v>2167</v>
      </c>
      <c r="F1197" s="75">
        <v>2</v>
      </c>
      <c r="G1197" s="64" t="s">
        <v>0</v>
      </c>
      <c r="H1197" s="78">
        <v>41891</v>
      </c>
      <c r="I1197" s="4" t="s">
        <v>957</v>
      </c>
      <c r="J1197" s="63" t="s">
        <v>1917</v>
      </c>
      <c r="K1197" s="63" t="s">
        <v>961</v>
      </c>
      <c r="L1197" s="69" t="s">
        <v>950</v>
      </c>
      <c r="M1197" s="70">
        <f t="shared" si="178"/>
        <v>296077.87</v>
      </c>
      <c r="N1197" s="70">
        <f t="shared" si="180"/>
        <v>148038.94</v>
      </c>
      <c r="O1197" s="70">
        <v>296077.87</v>
      </c>
      <c r="P1197" s="65">
        <v>615140</v>
      </c>
      <c r="Q1197" s="65">
        <f t="shared" si="169"/>
        <v>135330.79999999999</v>
      </c>
      <c r="R1197" s="65">
        <f t="shared" si="170"/>
        <v>750470.8</v>
      </c>
      <c r="S1197" s="272"/>
      <c r="T1197" s="64">
        <v>52</v>
      </c>
      <c r="U1197" s="274"/>
      <c r="V1197" s="38">
        <v>670821</v>
      </c>
      <c r="W1197" s="38">
        <f t="shared" si="171"/>
        <v>147580.62</v>
      </c>
      <c r="X1197" s="38">
        <f t="shared" si="172"/>
        <v>818401.62</v>
      </c>
    </row>
    <row r="1198" spans="1:24" ht="15" customHeight="1" x14ac:dyDescent="0.35">
      <c r="A1198" s="56" t="s">
        <v>3448</v>
      </c>
      <c r="B1198" s="2">
        <v>1143</v>
      </c>
      <c r="C1198" s="77">
        <v>102001165</v>
      </c>
      <c r="D1198" s="74" t="s">
        <v>1446</v>
      </c>
      <c r="E1198" s="59" t="s">
        <v>2167</v>
      </c>
      <c r="F1198" s="75">
        <v>2</v>
      </c>
      <c r="G1198" s="64" t="s">
        <v>0</v>
      </c>
      <c r="H1198" s="78">
        <v>41891</v>
      </c>
      <c r="I1198" s="4" t="s">
        <v>957</v>
      </c>
      <c r="J1198" s="63" t="s">
        <v>1917</v>
      </c>
      <c r="K1198" s="63" t="s">
        <v>961</v>
      </c>
      <c r="L1198" s="69" t="s">
        <v>950</v>
      </c>
      <c r="M1198" s="70">
        <f t="shared" si="178"/>
        <v>315464.33</v>
      </c>
      <c r="N1198" s="70">
        <f t="shared" si="180"/>
        <v>157732.17000000001</v>
      </c>
      <c r="O1198" s="70">
        <v>315464.33</v>
      </c>
      <c r="P1198" s="65">
        <v>655420</v>
      </c>
      <c r="Q1198" s="65">
        <f t="shared" si="169"/>
        <v>144192.4</v>
      </c>
      <c r="R1198" s="65">
        <f t="shared" si="170"/>
        <v>799612.4</v>
      </c>
      <c r="S1198" s="272"/>
      <c r="T1198" s="64">
        <v>52</v>
      </c>
      <c r="U1198" s="274"/>
      <c r="V1198" s="38">
        <v>714745</v>
      </c>
      <c r="W1198" s="38">
        <f t="shared" si="171"/>
        <v>157243.9</v>
      </c>
      <c r="X1198" s="38">
        <f t="shared" si="172"/>
        <v>871988.9</v>
      </c>
    </row>
    <row r="1199" spans="1:24" ht="15" customHeight="1" x14ac:dyDescent="0.35">
      <c r="A1199" s="56" t="s">
        <v>3449</v>
      </c>
      <c r="B1199" s="2">
        <v>1144</v>
      </c>
      <c r="C1199" s="77">
        <v>102001058</v>
      </c>
      <c r="D1199" s="74" t="s">
        <v>1447</v>
      </c>
      <c r="E1199" s="59" t="s">
        <v>2167</v>
      </c>
      <c r="F1199" s="75">
        <v>2</v>
      </c>
      <c r="G1199" s="64" t="s">
        <v>0</v>
      </c>
      <c r="H1199" s="78">
        <v>41891</v>
      </c>
      <c r="I1199" s="4" t="s">
        <v>957</v>
      </c>
      <c r="J1199" s="63" t="s">
        <v>1917</v>
      </c>
      <c r="K1199" s="63" t="s">
        <v>961</v>
      </c>
      <c r="L1199" s="69" t="s">
        <v>950</v>
      </c>
      <c r="M1199" s="70">
        <f t="shared" si="178"/>
        <v>199954.92</v>
      </c>
      <c r="N1199" s="70">
        <f t="shared" si="180"/>
        <v>99977.46</v>
      </c>
      <c r="O1199" s="70">
        <v>199954.92</v>
      </c>
      <c r="P1199" s="65">
        <v>415430</v>
      </c>
      <c r="Q1199" s="65">
        <f t="shared" si="169"/>
        <v>91394.6</v>
      </c>
      <c r="R1199" s="65">
        <f t="shared" si="170"/>
        <v>506824.6</v>
      </c>
      <c r="S1199" s="272"/>
      <c r="T1199" s="64">
        <v>52</v>
      </c>
      <c r="U1199" s="274"/>
      <c r="V1199" s="38">
        <v>453036</v>
      </c>
      <c r="W1199" s="38">
        <f t="shared" si="171"/>
        <v>99667.92</v>
      </c>
      <c r="X1199" s="38">
        <f t="shared" si="172"/>
        <v>552703.92000000004</v>
      </c>
    </row>
    <row r="1200" spans="1:24" ht="19.5" customHeight="1" x14ac:dyDescent="0.35">
      <c r="A1200" s="56" t="s">
        <v>3450</v>
      </c>
      <c r="B1200" s="2">
        <v>1145</v>
      </c>
      <c r="C1200" s="77">
        <v>10135643</v>
      </c>
      <c r="D1200" s="74" t="s">
        <v>1872</v>
      </c>
      <c r="E1200" s="59" t="s">
        <v>2167</v>
      </c>
      <c r="F1200" s="75">
        <v>1</v>
      </c>
      <c r="G1200" s="64" t="s">
        <v>0</v>
      </c>
      <c r="H1200" s="78">
        <v>42004</v>
      </c>
      <c r="I1200" s="4" t="s">
        <v>957</v>
      </c>
      <c r="J1200" s="63" t="s">
        <v>1917</v>
      </c>
      <c r="K1200" s="63" t="s">
        <v>961</v>
      </c>
      <c r="L1200" s="69" t="s">
        <v>950</v>
      </c>
      <c r="M1200" s="70">
        <f t="shared" si="178"/>
        <v>30455.18</v>
      </c>
      <c r="N1200" s="70">
        <f t="shared" si="180"/>
        <v>30455.18</v>
      </c>
      <c r="O1200" s="70">
        <v>30455.18</v>
      </c>
      <c r="P1200" s="65">
        <v>58680</v>
      </c>
      <c r="Q1200" s="65">
        <f t="shared" si="169"/>
        <v>12909.6</v>
      </c>
      <c r="R1200" s="65">
        <f t="shared" si="170"/>
        <v>71589.600000000006</v>
      </c>
      <c r="S1200" s="272"/>
      <c r="T1200" s="64">
        <v>52</v>
      </c>
      <c r="U1200" s="274"/>
      <c r="V1200" s="38">
        <v>63990</v>
      </c>
      <c r="W1200" s="38">
        <f t="shared" si="171"/>
        <v>14077.8</v>
      </c>
      <c r="X1200" s="38">
        <f t="shared" si="172"/>
        <v>78067.8</v>
      </c>
    </row>
    <row r="1201" spans="1:24" ht="15" customHeight="1" x14ac:dyDescent="0.35">
      <c r="A1201" s="56" t="s">
        <v>3451</v>
      </c>
      <c r="B1201" s="2">
        <v>1146</v>
      </c>
      <c r="C1201" s="77">
        <v>102001000</v>
      </c>
      <c r="D1201" s="74" t="s">
        <v>1873</v>
      </c>
      <c r="E1201" s="59" t="s">
        <v>2167</v>
      </c>
      <c r="F1201" s="75">
        <v>1</v>
      </c>
      <c r="G1201" s="64" t="s">
        <v>0</v>
      </c>
      <c r="H1201" s="78">
        <v>42004</v>
      </c>
      <c r="I1201" s="4" t="s">
        <v>957</v>
      </c>
      <c r="J1201" s="63" t="s">
        <v>1917</v>
      </c>
      <c r="K1201" s="63" t="s">
        <v>961</v>
      </c>
      <c r="L1201" s="69" t="s">
        <v>950</v>
      </c>
      <c r="M1201" s="70">
        <f t="shared" si="178"/>
        <v>150315.39000000001</v>
      </c>
      <c r="N1201" s="70">
        <f t="shared" si="180"/>
        <v>150315.39000000001</v>
      </c>
      <c r="O1201" s="70">
        <v>150315.39000000001</v>
      </c>
      <c r="P1201" s="65">
        <v>289620</v>
      </c>
      <c r="Q1201" s="65">
        <f t="shared" si="169"/>
        <v>63716.4</v>
      </c>
      <c r="R1201" s="65">
        <f t="shared" si="170"/>
        <v>353336.4</v>
      </c>
      <c r="S1201" s="272"/>
      <c r="T1201" s="64">
        <v>52</v>
      </c>
      <c r="U1201" s="274"/>
      <c r="V1201" s="38">
        <v>315832</v>
      </c>
      <c r="W1201" s="38">
        <f t="shared" si="171"/>
        <v>69483.039999999994</v>
      </c>
      <c r="X1201" s="38">
        <f t="shared" si="172"/>
        <v>385315.04</v>
      </c>
    </row>
    <row r="1202" spans="1:24" ht="15" customHeight="1" x14ac:dyDescent="0.35">
      <c r="A1202" s="56" t="s">
        <v>3452</v>
      </c>
      <c r="B1202" s="2">
        <v>1147</v>
      </c>
      <c r="C1202" s="11">
        <v>102001179</v>
      </c>
      <c r="D1202" s="3" t="s">
        <v>1889</v>
      </c>
      <c r="E1202" s="59" t="s">
        <v>2167</v>
      </c>
      <c r="F1202" s="14">
        <v>1</v>
      </c>
      <c r="G1202" s="64" t="s">
        <v>0</v>
      </c>
      <c r="H1202" s="5">
        <v>41395</v>
      </c>
      <c r="I1202" s="4" t="s">
        <v>957</v>
      </c>
      <c r="J1202" s="63" t="s">
        <v>1917</v>
      </c>
      <c r="K1202" s="63" t="s">
        <v>961</v>
      </c>
      <c r="L1202" s="69" t="s">
        <v>950</v>
      </c>
      <c r="M1202" s="70">
        <f t="shared" si="178"/>
        <v>59517.77</v>
      </c>
      <c r="N1202" s="70">
        <f t="shared" si="180"/>
        <v>59517.77</v>
      </c>
      <c r="O1202" s="70">
        <v>59517.77</v>
      </c>
      <c r="P1202" s="65">
        <v>128510</v>
      </c>
      <c r="Q1202" s="65">
        <f t="shared" si="169"/>
        <v>28272.2</v>
      </c>
      <c r="R1202" s="65">
        <f t="shared" si="170"/>
        <v>156782.20000000001</v>
      </c>
      <c r="S1202" s="276"/>
      <c r="T1202" s="64">
        <v>52</v>
      </c>
      <c r="U1202" s="274"/>
      <c r="V1202" s="38">
        <v>140147</v>
      </c>
      <c r="W1202" s="38">
        <f t="shared" si="171"/>
        <v>30832.34</v>
      </c>
      <c r="X1202" s="38">
        <f t="shared" si="172"/>
        <v>170979.34</v>
      </c>
    </row>
    <row r="1203" spans="1:24" ht="15" customHeight="1" x14ac:dyDescent="0.35">
      <c r="A1203" s="56"/>
      <c r="B1203" s="15"/>
      <c r="C1203" s="11"/>
      <c r="D1203" s="3"/>
      <c r="E1203" s="59"/>
      <c r="F1203" s="14"/>
      <c r="G1203" s="64"/>
      <c r="H1203" s="5"/>
      <c r="I1203" s="4"/>
      <c r="J1203" s="63"/>
      <c r="K1203" s="63"/>
      <c r="L1203" s="69"/>
      <c r="M1203" s="70"/>
      <c r="N1203" s="70"/>
      <c r="O1203" s="71">
        <f>SUM(O1196:O1202)</f>
        <v>1253475.23</v>
      </c>
      <c r="P1203" s="71">
        <f t="shared" ref="P1203:R1203" si="181">SUM(P1196:P1202)</f>
        <v>2581840</v>
      </c>
      <c r="Q1203" s="71">
        <f t="shared" si="181"/>
        <v>568004.80000000005</v>
      </c>
      <c r="R1203" s="71">
        <f t="shared" si="181"/>
        <v>3149844.8</v>
      </c>
      <c r="S1203" s="72">
        <f>R1203/100*10</f>
        <v>314984.48</v>
      </c>
      <c r="T1203" s="73">
        <v>52</v>
      </c>
      <c r="U1203" s="275"/>
      <c r="V1203" s="38"/>
      <c r="W1203" s="38"/>
      <c r="X1203" s="38"/>
    </row>
    <row r="1204" spans="1:24" ht="15" customHeight="1" x14ac:dyDescent="0.35">
      <c r="A1204" s="56" t="s">
        <v>3453</v>
      </c>
      <c r="B1204" s="2">
        <v>1148</v>
      </c>
      <c r="C1204" s="77">
        <v>102001372</v>
      </c>
      <c r="D1204" s="74" t="s">
        <v>315</v>
      </c>
      <c r="E1204" s="74" t="s">
        <v>2147</v>
      </c>
      <c r="F1204" s="75">
        <v>1</v>
      </c>
      <c r="G1204" s="64" t="s">
        <v>0</v>
      </c>
      <c r="H1204" s="101" t="s">
        <v>2145</v>
      </c>
      <c r="I1204" s="61" t="s">
        <v>972</v>
      </c>
      <c r="J1204" s="61" t="s">
        <v>959</v>
      </c>
      <c r="K1204" s="61" t="s">
        <v>961</v>
      </c>
      <c r="L1204" s="61" t="s">
        <v>845</v>
      </c>
      <c r="M1204" s="65">
        <f t="shared" si="178"/>
        <v>11516960</v>
      </c>
      <c r="N1204" s="65">
        <f t="shared" ref="N1204:N1257" si="182">O1204/F1204</f>
        <v>11516960</v>
      </c>
      <c r="O1204" s="65">
        <v>11516960</v>
      </c>
      <c r="P1204" s="65">
        <v>16604560</v>
      </c>
      <c r="Q1204" s="65">
        <f t="shared" si="169"/>
        <v>3653003.2</v>
      </c>
      <c r="R1204" s="65">
        <f t="shared" si="170"/>
        <v>20257563.199999999</v>
      </c>
      <c r="S1204" s="267"/>
      <c r="T1204" s="64">
        <v>53</v>
      </c>
      <c r="U1204" s="273" t="s">
        <v>2274</v>
      </c>
      <c r="V1204" s="38">
        <v>19063794</v>
      </c>
      <c r="W1204" s="38">
        <f t="shared" si="171"/>
        <v>4194034.68</v>
      </c>
      <c r="X1204" s="38">
        <f t="shared" si="172"/>
        <v>23257828.68</v>
      </c>
    </row>
    <row r="1205" spans="1:24" ht="15" customHeight="1" x14ac:dyDescent="0.35">
      <c r="A1205" s="56" t="s">
        <v>3454</v>
      </c>
      <c r="B1205" s="2">
        <v>1149</v>
      </c>
      <c r="C1205" s="77">
        <v>102001053</v>
      </c>
      <c r="D1205" s="74" t="s">
        <v>222</v>
      </c>
      <c r="E1205" s="74" t="s">
        <v>2154</v>
      </c>
      <c r="F1205" s="75">
        <v>1</v>
      </c>
      <c r="G1205" s="64" t="s">
        <v>0</v>
      </c>
      <c r="H1205" s="61">
        <v>42563</v>
      </c>
      <c r="I1205" s="61" t="s">
        <v>2094</v>
      </c>
      <c r="J1205" s="63" t="s">
        <v>1917</v>
      </c>
      <c r="K1205" s="61" t="s">
        <v>961</v>
      </c>
      <c r="L1205" s="61" t="s">
        <v>845</v>
      </c>
      <c r="M1205" s="65">
        <f t="shared" si="178"/>
        <v>89468.13</v>
      </c>
      <c r="N1205" s="65">
        <f t="shared" si="182"/>
        <v>89468.13</v>
      </c>
      <c r="O1205" s="65">
        <v>89468.13</v>
      </c>
      <c r="P1205" s="65">
        <v>82800</v>
      </c>
      <c r="Q1205" s="65">
        <f t="shared" si="169"/>
        <v>18216</v>
      </c>
      <c r="R1205" s="65">
        <f t="shared" si="170"/>
        <v>101016</v>
      </c>
      <c r="S1205" s="272"/>
      <c r="T1205" s="64">
        <v>53</v>
      </c>
      <c r="U1205" s="274"/>
      <c r="V1205" s="38">
        <v>95069</v>
      </c>
      <c r="W1205" s="38">
        <f t="shared" si="171"/>
        <v>20915.18</v>
      </c>
      <c r="X1205" s="38">
        <f t="shared" si="172"/>
        <v>115984.18</v>
      </c>
    </row>
    <row r="1206" spans="1:24" ht="15" customHeight="1" x14ac:dyDescent="0.35">
      <c r="A1206" s="56" t="s">
        <v>3455</v>
      </c>
      <c r="B1206" s="2">
        <v>1150</v>
      </c>
      <c r="C1206" s="77">
        <v>102000860</v>
      </c>
      <c r="D1206" s="74" t="s">
        <v>301</v>
      </c>
      <c r="E1206" s="74" t="s">
        <v>2147</v>
      </c>
      <c r="F1206" s="75">
        <v>1</v>
      </c>
      <c r="G1206" s="64" t="s">
        <v>0</v>
      </c>
      <c r="H1206" s="101" t="s">
        <v>2145</v>
      </c>
      <c r="I1206" s="101" t="s">
        <v>972</v>
      </c>
      <c r="J1206" s="61" t="s">
        <v>959</v>
      </c>
      <c r="K1206" s="61" t="s">
        <v>961</v>
      </c>
      <c r="L1206" s="61" t="s">
        <v>845</v>
      </c>
      <c r="M1206" s="65">
        <f t="shared" si="178"/>
        <v>577808</v>
      </c>
      <c r="N1206" s="65">
        <f t="shared" si="182"/>
        <v>577808</v>
      </c>
      <c r="O1206" s="65">
        <v>577808</v>
      </c>
      <c r="P1206" s="65">
        <v>833050</v>
      </c>
      <c r="Q1206" s="65">
        <f t="shared" si="169"/>
        <v>183271</v>
      </c>
      <c r="R1206" s="65">
        <f t="shared" si="170"/>
        <v>1016321</v>
      </c>
      <c r="S1206" s="272"/>
      <c r="T1206" s="64">
        <v>53</v>
      </c>
      <c r="U1206" s="274"/>
      <c r="V1206" s="38">
        <v>956434</v>
      </c>
      <c r="W1206" s="38">
        <f t="shared" si="171"/>
        <v>210415.48</v>
      </c>
      <c r="X1206" s="38">
        <f t="shared" si="172"/>
        <v>1166849.48</v>
      </c>
    </row>
    <row r="1207" spans="1:24" ht="15" customHeight="1" x14ac:dyDescent="0.35">
      <c r="A1207" s="56" t="s">
        <v>3456</v>
      </c>
      <c r="B1207" s="2">
        <v>1151</v>
      </c>
      <c r="C1207" s="77">
        <v>102000906</v>
      </c>
      <c r="D1207" s="74" t="s">
        <v>303</v>
      </c>
      <c r="E1207" s="74" t="s">
        <v>2147</v>
      </c>
      <c r="F1207" s="75">
        <v>1</v>
      </c>
      <c r="G1207" s="64" t="s">
        <v>0</v>
      </c>
      <c r="H1207" s="101" t="s">
        <v>2145</v>
      </c>
      <c r="I1207" s="101" t="s">
        <v>972</v>
      </c>
      <c r="J1207" s="61" t="s">
        <v>2149</v>
      </c>
      <c r="K1207" s="61" t="s">
        <v>961</v>
      </c>
      <c r="L1207" s="61" t="s">
        <v>845</v>
      </c>
      <c r="M1207" s="65">
        <f t="shared" si="178"/>
        <v>642507.63</v>
      </c>
      <c r="N1207" s="65">
        <f t="shared" si="182"/>
        <v>642507.63</v>
      </c>
      <c r="O1207" s="65">
        <v>642507.63</v>
      </c>
      <c r="P1207" s="65">
        <v>926330</v>
      </c>
      <c r="Q1207" s="65">
        <f t="shared" si="169"/>
        <v>203792.6</v>
      </c>
      <c r="R1207" s="65">
        <f t="shared" si="170"/>
        <v>1130122.6000000001</v>
      </c>
      <c r="S1207" s="272"/>
      <c r="T1207" s="64">
        <v>53</v>
      </c>
      <c r="U1207" s="274"/>
      <c r="V1207" s="38">
        <v>1063530</v>
      </c>
      <c r="W1207" s="38">
        <f t="shared" si="171"/>
        <v>233976.6</v>
      </c>
      <c r="X1207" s="38">
        <f t="shared" si="172"/>
        <v>1297506.6000000001</v>
      </c>
    </row>
    <row r="1208" spans="1:24" ht="15" customHeight="1" x14ac:dyDescent="0.35">
      <c r="A1208" s="56" t="s">
        <v>3457</v>
      </c>
      <c r="B1208" s="2">
        <v>1152</v>
      </c>
      <c r="C1208" s="77">
        <v>102000948</v>
      </c>
      <c r="D1208" s="74" t="s">
        <v>304</v>
      </c>
      <c r="E1208" s="74" t="s">
        <v>2147</v>
      </c>
      <c r="F1208" s="75">
        <v>1</v>
      </c>
      <c r="G1208" s="64" t="s">
        <v>0</v>
      </c>
      <c r="H1208" s="101" t="s">
        <v>2145</v>
      </c>
      <c r="I1208" s="101" t="s">
        <v>972</v>
      </c>
      <c r="J1208" s="61" t="s">
        <v>959</v>
      </c>
      <c r="K1208" s="61" t="s">
        <v>961</v>
      </c>
      <c r="L1208" s="61" t="s">
        <v>845</v>
      </c>
      <c r="M1208" s="65">
        <f t="shared" si="178"/>
        <v>111864.41</v>
      </c>
      <c r="N1208" s="65">
        <f t="shared" si="182"/>
        <v>111864.41</v>
      </c>
      <c r="O1208" s="65">
        <v>111864.41</v>
      </c>
      <c r="P1208" s="65">
        <v>161280</v>
      </c>
      <c r="Q1208" s="65">
        <f t="shared" ref="Q1208:Q1265" si="183">P1208*0.22</f>
        <v>35481.599999999999</v>
      </c>
      <c r="R1208" s="65">
        <f t="shared" ref="R1208:R1265" si="184">P1208+Q1208</f>
        <v>196761.60000000001</v>
      </c>
      <c r="S1208" s="272"/>
      <c r="T1208" s="64">
        <v>53</v>
      </c>
      <c r="U1208" s="274"/>
      <c r="V1208" s="38">
        <v>185167</v>
      </c>
      <c r="W1208" s="38">
        <f t="shared" ref="W1208:W1265" si="185">V1208*0.22</f>
        <v>40736.74</v>
      </c>
      <c r="X1208" s="38">
        <f t="shared" si="172"/>
        <v>225903.74</v>
      </c>
    </row>
    <row r="1209" spans="1:24" ht="15" customHeight="1" x14ac:dyDescent="0.35">
      <c r="A1209" s="56" t="s">
        <v>3458</v>
      </c>
      <c r="B1209" s="2">
        <v>1153</v>
      </c>
      <c r="C1209" s="77">
        <v>102000998</v>
      </c>
      <c r="D1209" s="74" t="s">
        <v>306</v>
      </c>
      <c r="E1209" s="74" t="s">
        <v>2147</v>
      </c>
      <c r="F1209" s="75">
        <v>1</v>
      </c>
      <c r="G1209" s="64" t="s">
        <v>0</v>
      </c>
      <c r="H1209" s="101" t="s">
        <v>2145</v>
      </c>
      <c r="I1209" s="101" t="s">
        <v>972</v>
      </c>
      <c r="J1209" s="61" t="s">
        <v>959</v>
      </c>
      <c r="K1209" s="61" t="s">
        <v>961</v>
      </c>
      <c r="L1209" s="61" t="s">
        <v>845</v>
      </c>
      <c r="M1209" s="65">
        <f t="shared" si="178"/>
        <v>8050.85</v>
      </c>
      <c r="N1209" s="65">
        <f t="shared" si="182"/>
        <v>8050.85</v>
      </c>
      <c r="O1209" s="65">
        <v>8050.85</v>
      </c>
      <c r="P1209" s="65">
        <v>11610</v>
      </c>
      <c r="Q1209" s="65">
        <f t="shared" si="183"/>
        <v>2554.1999999999998</v>
      </c>
      <c r="R1209" s="65">
        <f t="shared" si="184"/>
        <v>14164.2</v>
      </c>
      <c r="S1209" s="272"/>
      <c r="T1209" s="64">
        <v>53</v>
      </c>
      <c r="U1209" s="274"/>
      <c r="V1209" s="38">
        <v>13326</v>
      </c>
      <c r="W1209" s="38">
        <f t="shared" si="185"/>
        <v>2931.72</v>
      </c>
      <c r="X1209" s="38">
        <f t="shared" si="172"/>
        <v>16257.72</v>
      </c>
    </row>
    <row r="1210" spans="1:24" ht="15" customHeight="1" x14ac:dyDescent="0.35">
      <c r="A1210" s="56" t="s">
        <v>3459</v>
      </c>
      <c r="B1210" s="2">
        <v>1154</v>
      </c>
      <c r="C1210" s="77">
        <v>102001129</v>
      </c>
      <c r="D1210" s="74" t="s">
        <v>309</v>
      </c>
      <c r="E1210" s="74" t="s">
        <v>2147</v>
      </c>
      <c r="F1210" s="75">
        <v>1</v>
      </c>
      <c r="G1210" s="64" t="s">
        <v>0</v>
      </c>
      <c r="H1210" s="101" t="s">
        <v>2145</v>
      </c>
      <c r="I1210" s="101" t="s">
        <v>972</v>
      </c>
      <c r="J1210" s="61" t="s">
        <v>959</v>
      </c>
      <c r="K1210" s="61" t="s">
        <v>961</v>
      </c>
      <c r="L1210" s="61" t="s">
        <v>845</v>
      </c>
      <c r="M1210" s="65">
        <f t="shared" si="178"/>
        <v>3127.12</v>
      </c>
      <c r="N1210" s="65">
        <f t="shared" si="182"/>
        <v>3127.12</v>
      </c>
      <c r="O1210" s="65">
        <v>3127.12</v>
      </c>
      <c r="P1210" s="65">
        <v>4510</v>
      </c>
      <c r="Q1210" s="65">
        <f t="shared" si="183"/>
        <v>992.2</v>
      </c>
      <c r="R1210" s="65">
        <f t="shared" si="184"/>
        <v>5502.2</v>
      </c>
      <c r="S1210" s="272"/>
      <c r="T1210" s="64">
        <v>53</v>
      </c>
      <c r="U1210" s="274"/>
      <c r="V1210" s="38">
        <v>5176</v>
      </c>
      <c r="W1210" s="38">
        <f t="shared" si="185"/>
        <v>1138.72</v>
      </c>
      <c r="X1210" s="38">
        <f t="shared" ref="X1210:X1267" si="186">V1210+W1210</f>
        <v>6314.72</v>
      </c>
    </row>
    <row r="1211" spans="1:24" ht="15" customHeight="1" x14ac:dyDescent="0.35">
      <c r="A1211" s="56" t="s">
        <v>3460</v>
      </c>
      <c r="B1211" s="2">
        <v>1155</v>
      </c>
      <c r="C1211" s="77">
        <v>102001312</v>
      </c>
      <c r="D1211" s="74" t="s">
        <v>314</v>
      </c>
      <c r="E1211" s="74" t="s">
        <v>2147</v>
      </c>
      <c r="F1211" s="75">
        <v>1</v>
      </c>
      <c r="G1211" s="64" t="s">
        <v>0</v>
      </c>
      <c r="H1211" s="101" t="s">
        <v>2145</v>
      </c>
      <c r="I1211" s="101" t="s">
        <v>972</v>
      </c>
      <c r="J1211" s="61" t="s">
        <v>959</v>
      </c>
      <c r="K1211" s="61" t="s">
        <v>961</v>
      </c>
      <c r="L1211" s="61" t="s">
        <v>845</v>
      </c>
      <c r="M1211" s="65">
        <f t="shared" si="178"/>
        <v>69405</v>
      </c>
      <c r="N1211" s="65">
        <f t="shared" si="182"/>
        <v>69405</v>
      </c>
      <c r="O1211" s="65">
        <v>69405</v>
      </c>
      <c r="P1211" s="65">
        <v>100060</v>
      </c>
      <c r="Q1211" s="65">
        <f t="shared" si="183"/>
        <v>22013.200000000001</v>
      </c>
      <c r="R1211" s="65">
        <f t="shared" si="184"/>
        <v>122073.2</v>
      </c>
      <c r="S1211" s="272"/>
      <c r="T1211" s="64">
        <v>53</v>
      </c>
      <c r="U1211" s="274"/>
      <c r="V1211" s="38">
        <v>114885</v>
      </c>
      <c r="W1211" s="38">
        <f t="shared" si="185"/>
        <v>25274.7</v>
      </c>
      <c r="X1211" s="38">
        <f t="shared" si="186"/>
        <v>140159.70000000001</v>
      </c>
    </row>
    <row r="1212" spans="1:24" ht="15" customHeight="1" x14ac:dyDescent="0.35">
      <c r="A1212" s="56" t="s">
        <v>3461</v>
      </c>
      <c r="B1212" s="2">
        <v>1156</v>
      </c>
      <c r="C1212" s="77">
        <v>102001385</v>
      </c>
      <c r="D1212" s="74" t="s">
        <v>316</v>
      </c>
      <c r="E1212" s="74" t="s">
        <v>2147</v>
      </c>
      <c r="F1212" s="75">
        <v>1</v>
      </c>
      <c r="G1212" s="64" t="s">
        <v>0</v>
      </c>
      <c r="H1212" s="101" t="s">
        <v>2145</v>
      </c>
      <c r="I1212" s="101" t="s">
        <v>972</v>
      </c>
      <c r="J1212" s="61" t="s">
        <v>959</v>
      </c>
      <c r="K1212" s="61" t="s">
        <v>961</v>
      </c>
      <c r="L1212" s="61" t="s">
        <v>845</v>
      </c>
      <c r="M1212" s="65">
        <f t="shared" si="178"/>
        <v>31322.03</v>
      </c>
      <c r="N1212" s="65">
        <f t="shared" si="182"/>
        <v>31322.03</v>
      </c>
      <c r="O1212" s="65">
        <v>31322.03</v>
      </c>
      <c r="P1212" s="65">
        <v>45160</v>
      </c>
      <c r="Q1212" s="65">
        <f t="shared" si="183"/>
        <v>9935.2000000000007</v>
      </c>
      <c r="R1212" s="65">
        <f t="shared" si="184"/>
        <v>55095.199999999997</v>
      </c>
      <c r="S1212" s="272"/>
      <c r="T1212" s="64">
        <v>53</v>
      </c>
      <c r="U1212" s="274"/>
      <c r="V1212" s="38">
        <v>51847</v>
      </c>
      <c r="W1212" s="38">
        <f t="shared" si="185"/>
        <v>11406.34</v>
      </c>
      <c r="X1212" s="38">
        <f t="shared" si="186"/>
        <v>63253.34</v>
      </c>
    </row>
    <row r="1213" spans="1:24" ht="15" customHeight="1" x14ac:dyDescent="0.35">
      <c r="A1213" s="56" t="s">
        <v>3462</v>
      </c>
      <c r="B1213" s="2">
        <v>1157</v>
      </c>
      <c r="C1213" s="77">
        <v>102000840</v>
      </c>
      <c r="D1213" s="74" t="s">
        <v>340</v>
      </c>
      <c r="E1213" s="74" t="s">
        <v>2151</v>
      </c>
      <c r="F1213" s="75">
        <v>2</v>
      </c>
      <c r="G1213" s="64" t="s">
        <v>0</v>
      </c>
      <c r="H1213" s="61">
        <v>42824</v>
      </c>
      <c r="I1213" s="101" t="s">
        <v>972</v>
      </c>
      <c r="J1213" s="63" t="s">
        <v>1917</v>
      </c>
      <c r="K1213" s="61" t="s">
        <v>961</v>
      </c>
      <c r="L1213" s="61" t="s">
        <v>845</v>
      </c>
      <c r="M1213" s="65">
        <f t="shared" si="178"/>
        <v>30808.62</v>
      </c>
      <c r="N1213" s="65">
        <f t="shared" si="182"/>
        <v>15404.31</v>
      </c>
      <c r="O1213" s="65">
        <v>30808.62</v>
      </c>
      <c r="P1213" s="65">
        <v>29660</v>
      </c>
      <c r="Q1213" s="65">
        <f t="shared" si="183"/>
        <v>6525.2</v>
      </c>
      <c r="R1213" s="65">
        <f t="shared" si="184"/>
        <v>36185.199999999997</v>
      </c>
      <c r="S1213" s="272"/>
      <c r="T1213" s="64">
        <v>53</v>
      </c>
      <c r="U1213" s="274"/>
      <c r="V1213" s="38">
        <v>34052</v>
      </c>
      <c r="W1213" s="38">
        <f t="shared" si="185"/>
        <v>7491.44</v>
      </c>
      <c r="X1213" s="38">
        <f t="shared" si="186"/>
        <v>41543.440000000002</v>
      </c>
    </row>
    <row r="1214" spans="1:24" ht="15" customHeight="1" x14ac:dyDescent="0.35">
      <c r="A1214" s="56" t="s">
        <v>3463</v>
      </c>
      <c r="B1214" s="2">
        <v>1158</v>
      </c>
      <c r="C1214" s="89">
        <v>10057116</v>
      </c>
      <c r="D1214" s="90" t="s">
        <v>595</v>
      </c>
      <c r="E1214" s="74" t="s">
        <v>2184</v>
      </c>
      <c r="F1214" s="91">
        <v>2</v>
      </c>
      <c r="G1214" s="64" t="s">
        <v>0</v>
      </c>
      <c r="H1214" s="61">
        <v>42004</v>
      </c>
      <c r="I1214" s="107" t="s">
        <v>976</v>
      </c>
      <c r="J1214" s="63" t="s">
        <v>1917</v>
      </c>
      <c r="K1214" s="108" t="s">
        <v>748</v>
      </c>
      <c r="L1214" s="64" t="s">
        <v>845</v>
      </c>
      <c r="M1214" s="65">
        <f t="shared" si="178"/>
        <v>1510.6</v>
      </c>
      <c r="N1214" s="65">
        <f t="shared" si="182"/>
        <v>755.3</v>
      </c>
      <c r="O1214" s="65">
        <v>1510.6</v>
      </c>
      <c r="P1214" s="65">
        <v>1630</v>
      </c>
      <c r="Q1214" s="65">
        <f t="shared" si="183"/>
        <v>358.6</v>
      </c>
      <c r="R1214" s="65">
        <f t="shared" si="184"/>
        <v>1988.6</v>
      </c>
      <c r="S1214" s="272"/>
      <c r="T1214" s="64">
        <v>53</v>
      </c>
      <c r="U1214" s="274"/>
      <c r="V1214" s="38">
        <v>1867</v>
      </c>
      <c r="W1214" s="38">
        <f t="shared" si="185"/>
        <v>410.74</v>
      </c>
      <c r="X1214" s="38">
        <f t="shared" si="186"/>
        <v>2277.7399999999998</v>
      </c>
    </row>
    <row r="1215" spans="1:24" ht="19.5" customHeight="1" x14ac:dyDescent="0.35">
      <c r="A1215" s="56" t="s">
        <v>3464</v>
      </c>
      <c r="B1215" s="2">
        <v>1159</v>
      </c>
      <c r="C1215" s="89">
        <v>102001198</v>
      </c>
      <c r="D1215" s="106" t="s">
        <v>633</v>
      </c>
      <c r="E1215" s="74" t="s">
        <v>2184</v>
      </c>
      <c r="F1215" s="75">
        <v>1</v>
      </c>
      <c r="G1215" s="64" t="s">
        <v>0</v>
      </c>
      <c r="H1215" s="61">
        <v>42004</v>
      </c>
      <c r="I1215" s="107" t="s">
        <v>976</v>
      </c>
      <c r="J1215" s="63" t="s">
        <v>1917</v>
      </c>
      <c r="K1215" s="108" t="s">
        <v>767</v>
      </c>
      <c r="L1215" s="64" t="s">
        <v>845</v>
      </c>
      <c r="M1215" s="65">
        <f t="shared" si="178"/>
        <v>127044.24</v>
      </c>
      <c r="N1215" s="65">
        <f t="shared" si="182"/>
        <v>127044.24</v>
      </c>
      <c r="O1215" s="65">
        <v>127044.24</v>
      </c>
      <c r="P1215" s="65">
        <v>136770</v>
      </c>
      <c r="Q1215" s="65">
        <f t="shared" si="183"/>
        <v>30089.4</v>
      </c>
      <c r="R1215" s="65">
        <f t="shared" si="184"/>
        <v>166859.4</v>
      </c>
      <c r="S1215" s="272"/>
      <c r="T1215" s="64">
        <v>53</v>
      </c>
      <c r="U1215" s="274"/>
      <c r="V1215" s="38">
        <v>157022</v>
      </c>
      <c r="W1215" s="38">
        <f t="shared" si="185"/>
        <v>34544.839999999997</v>
      </c>
      <c r="X1215" s="38">
        <f t="shared" si="186"/>
        <v>191566.84</v>
      </c>
    </row>
    <row r="1216" spans="1:24" ht="15" customHeight="1" x14ac:dyDescent="0.35">
      <c r="A1216" s="56" t="s">
        <v>3465</v>
      </c>
      <c r="B1216" s="2">
        <v>1160</v>
      </c>
      <c r="C1216" s="89">
        <v>102000971</v>
      </c>
      <c r="D1216" s="106" t="s">
        <v>634</v>
      </c>
      <c r="E1216" s="74" t="s">
        <v>2184</v>
      </c>
      <c r="F1216" s="91">
        <f>2-1</f>
        <v>1</v>
      </c>
      <c r="G1216" s="64" t="s">
        <v>0</v>
      </c>
      <c r="H1216" s="61">
        <v>42004</v>
      </c>
      <c r="I1216" s="107" t="s">
        <v>976</v>
      </c>
      <c r="J1216" s="63" t="s">
        <v>1917</v>
      </c>
      <c r="K1216" s="108" t="s">
        <v>768</v>
      </c>
      <c r="L1216" s="64" t="s">
        <v>845</v>
      </c>
      <c r="M1216" s="65">
        <f t="shared" si="178"/>
        <v>35622.15</v>
      </c>
      <c r="N1216" s="65">
        <f t="shared" si="182"/>
        <v>35622.15</v>
      </c>
      <c r="O1216" s="65">
        <f>71244.29/2*1</f>
        <v>35622.15</v>
      </c>
      <c r="P1216" s="65">
        <v>38350</v>
      </c>
      <c r="Q1216" s="65">
        <f t="shared" si="183"/>
        <v>8437</v>
      </c>
      <c r="R1216" s="65">
        <f t="shared" si="184"/>
        <v>46787</v>
      </c>
      <c r="S1216" s="272"/>
      <c r="T1216" s="64">
        <v>53</v>
      </c>
      <c r="U1216" s="274"/>
      <c r="V1216" s="38">
        <v>44028</v>
      </c>
      <c r="W1216" s="38">
        <f t="shared" si="185"/>
        <v>9686.16</v>
      </c>
      <c r="X1216" s="38">
        <f t="shared" si="186"/>
        <v>53714.16</v>
      </c>
    </row>
    <row r="1217" spans="1:24" ht="15" customHeight="1" x14ac:dyDescent="0.35">
      <c r="A1217" s="56" t="s">
        <v>3466</v>
      </c>
      <c r="B1217" s="2">
        <v>1161</v>
      </c>
      <c r="C1217" s="89">
        <v>102000730</v>
      </c>
      <c r="D1217" s="106" t="s">
        <v>635</v>
      </c>
      <c r="E1217" s="74" t="s">
        <v>2184</v>
      </c>
      <c r="F1217" s="75">
        <v>1</v>
      </c>
      <c r="G1217" s="64" t="s">
        <v>0</v>
      </c>
      <c r="H1217" s="61">
        <v>42004</v>
      </c>
      <c r="I1217" s="107" t="s">
        <v>976</v>
      </c>
      <c r="J1217" s="63" t="s">
        <v>1917</v>
      </c>
      <c r="K1217" s="108" t="s">
        <v>769</v>
      </c>
      <c r="L1217" s="64" t="s">
        <v>845</v>
      </c>
      <c r="M1217" s="65">
        <f t="shared" si="178"/>
        <v>72869.070000000007</v>
      </c>
      <c r="N1217" s="65">
        <f t="shared" si="182"/>
        <v>72869.070000000007</v>
      </c>
      <c r="O1217" s="65">
        <v>72869.070000000007</v>
      </c>
      <c r="P1217" s="65">
        <v>78450</v>
      </c>
      <c r="Q1217" s="65">
        <f t="shared" si="183"/>
        <v>17259</v>
      </c>
      <c r="R1217" s="65">
        <f t="shared" si="184"/>
        <v>95709</v>
      </c>
      <c r="S1217" s="272"/>
      <c r="T1217" s="64">
        <v>53</v>
      </c>
      <c r="U1217" s="274"/>
      <c r="V1217" s="38">
        <v>90063</v>
      </c>
      <c r="W1217" s="38">
        <f t="shared" si="185"/>
        <v>19813.86</v>
      </c>
      <c r="X1217" s="38">
        <f t="shared" si="186"/>
        <v>109876.86</v>
      </c>
    </row>
    <row r="1218" spans="1:24" ht="15" customHeight="1" x14ac:dyDescent="0.35">
      <c r="A1218" s="56" t="s">
        <v>3467</v>
      </c>
      <c r="B1218" s="2">
        <v>1162</v>
      </c>
      <c r="C1218" s="89">
        <v>102001243</v>
      </c>
      <c r="D1218" s="106" t="s">
        <v>636</v>
      </c>
      <c r="E1218" s="74" t="s">
        <v>2184</v>
      </c>
      <c r="F1218" s="75">
        <v>1</v>
      </c>
      <c r="G1218" s="64" t="s">
        <v>0</v>
      </c>
      <c r="H1218" s="61">
        <v>42004</v>
      </c>
      <c r="I1218" s="107" t="s">
        <v>976</v>
      </c>
      <c r="J1218" s="63" t="s">
        <v>1917</v>
      </c>
      <c r="K1218" s="108" t="s">
        <v>770</v>
      </c>
      <c r="L1218" s="64" t="s">
        <v>845</v>
      </c>
      <c r="M1218" s="65">
        <f t="shared" si="178"/>
        <v>102234.75</v>
      </c>
      <c r="N1218" s="65">
        <f t="shared" si="182"/>
        <v>102234.75</v>
      </c>
      <c r="O1218" s="65">
        <v>102234.75</v>
      </c>
      <c r="P1218" s="65">
        <v>110060</v>
      </c>
      <c r="Q1218" s="65">
        <f t="shared" si="183"/>
        <v>24213.200000000001</v>
      </c>
      <c r="R1218" s="65">
        <f t="shared" si="184"/>
        <v>134273.20000000001</v>
      </c>
      <c r="S1218" s="272"/>
      <c r="T1218" s="64">
        <v>53</v>
      </c>
      <c r="U1218" s="274"/>
      <c r="V1218" s="38">
        <v>126358</v>
      </c>
      <c r="W1218" s="38">
        <f t="shared" si="185"/>
        <v>27798.76</v>
      </c>
      <c r="X1218" s="38">
        <f t="shared" si="186"/>
        <v>154156.76</v>
      </c>
    </row>
    <row r="1219" spans="1:24" ht="15" customHeight="1" x14ac:dyDescent="0.35">
      <c r="A1219" s="56" t="s">
        <v>3468</v>
      </c>
      <c r="B1219" s="2">
        <v>1163</v>
      </c>
      <c r="C1219" s="109">
        <v>102000809</v>
      </c>
      <c r="D1219" s="110" t="s">
        <v>925</v>
      </c>
      <c r="E1219" s="74" t="s">
        <v>2147</v>
      </c>
      <c r="F1219" s="91">
        <v>1</v>
      </c>
      <c r="G1219" s="64" t="s">
        <v>0</v>
      </c>
      <c r="H1219" s="111" t="s">
        <v>2145</v>
      </c>
      <c r="I1219" s="63" t="s">
        <v>972</v>
      </c>
      <c r="J1219" s="112" t="s">
        <v>960</v>
      </c>
      <c r="K1219" s="63" t="s">
        <v>961</v>
      </c>
      <c r="L1219" s="61" t="s">
        <v>845</v>
      </c>
      <c r="M1219" s="65">
        <f t="shared" si="178"/>
        <v>2230083.6800000002</v>
      </c>
      <c r="N1219" s="65">
        <f t="shared" si="182"/>
        <v>2230083.6800000002</v>
      </c>
      <c r="O1219" s="65">
        <v>2230083.6800000002</v>
      </c>
      <c r="P1219" s="65">
        <v>3215220</v>
      </c>
      <c r="Q1219" s="65">
        <f t="shared" si="183"/>
        <v>707348.4</v>
      </c>
      <c r="R1219" s="65">
        <f t="shared" si="184"/>
        <v>3922568.4</v>
      </c>
      <c r="S1219" s="272"/>
      <c r="T1219" s="64">
        <v>53</v>
      </c>
      <c r="U1219" s="274"/>
      <c r="V1219" s="38">
        <v>3691413</v>
      </c>
      <c r="W1219" s="38">
        <f t="shared" si="185"/>
        <v>812110.86</v>
      </c>
      <c r="X1219" s="38">
        <f t="shared" si="186"/>
        <v>4503523.8600000003</v>
      </c>
    </row>
    <row r="1220" spans="1:24" ht="15" customHeight="1" x14ac:dyDescent="0.35">
      <c r="A1220" s="56" t="s">
        <v>3469</v>
      </c>
      <c r="B1220" s="2">
        <v>1164</v>
      </c>
      <c r="C1220" s="109">
        <v>102001465</v>
      </c>
      <c r="D1220" s="110" t="s">
        <v>926</v>
      </c>
      <c r="E1220" s="74" t="s">
        <v>2147</v>
      </c>
      <c r="F1220" s="91">
        <v>1</v>
      </c>
      <c r="G1220" s="64" t="s">
        <v>0</v>
      </c>
      <c r="H1220" s="111" t="s">
        <v>2145</v>
      </c>
      <c r="I1220" s="63" t="s">
        <v>972</v>
      </c>
      <c r="J1220" s="112" t="s">
        <v>959</v>
      </c>
      <c r="K1220" s="63" t="s">
        <v>961</v>
      </c>
      <c r="L1220" s="61" t="s">
        <v>845</v>
      </c>
      <c r="M1220" s="65">
        <f t="shared" si="178"/>
        <v>997350</v>
      </c>
      <c r="N1220" s="65">
        <f t="shared" si="182"/>
        <v>997350</v>
      </c>
      <c r="O1220" s="65">
        <v>997350</v>
      </c>
      <c r="P1220" s="65">
        <v>1437930</v>
      </c>
      <c r="Q1220" s="65">
        <f t="shared" si="183"/>
        <v>316344.59999999998</v>
      </c>
      <c r="R1220" s="65">
        <f t="shared" si="184"/>
        <v>1754274.6</v>
      </c>
      <c r="S1220" s="272"/>
      <c r="T1220" s="64">
        <v>53</v>
      </c>
      <c r="U1220" s="274"/>
      <c r="V1220" s="38">
        <v>1650894</v>
      </c>
      <c r="W1220" s="38">
        <f t="shared" si="185"/>
        <v>363196.68</v>
      </c>
      <c r="X1220" s="38">
        <f t="shared" si="186"/>
        <v>2014090.68</v>
      </c>
    </row>
    <row r="1221" spans="1:24" ht="15" customHeight="1" x14ac:dyDescent="0.35">
      <c r="A1221" s="56" t="s">
        <v>3470</v>
      </c>
      <c r="B1221" s="2">
        <v>1165</v>
      </c>
      <c r="C1221" s="109">
        <v>102001127</v>
      </c>
      <c r="D1221" s="110" t="s">
        <v>927</v>
      </c>
      <c r="E1221" s="74" t="s">
        <v>2147</v>
      </c>
      <c r="F1221" s="91">
        <v>1</v>
      </c>
      <c r="G1221" s="64" t="s">
        <v>0</v>
      </c>
      <c r="H1221" s="111" t="s">
        <v>2145</v>
      </c>
      <c r="I1221" s="63" t="s">
        <v>972</v>
      </c>
      <c r="J1221" s="112" t="s">
        <v>959</v>
      </c>
      <c r="K1221" s="63" t="s">
        <v>961</v>
      </c>
      <c r="L1221" s="61" t="s">
        <v>845</v>
      </c>
      <c r="M1221" s="65">
        <f t="shared" si="178"/>
        <v>1739951.94</v>
      </c>
      <c r="N1221" s="65">
        <f t="shared" si="182"/>
        <v>1739951.94</v>
      </c>
      <c r="O1221" s="65">
        <v>1739951.94</v>
      </c>
      <c r="P1221" s="65">
        <v>2508570</v>
      </c>
      <c r="Q1221" s="65">
        <f t="shared" si="183"/>
        <v>551885.4</v>
      </c>
      <c r="R1221" s="65">
        <f t="shared" si="184"/>
        <v>3060455.4</v>
      </c>
      <c r="S1221" s="272"/>
      <c r="T1221" s="64">
        <v>53</v>
      </c>
      <c r="U1221" s="274"/>
      <c r="V1221" s="38">
        <v>2880108</v>
      </c>
      <c r="W1221" s="38">
        <f t="shared" si="185"/>
        <v>633623.76</v>
      </c>
      <c r="X1221" s="38">
        <f t="shared" si="186"/>
        <v>3513731.76</v>
      </c>
    </row>
    <row r="1222" spans="1:24" ht="15" customHeight="1" x14ac:dyDescent="0.35">
      <c r="A1222" s="56" t="s">
        <v>3471</v>
      </c>
      <c r="B1222" s="2">
        <v>1166</v>
      </c>
      <c r="C1222" s="109">
        <v>102001077</v>
      </c>
      <c r="D1222" s="110" t="s">
        <v>928</v>
      </c>
      <c r="E1222" s="74" t="s">
        <v>2147</v>
      </c>
      <c r="F1222" s="91">
        <v>1</v>
      </c>
      <c r="G1222" s="64" t="s">
        <v>0</v>
      </c>
      <c r="H1222" s="111" t="s">
        <v>2145</v>
      </c>
      <c r="I1222" s="63" t="s">
        <v>972</v>
      </c>
      <c r="J1222" s="112" t="s">
        <v>959</v>
      </c>
      <c r="K1222" s="63" t="s">
        <v>961</v>
      </c>
      <c r="L1222" s="61" t="s">
        <v>845</v>
      </c>
      <c r="M1222" s="65">
        <f t="shared" si="178"/>
        <v>664463.63</v>
      </c>
      <c r="N1222" s="65">
        <f t="shared" si="182"/>
        <v>664463.63</v>
      </c>
      <c r="O1222" s="65">
        <v>664463.63</v>
      </c>
      <c r="P1222" s="65">
        <v>957990</v>
      </c>
      <c r="Q1222" s="65">
        <f t="shared" si="183"/>
        <v>210757.8</v>
      </c>
      <c r="R1222" s="65">
        <f t="shared" si="184"/>
        <v>1168747.8</v>
      </c>
      <c r="S1222" s="272"/>
      <c r="T1222" s="64">
        <v>53</v>
      </c>
      <c r="U1222" s="274"/>
      <c r="V1222" s="38">
        <v>1099873</v>
      </c>
      <c r="W1222" s="38">
        <f t="shared" si="185"/>
        <v>241972.06</v>
      </c>
      <c r="X1222" s="38">
        <f t="shared" si="186"/>
        <v>1341845.06</v>
      </c>
    </row>
    <row r="1223" spans="1:24" ht="15" customHeight="1" x14ac:dyDescent="0.35">
      <c r="A1223" s="56" t="s">
        <v>3472</v>
      </c>
      <c r="B1223" s="2">
        <v>1167</v>
      </c>
      <c r="C1223" s="109">
        <v>102001040</v>
      </c>
      <c r="D1223" s="110" t="s">
        <v>929</v>
      </c>
      <c r="E1223" s="74" t="s">
        <v>2147</v>
      </c>
      <c r="F1223" s="91">
        <v>1</v>
      </c>
      <c r="G1223" s="64" t="s">
        <v>0</v>
      </c>
      <c r="H1223" s="111" t="s">
        <v>2145</v>
      </c>
      <c r="I1223" s="63" t="s">
        <v>972</v>
      </c>
      <c r="J1223" s="112" t="s">
        <v>959</v>
      </c>
      <c r="K1223" s="63" t="s">
        <v>961</v>
      </c>
      <c r="L1223" s="61" t="s">
        <v>845</v>
      </c>
      <c r="M1223" s="65">
        <f t="shared" si="178"/>
        <v>752189.35</v>
      </c>
      <c r="N1223" s="65">
        <f t="shared" si="182"/>
        <v>752189.35</v>
      </c>
      <c r="O1223" s="65">
        <v>752189.35</v>
      </c>
      <c r="P1223" s="65">
        <v>1084470</v>
      </c>
      <c r="Q1223" s="65">
        <f t="shared" si="183"/>
        <v>238583.4</v>
      </c>
      <c r="R1223" s="65">
        <f t="shared" si="184"/>
        <v>1323053.3999999999</v>
      </c>
      <c r="S1223" s="272"/>
      <c r="T1223" s="64">
        <v>53</v>
      </c>
      <c r="U1223" s="274"/>
      <c r="V1223" s="38">
        <v>1245084</v>
      </c>
      <c r="W1223" s="38">
        <f t="shared" si="185"/>
        <v>273918.48</v>
      </c>
      <c r="X1223" s="38">
        <f t="shared" si="186"/>
        <v>1519002.48</v>
      </c>
    </row>
    <row r="1224" spans="1:24" ht="15" customHeight="1" x14ac:dyDescent="0.35">
      <c r="A1224" s="56" t="s">
        <v>3473</v>
      </c>
      <c r="B1224" s="2">
        <v>1168</v>
      </c>
      <c r="C1224" s="109">
        <v>102002140</v>
      </c>
      <c r="D1224" s="110" t="s">
        <v>930</v>
      </c>
      <c r="E1224" s="74" t="s">
        <v>2147</v>
      </c>
      <c r="F1224" s="91">
        <v>1</v>
      </c>
      <c r="G1224" s="64" t="s">
        <v>0</v>
      </c>
      <c r="H1224" s="111" t="s">
        <v>2145</v>
      </c>
      <c r="I1224" s="63" t="s">
        <v>972</v>
      </c>
      <c r="J1224" s="112" t="s">
        <v>959</v>
      </c>
      <c r="K1224" s="63" t="s">
        <v>961</v>
      </c>
      <c r="L1224" s="61" t="s">
        <v>845</v>
      </c>
      <c r="M1224" s="65">
        <f t="shared" si="178"/>
        <v>164459.89000000001</v>
      </c>
      <c r="N1224" s="65">
        <f t="shared" si="182"/>
        <v>164459.89000000001</v>
      </c>
      <c r="O1224" s="65">
        <v>164459.89000000001</v>
      </c>
      <c r="P1224" s="65">
        <v>237110</v>
      </c>
      <c r="Q1224" s="65">
        <f t="shared" si="183"/>
        <v>52164.2</v>
      </c>
      <c r="R1224" s="65">
        <f t="shared" si="184"/>
        <v>289274.2</v>
      </c>
      <c r="S1224" s="272"/>
      <c r="T1224" s="64">
        <v>53</v>
      </c>
      <c r="U1224" s="274"/>
      <c r="V1224" s="38">
        <v>272227</v>
      </c>
      <c r="W1224" s="38">
        <f t="shared" si="185"/>
        <v>59889.94</v>
      </c>
      <c r="X1224" s="38">
        <f t="shared" si="186"/>
        <v>332116.94</v>
      </c>
    </row>
    <row r="1225" spans="1:24" ht="15" customHeight="1" x14ac:dyDescent="0.35">
      <c r="A1225" s="56" t="s">
        <v>3474</v>
      </c>
      <c r="B1225" s="2">
        <v>1169</v>
      </c>
      <c r="C1225" s="109">
        <v>102000997</v>
      </c>
      <c r="D1225" s="110" t="s">
        <v>931</v>
      </c>
      <c r="E1225" s="74" t="s">
        <v>2147</v>
      </c>
      <c r="F1225" s="91">
        <v>1</v>
      </c>
      <c r="G1225" s="64" t="s">
        <v>0</v>
      </c>
      <c r="H1225" s="111" t="s">
        <v>2145</v>
      </c>
      <c r="I1225" s="63" t="s">
        <v>972</v>
      </c>
      <c r="J1225" s="112" t="s">
        <v>959</v>
      </c>
      <c r="K1225" s="63" t="s">
        <v>961</v>
      </c>
      <c r="L1225" s="61" t="s">
        <v>845</v>
      </c>
      <c r="M1225" s="65">
        <f t="shared" si="178"/>
        <v>5393235.7599999998</v>
      </c>
      <c r="N1225" s="65">
        <f t="shared" si="182"/>
        <v>5393235.7599999998</v>
      </c>
      <c r="O1225" s="65">
        <v>5393235.7599999998</v>
      </c>
      <c r="P1225" s="65">
        <v>7775690</v>
      </c>
      <c r="Q1225" s="65">
        <f t="shared" si="183"/>
        <v>1710651.8</v>
      </c>
      <c r="R1225" s="65">
        <f t="shared" si="184"/>
        <v>9486341.8000000007</v>
      </c>
      <c r="S1225" s="272"/>
      <c r="T1225" s="64">
        <v>53</v>
      </c>
      <c r="U1225" s="274"/>
      <c r="V1225" s="38">
        <v>8927315</v>
      </c>
      <c r="W1225" s="38">
        <f t="shared" si="185"/>
        <v>1964009.3</v>
      </c>
      <c r="X1225" s="38">
        <f t="shared" si="186"/>
        <v>10891324.300000001</v>
      </c>
    </row>
    <row r="1226" spans="1:24" ht="23.25" customHeight="1" x14ac:dyDescent="0.35">
      <c r="A1226" s="56" t="s">
        <v>3475</v>
      </c>
      <c r="B1226" s="2">
        <v>1170</v>
      </c>
      <c r="C1226" s="77">
        <v>102001095</v>
      </c>
      <c r="D1226" s="74" t="s">
        <v>1244</v>
      </c>
      <c r="E1226" s="74" t="s">
        <v>2162</v>
      </c>
      <c r="F1226" s="75">
        <v>1</v>
      </c>
      <c r="G1226" s="64" t="s">
        <v>0</v>
      </c>
      <c r="H1226" s="61">
        <v>42004</v>
      </c>
      <c r="I1226" s="61" t="s">
        <v>2158</v>
      </c>
      <c r="J1226" s="63" t="s">
        <v>1917</v>
      </c>
      <c r="K1226" s="135" t="s">
        <v>1288</v>
      </c>
      <c r="L1226" s="88" t="s">
        <v>845</v>
      </c>
      <c r="M1226" s="76">
        <f t="shared" si="178"/>
        <v>39631.49</v>
      </c>
      <c r="N1226" s="76">
        <f t="shared" si="182"/>
        <v>39631.49</v>
      </c>
      <c r="O1226" s="76">
        <v>39631.49</v>
      </c>
      <c r="P1226" s="65">
        <v>42660</v>
      </c>
      <c r="Q1226" s="65">
        <f t="shared" si="183"/>
        <v>9385.2000000000007</v>
      </c>
      <c r="R1226" s="65">
        <f t="shared" si="184"/>
        <v>52045.2</v>
      </c>
      <c r="S1226" s="272"/>
      <c r="T1226" s="64">
        <v>53</v>
      </c>
      <c r="U1226" s="274"/>
      <c r="V1226" s="38">
        <v>48983</v>
      </c>
      <c r="W1226" s="38">
        <f t="shared" si="185"/>
        <v>10776.26</v>
      </c>
      <c r="X1226" s="38">
        <f t="shared" si="186"/>
        <v>59759.26</v>
      </c>
    </row>
    <row r="1227" spans="1:24" ht="15" customHeight="1" x14ac:dyDescent="0.35">
      <c r="A1227" s="56" t="s">
        <v>3476</v>
      </c>
      <c r="B1227" s="2">
        <v>1171</v>
      </c>
      <c r="C1227" s="77">
        <v>10024451</v>
      </c>
      <c r="D1227" s="74" t="s">
        <v>1276</v>
      </c>
      <c r="E1227" s="74" t="s">
        <v>2166</v>
      </c>
      <c r="F1227" s="75">
        <v>1</v>
      </c>
      <c r="G1227" s="64" t="s">
        <v>0</v>
      </c>
      <c r="H1227" s="61">
        <v>42004</v>
      </c>
      <c r="I1227" s="61" t="s">
        <v>2158</v>
      </c>
      <c r="J1227" s="63" t="s">
        <v>1917</v>
      </c>
      <c r="K1227" s="101" t="s">
        <v>961</v>
      </c>
      <c r="L1227" s="88" t="s">
        <v>845</v>
      </c>
      <c r="M1227" s="76">
        <f t="shared" si="178"/>
        <v>16670.84</v>
      </c>
      <c r="N1227" s="76">
        <f t="shared" si="182"/>
        <v>16670.84</v>
      </c>
      <c r="O1227" s="76">
        <v>16670.84</v>
      </c>
      <c r="P1227" s="65">
        <v>14170</v>
      </c>
      <c r="Q1227" s="65">
        <f t="shared" si="183"/>
        <v>3117.4</v>
      </c>
      <c r="R1227" s="65">
        <f t="shared" si="184"/>
        <v>17287.400000000001</v>
      </c>
      <c r="S1227" s="272"/>
      <c r="T1227" s="64">
        <v>53</v>
      </c>
      <c r="U1227" s="274"/>
      <c r="V1227" s="38">
        <v>16271</v>
      </c>
      <c r="W1227" s="38">
        <f t="shared" si="185"/>
        <v>3579.62</v>
      </c>
      <c r="X1227" s="38">
        <f t="shared" si="186"/>
        <v>19850.62</v>
      </c>
    </row>
    <row r="1228" spans="1:24" ht="15" customHeight="1" x14ac:dyDescent="0.35">
      <c r="A1228" s="56" t="s">
        <v>3477</v>
      </c>
      <c r="B1228" s="2">
        <v>1172</v>
      </c>
      <c r="C1228" s="39">
        <v>10097455</v>
      </c>
      <c r="D1228" s="40" t="s">
        <v>1308</v>
      </c>
      <c r="E1228" s="40" t="s">
        <v>2172</v>
      </c>
      <c r="F1228" s="43">
        <v>2</v>
      </c>
      <c r="G1228" s="64" t="s">
        <v>0</v>
      </c>
      <c r="H1228" s="42" t="s">
        <v>494</v>
      </c>
      <c r="I1228" s="94" t="s">
        <v>1316</v>
      </c>
      <c r="J1228" s="63" t="s">
        <v>1917</v>
      </c>
      <c r="K1228" s="63" t="s">
        <v>961</v>
      </c>
      <c r="L1228" s="69" t="s">
        <v>950</v>
      </c>
      <c r="M1228" s="70">
        <f t="shared" si="178"/>
        <v>1530.5</v>
      </c>
      <c r="N1228" s="70">
        <f t="shared" si="182"/>
        <v>765.25</v>
      </c>
      <c r="O1228" s="70">
        <v>1530.5</v>
      </c>
      <c r="P1228" s="65">
        <v>2210</v>
      </c>
      <c r="Q1228" s="65">
        <f t="shared" si="183"/>
        <v>486.2</v>
      </c>
      <c r="R1228" s="65">
        <f t="shared" si="184"/>
        <v>2696.2</v>
      </c>
      <c r="S1228" s="272"/>
      <c r="T1228" s="64">
        <v>53</v>
      </c>
      <c r="U1228" s="274"/>
      <c r="V1228" s="38">
        <v>2540</v>
      </c>
      <c r="W1228" s="38">
        <f t="shared" si="185"/>
        <v>558.79999999999995</v>
      </c>
      <c r="X1228" s="38">
        <f t="shared" si="186"/>
        <v>3098.8</v>
      </c>
    </row>
    <row r="1229" spans="1:24" ht="15" customHeight="1" x14ac:dyDescent="0.35">
      <c r="A1229" s="56" t="s">
        <v>3478</v>
      </c>
      <c r="B1229" s="2">
        <v>1173</v>
      </c>
      <c r="C1229" s="77">
        <v>10099974</v>
      </c>
      <c r="D1229" s="74" t="s">
        <v>512</v>
      </c>
      <c r="E1229" s="74" t="s">
        <v>1978</v>
      </c>
      <c r="F1229" s="75">
        <v>48</v>
      </c>
      <c r="G1229" s="75" t="s">
        <v>0</v>
      </c>
      <c r="H1229" s="61">
        <v>41181</v>
      </c>
      <c r="I1229" s="4" t="s">
        <v>957</v>
      </c>
      <c r="J1229" s="63" t="s">
        <v>953</v>
      </c>
      <c r="K1229" s="63" t="s">
        <v>961</v>
      </c>
      <c r="L1229" s="63" t="s">
        <v>950</v>
      </c>
      <c r="M1229" s="76">
        <f t="shared" si="178"/>
        <v>17772.38</v>
      </c>
      <c r="N1229" s="76">
        <f t="shared" si="182"/>
        <v>370.26</v>
      </c>
      <c r="O1229" s="76">
        <v>17772.38</v>
      </c>
      <c r="P1229" s="65">
        <v>29170</v>
      </c>
      <c r="Q1229" s="65">
        <f t="shared" si="183"/>
        <v>6417.4</v>
      </c>
      <c r="R1229" s="65">
        <f t="shared" si="184"/>
        <v>35587.4</v>
      </c>
      <c r="S1229" s="272"/>
      <c r="T1229" s="64">
        <v>53</v>
      </c>
      <c r="U1229" s="274"/>
      <c r="V1229" s="38">
        <v>33495</v>
      </c>
      <c r="W1229" s="38">
        <f t="shared" si="185"/>
        <v>7368.9</v>
      </c>
      <c r="X1229" s="38">
        <f t="shared" si="186"/>
        <v>40863.9</v>
      </c>
    </row>
    <row r="1230" spans="1:24" ht="15" customHeight="1" x14ac:dyDescent="0.35">
      <c r="A1230" s="56" t="s">
        <v>3479</v>
      </c>
      <c r="B1230" s="2">
        <v>1174</v>
      </c>
      <c r="C1230" s="77">
        <v>10133603</v>
      </c>
      <c r="D1230" s="74" t="s">
        <v>514</v>
      </c>
      <c r="E1230" s="74" t="s">
        <v>2167</v>
      </c>
      <c r="F1230" s="75">
        <v>2</v>
      </c>
      <c r="G1230" s="75" t="s">
        <v>0</v>
      </c>
      <c r="H1230" s="61">
        <v>41052</v>
      </c>
      <c r="I1230" s="4" t="s">
        <v>957</v>
      </c>
      <c r="J1230" s="63" t="s">
        <v>1917</v>
      </c>
      <c r="K1230" s="63" t="s">
        <v>961</v>
      </c>
      <c r="L1230" s="63" t="s">
        <v>950</v>
      </c>
      <c r="M1230" s="76">
        <f t="shared" si="178"/>
        <v>283.89999999999998</v>
      </c>
      <c r="N1230" s="76">
        <f t="shared" si="182"/>
        <v>141.94999999999999</v>
      </c>
      <c r="O1230" s="76">
        <v>283.89999999999998</v>
      </c>
      <c r="P1230" s="65">
        <v>450</v>
      </c>
      <c r="Q1230" s="65">
        <f t="shared" si="183"/>
        <v>99</v>
      </c>
      <c r="R1230" s="65">
        <f t="shared" si="184"/>
        <v>549</v>
      </c>
      <c r="S1230" s="272"/>
      <c r="T1230" s="64">
        <v>53</v>
      </c>
      <c r="U1230" s="274"/>
      <c r="V1230" s="38">
        <v>511</v>
      </c>
      <c r="W1230" s="38">
        <f t="shared" si="185"/>
        <v>112.42</v>
      </c>
      <c r="X1230" s="38">
        <f t="shared" si="186"/>
        <v>623.41999999999996</v>
      </c>
    </row>
    <row r="1231" spans="1:24" ht="15" customHeight="1" x14ac:dyDescent="0.35">
      <c r="A1231" s="56" t="s">
        <v>3480</v>
      </c>
      <c r="B1231" s="2">
        <v>1175</v>
      </c>
      <c r="C1231" s="77">
        <v>10006632</v>
      </c>
      <c r="D1231" s="74" t="s">
        <v>1512</v>
      </c>
      <c r="E1231" s="74" t="s">
        <v>2167</v>
      </c>
      <c r="F1231" s="75">
        <v>1</v>
      </c>
      <c r="G1231" s="64" t="s">
        <v>0</v>
      </c>
      <c r="H1231" s="78">
        <v>42005</v>
      </c>
      <c r="I1231" s="4" t="s">
        <v>957</v>
      </c>
      <c r="J1231" s="63" t="s">
        <v>2206</v>
      </c>
      <c r="K1231" s="63" t="s">
        <v>961</v>
      </c>
      <c r="L1231" s="69" t="s">
        <v>950</v>
      </c>
      <c r="M1231" s="70">
        <f t="shared" si="178"/>
        <v>5226.62</v>
      </c>
      <c r="N1231" s="70">
        <f t="shared" si="182"/>
        <v>5226.62</v>
      </c>
      <c r="O1231" s="70">
        <v>5226.62</v>
      </c>
      <c r="P1231" s="65">
        <v>2990</v>
      </c>
      <c r="Q1231" s="65">
        <f t="shared" si="183"/>
        <v>657.8</v>
      </c>
      <c r="R1231" s="65">
        <f t="shared" si="184"/>
        <v>3647.8</v>
      </c>
      <c r="S1231" s="272"/>
      <c r="T1231" s="64">
        <v>53</v>
      </c>
      <c r="U1231" s="274"/>
      <c r="V1231" s="38">
        <v>3430</v>
      </c>
      <c r="W1231" s="38">
        <f t="shared" si="185"/>
        <v>754.6</v>
      </c>
      <c r="X1231" s="38">
        <f t="shared" si="186"/>
        <v>4184.6000000000004</v>
      </c>
    </row>
    <row r="1232" spans="1:24" ht="15" customHeight="1" x14ac:dyDescent="0.35">
      <c r="A1232" s="56" t="s">
        <v>3481</v>
      </c>
      <c r="B1232" s="2">
        <v>1176</v>
      </c>
      <c r="C1232" s="77">
        <v>10107865</v>
      </c>
      <c r="D1232" s="74" t="s">
        <v>1536</v>
      </c>
      <c r="E1232" s="74" t="s">
        <v>2167</v>
      </c>
      <c r="F1232" s="75">
        <v>1</v>
      </c>
      <c r="G1232" s="64" t="s">
        <v>0</v>
      </c>
      <c r="H1232" s="78">
        <v>41542</v>
      </c>
      <c r="I1232" s="4" t="s">
        <v>957</v>
      </c>
      <c r="J1232" s="63" t="s">
        <v>1917</v>
      </c>
      <c r="K1232" s="63" t="s">
        <v>961</v>
      </c>
      <c r="L1232" s="69" t="s">
        <v>950</v>
      </c>
      <c r="M1232" s="70">
        <f t="shared" si="178"/>
        <v>1580.58</v>
      </c>
      <c r="N1232" s="70">
        <f t="shared" si="182"/>
        <v>1580.58</v>
      </c>
      <c r="O1232" s="70">
        <v>1580.58</v>
      </c>
      <c r="P1232" s="65">
        <v>2550</v>
      </c>
      <c r="Q1232" s="65">
        <f t="shared" si="183"/>
        <v>561</v>
      </c>
      <c r="R1232" s="65">
        <f t="shared" si="184"/>
        <v>3111</v>
      </c>
      <c r="S1232" s="272"/>
      <c r="T1232" s="64">
        <v>53</v>
      </c>
      <c r="U1232" s="274"/>
      <c r="V1232" s="38">
        <v>2930</v>
      </c>
      <c r="W1232" s="38">
        <f t="shared" si="185"/>
        <v>644.6</v>
      </c>
      <c r="X1232" s="38">
        <f t="shared" si="186"/>
        <v>3574.6</v>
      </c>
    </row>
    <row r="1233" spans="1:24" ht="15" customHeight="1" x14ac:dyDescent="0.35">
      <c r="A1233" s="56" t="s">
        <v>3482</v>
      </c>
      <c r="B1233" s="2">
        <v>1177</v>
      </c>
      <c r="C1233" s="77">
        <v>10128509</v>
      </c>
      <c r="D1233" s="74" t="s">
        <v>1542</v>
      </c>
      <c r="E1233" s="74" t="s">
        <v>2167</v>
      </c>
      <c r="F1233" s="75">
        <v>4</v>
      </c>
      <c r="G1233" s="64" t="s">
        <v>0</v>
      </c>
      <c r="H1233" s="78">
        <v>41431</v>
      </c>
      <c r="I1233" s="4" t="s">
        <v>957</v>
      </c>
      <c r="J1233" s="63" t="s">
        <v>1917</v>
      </c>
      <c r="K1233" s="63" t="s">
        <v>961</v>
      </c>
      <c r="L1233" s="69" t="s">
        <v>950</v>
      </c>
      <c r="M1233" s="70">
        <f t="shared" si="178"/>
        <v>13808.2</v>
      </c>
      <c r="N1233" s="70">
        <f t="shared" si="182"/>
        <v>3452.05</v>
      </c>
      <c r="O1233" s="70">
        <v>13808.2</v>
      </c>
      <c r="P1233" s="65">
        <v>21750</v>
      </c>
      <c r="Q1233" s="65">
        <f t="shared" si="183"/>
        <v>4785</v>
      </c>
      <c r="R1233" s="65">
        <f t="shared" si="184"/>
        <v>26535</v>
      </c>
      <c r="S1233" s="272"/>
      <c r="T1233" s="64">
        <v>53</v>
      </c>
      <c r="U1233" s="274"/>
      <c r="V1233" s="38">
        <v>24970</v>
      </c>
      <c r="W1233" s="38">
        <f t="shared" si="185"/>
        <v>5493.4</v>
      </c>
      <c r="X1233" s="38">
        <f t="shared" si="186"/>
        <v>30463.4</v>
      </c>
    </row>
    <row r="1234" spans="1:24" ht="15" customHeight="1" x14ac:dyDescent="0.35">
      <c r="A1234" s="56" t="s">
        <v>3483</v>
      </c>
      <c r="B1234" s="2">
        <v>1178</v>
      </c>
      <c r="C1234" s="77">
        <v>10128449</v>
      </c>
      <c r="D1234" s="74" t="s">
        <v>1546</v>
      </c>
      <c r="E1234" s="74" t="s">
        <v>2167</v>
      </c>
      <c r="F1234" s="75">
        <v>6</v>
      </c>
      <c r="G1234" s="64" t="s">
        <v>0</v>
      </c>
      <c r="H1234" s="78">
        <v>40544</v>
      </c>
      <c r="I1234" s="4" t="s">
        <v>957</v>
      </c>
      <c r="J1234" s="63" t="s">
        <v>1917</v>
      </c>
      <c r="K1234" s="63" t="s">
        <v>961</v>
      </c>
      <c r="L1234" s="69" t="s">
        <v>950</v>
      </c>
      <c r="M1234" s="70">
        <f t="shared" si="178"/>
        <v>5842.2</v>
      </c>
      <c r="N1234" s="70">
        <f t="shared" si="182"/>
        <v>973.7</v>
      </c>
      <c r="O1234" s="70">
        <v>5842.2</v>
      </c>
      <c r="P1234" s="65">
        <v>9320</v>
      </c>
      <c r="Q1234" s="65">
        <f t="shared" si="183"/>
        <v>2050.4</v>
      </c>
      <c r="R1234" s="65">
        <f t="shared" si="184"/>
        <v>11370.4</v>
      </c>
      <c r="S1234" s="272"/>
      <c r="T1234" s="64">
        <v>53</v>
      </c>
      <c r="U1234" s="274"/>
      <c r="V1234" s="38">
        <v>10700</v>
      </c>
      <c r="W1234" s="38">
        <f t="shared" si="185"/>
        <v>2354</v>
      </c>
      <c r="X1234" s="38">
        <f t="shared" si="186"/>
        <v>13054</v>
      </c>
    </row>
    <row r="1235" spans="1:24" ht="15" customHeight="1" x14ac:dyDescent="0.35">
      <c r="A1235" s="56" t="s">
        <v>3484</v>
      </c>
      <c r="B1235" s="2">
        <v>1179</v>
      </c>
      <c r="C1235" s="77">
        <v>10119168</v>
      </c>
      <c r="D1235" s="74" t="s">
        <v>1555</v>
      </c>
      <c r="E1235" s="74" t="s">
        <v>2167</v>
      </c>
      <c r="F1235" s="75">
        <v>4</v>
      </c>
      <c r="G1235" s="64" t="s">
        <v>0</v>
      </c>
      <c r="H1235" s="78">
        <v>41431</v>
      </c>
      <c r="I1235" s="4" t="s">
        <v>957</v>
      </c>
      <c r="J1235" s="63" t="s">
        <v>1917</v>
      </c>
      <c r="K1235" s="63" t="s">
        <v>961</v>
      </c>
      <c r="L1235" s="69" t="s">
        <v>950</v>
      </c>
      <c r="M1235" s="70">
        <f t="shared" si="178"/>
        <v>8949.16</v>
      </c>
      <c r="N1235" s="70">
        <f t="shared" si="182"/>
        <v>2237.29</v>
      </c>
      <c r="O1235" s="70">
        <v>8949.16</v>
      </c>
      <c r="P1235" s="65">
        <v>14610</v>
      </c>
      <c r="Q1235" s="65">
        <f t="shared" si="183"/>
        <v>3214.2</v>
      </c>
      <c r="R1235" s="65">
        <f t="shared" si="184"/>
        <v>17824.2</v>
      </c>
      <c r="S1235" s="272"/>
      <c r="T1235" s="64">
        <v>53</v>
      </c>
      <c r="U1235" s="274"/>
      <c r="V1235" s="38">
        <v>16777</v>
      </c>
      <c r="W1235" s="38">
        <f t="shared" si="185"/>
        <v>3690.94</v>
      </c>
      <c r="X1235" s="38">
        <f t="shared" si="186"/>
        <v>20467.939999999999</v>
      </c>
    </row>
    <row r="1236" spans="1:24" ht="15.75" customHeight="1" x14ac:dyDescent="0.35">
      <c r="A1236" s="56" t="s">
        <v>3485</v>
      </c>
      <c r="B1236" s="2">
        <v>1180</v>
      </c>
      <c r="C1236" s="77">
        <v>10043050</v>
      </c>
      <c r="D1236" s="74" t="s">
        <v>1557</v>
      </c>
      <c r="E1236" s="74" t="s">
        <v>2167</v>
      </c>
      <c r="F1236" s="75">
        <v>90</v>
      </c>
      <c r="G1236" s="64" t="s">
        <v>0</v>
      </c>
      <c r="H1236" s="78">
        <v>38353</v>
      </c>
      <c r="I1236" s="4" t="s">
        <v>957</v>
      </c>
      <c r="J1236" s="63" t="s">
        <v>1917</v>
      </c>
      <c r="K1236" s="63" t="s">
        <v>961</v>
      </c>
      <c r="L1236" s="69" t="s">
        <v>950</v>
      </c>
      <c r="M1236" s="144">
        <f t="shared" si="178"/>
        <v>15223.13</v>
      </c>
      <c r="N1236" s="144">
        <f t="shared" si="182"/>
        <v>169.15</v>
      </c>
      <c r="O1236" s="70">
        <v>15223.13</v>
      </c>
      <c r="P1236" s="65">
        <v>33880</v>
      </c>
      <c r="Q1236" s="65">
        <f t="shared" si="183"/>
        <v>7453.6</v>
      </c>
      <c r="R1236" s="65">
        <f t="shared" si="184"/>
        <v>41333.599999999999</v>
      </c>
      <c r="S1236" s="272"/>
      <c r="T1236" s="64">
        <v>53</v>
      </c>
      <c r="U1236" s="274"/>
      <c r="V1236" s="38">
        <v>38902</v>
      </c>
      <c r="W1236" s="38">
        <f t="shared" si="185"/>
        <v>8558.44</v>
      </c>
      <c r="X1236" s="38">
        <f t="shared" si="186"/>
        <v>47460.44</v>
      </c>
    </row>
    <row r="1237" spans="1:24" ht="19.5" customHeight="1" x14ac:dyDescent="0.35">
      <c r="A1237" s="56" t="s">
        <v>3486</v>
      </c>
      <c r="B1237" s="2">
        <v>1181</v>
      </c>
      <c r="C1237" s="77">
        <v>10088495</v>
      </c>
      <c r="D1237" s="74" t="s">
        <v>1580</v>
      </c>
      <c r="E1237" s="74" t="s">
        <v>2167</v>
      </c>
      <c r="F1237" s="75">
        <v>40</v>
      </c>
      <c r="G1237" s="64" t="s">
        <v>0</v>
      </c>
      <c r="H1237" s="78">
        <v>41431</v>
      </c>
      <c r="I1237" s="4" t="s">
        <v>957</v>
      </c>
      <c r="J1237" s="63" t="s">
        <v>1917</v>
      </c>
      <c r="K1237" s="63" t="s">
        <v>961</v>
      </c>
      <c r="L1237" s="69" t="s">
        <v>950</v>
      </c>
      <c r="M1237" s="70">
        <f t="shared" si="178"/>
        <v>352.8</v>
      </c>
      <c r="N1237" s="70">
        <f t="shared" si="182"/>
        <v>8.82</v>
      </c>
      <c r="O1237" s="70">
        <v>352.8</v>
      </c>
      <c r="P1237" s="65">
        <v>570</v>
      </c>
      <c r="Q1237" s="65">
        <f t="shared" si="183"/>
        <v>125.4</v>
      </c>
      <c r="R1237" s="65">
        <f t="shared" si="184"/>
        <v>695.4</v>
      </c>
      <c r="S1237" s="272"/>
      <c r="T1237" s="64">
        <v>53</v>
      </c>
      <c r="U1237" s="274"/>
      <c r="V1237" s="38">
        <v>653</v>
      </c>
      <c r="W1237" s="38">
        <f t="shared" si="185"/>
        <v>143.66</v>
      </c>
      <c r="X1237" s="38">
        <f t="shared" si="186"/>
        <v>796.66</v>
      </c>
    </row>
    <row r="1238" spans="1:24" ht="15" customHeight="1" x14ac:dyDescent="0.35">
      <c r="A1238" s="56" t="s">
        <v>3487</v>
      </c>
      <c r="B1238" s="2">
        <v>1182</v>
      </c>
      <c r="C1238" s="77">
        <v>10128455</v>
      </c>
      <c r="D1238" s="74" t="s">
        <v>1607</v>
      </c>
      <c r="E1238" s="74" t="s">
        <v>2167</v>
      </c>
      <c r="F1238" s="75">
        <v>1</v>
      </c>
      <c r="G1238" s="64" t="s">
        <v>0</v>
      </c>
      <c r="H1238" s="78">
        <v>40990</v>
      </c>
      <c r="I1238" s="4" t="s">
        <v>957</v>
      </c>
      <c r="J1238" s="63" t="s">
        <v>1917</v>
      </c>
      <c r="K1238" s="63" t="s">
        <v>961</v>
      </c>
      <c r="L1238" s="69" t="s">
        <v>950</v>
      </c>
      <c r="M1238" s="70">
        <f t="shared" si="178"/>
        <v>6645</v>
      </c>
      <c r="N1238" s="70">
        <f t="shared" si="182"/>
        <v>6645</v>
      </c>
      <c r="O1238" s="70">
        <v>6645</v>
      </c>
      <c r="P1238" s="65">
        <v>12130</v>
      </c>
      <c r="Q1238" s="65">
        <f t="shared" si="183"/>
        <v>2668.6</v>
      </c>
      <c r="R1238" s="65">
        <f t="shared" si="184"/>
        <v>14798.6</v>
      </c>
      <c r="S1238" s="272"/>
      <c r="T1238" s="64">
        <v>53</v>
      </c>
      <c r="U1238" s="274"/>
      <c r="V1238" s="38">
        <v>13929</v>
      </c>
      <c r="W1238" s="38">
        <f t="shared" si="185"/>
        <v>3064.38</v>
      </c>
      <c r="X1238" s="38">
        <f t="shared" si="186"/>
        <v>16993.38</v>
      </c>
    </row>
    <row r="1239" spans="1:24" ht="15" customHeight="1" x14ac:dyDescent="0.35">
      <c r="A1239" s="56" t="s">
        <v>3488</v>
      </c>
      <c r="B1239" s="2">
        <v>1183</v>
      </c>
      <c r="C1239" s="77">
        <v>10128474</v>
      </c>
      <c r="D1239" s="74" t="s">
        <v>1626</v>
      </c>
      <c r="E1239" s="74" t="s">
        <v>2167</v>
      </c>
      <c r="F1239" s="75">
        <v>1</v>
      </c>
      <c r="G1239" s="64" t="s">
        <v>0</v>
      </c>
      <c r="H1239" s="78">
        <v>41431</v>
      </c>
      <c r="I1239" s="4" t="s">
        <v>957</v>
      </c>
      <c r="J1239" s="63" t="s">
        <v>1917</v>
      </c>
      <c r="K1239" s="63" t="s">
        <v>961</v>
      </c>
      <c r="L1239" s="69" t="s">
        <v>950</v>
      </c>
      <c r="M1239" s="70">
        <f t="shared" si="178"/>
        <v>4946.2299999999996</v>
      </c>
      <c r="N1239" s="70">
        <f t="shared" si="182"/>
        <v>4946.2299999999996</v>
      </c>
      <c r="O1239" s="70">
        <v>4946.2299999999996</v>
      </c>
      <c r="P1239" s="65">
        <v>7470</v>
      </c>
      <c r="Q1239" s="65">
        <f t="shared" si="183"/>
        <v>1643.4</v>
      </c>
      <c r="R1239" s="65">
        <f t="shared" si="184"/>
        <v>9113.4</v>
      </c>
      <c r="S1239" s="272"/>
      <c r="T1239" s="64">
        <v>53</v>
      </c>
      <c r="U1239" s="274"/>
      <c r="V1239" s="38">
        <v>8576</v>
      </c>
      <c r="W1239" s="38">
        <f t="shared" si="185"/>
        <v>1886.72</v>
      </c>
      <c r="X1239" s="38">
        <f t="shared" si="186"/>
        <v>10462.719999999999</v>
      </c>
    </row>
    <row r="1240" spans="1:24" ht="15" customHeight="1" x14ac:dyDescent="0.35">
      <c r="A1240" s="56" t="s">
        <v>3489</v>
      </c>
      <c r="B1240" s="2">
        <v>1184</v>
      </c>
      <c r="C1240" s="77">
        <v>10133647</v>
      </c>
      <c r="D1240" s="74" t="s">
        <v>27</v>
      </c>
      <c r="E1240" s="74" t="s">
        <v>2167</v>
      </c>
      <c r="F1240" s="75">
        <v>1</v>
      </c>
      <c r="G1240" s="64" t="s">
        <v>0</v>
      </c>
      <c r="H1240" s="78">
        <v>41498</v>
      </c>
      <c r="I1240" s="4" t="s">
        <v>957</v>
      </c>
      <c r="J1240" s="63" t="s">
        <v>1917</v>
      </c>
      <c r="K1240" s="63" t="s">
        <v>961</v>
      </c>
      <c r="L1240" s="69" t="s">
        <v>950</v>
      </c>
      <c r="M1240" s="70">
        <f t="shared" si="178"/>
        <v>39069.089999999997</v>
      </c>
      <c r="N1240" s="70">
        <f t="shared" si="182"/>
        <v>39069.089999999997</v>
      </c>
      <c r="O1240" s="70">
        <v>39069.089999999997</v>
      </c>
      <c r="P1240" s="65">
        <v>59530</v>
      </c>
      <c r="Q1240" s="65">
        <f t="shared" si="183"/>
        <v>13096.6</v>
      </c>
      <c r="R1240" s="65">
        <f t="shared" si="184"/>
        <v>72626.600000000006</v>
      </c>
      <c r="S1240" s="272"/>
      <c r="T1240" s="64">
        <v>53</v>
      </c>
      <c r="U1240" s="274"/>
      <c r="V1240" s="38">
        <v>68343</v>
      </c>
      <c r="W1240" s="38">
        <f t="shared" si="185"/>
        <v>15035.46</v>
      </c>
      <c r="X1240" s="38">
        <f t="shared" si="186"/>
        <v>83378.460000000006</v>
      </c>
    </row>
    <row r="1241" spans="1:24" ht="15" customHeight="1" x14ac:dyDescent="0.35">
      <c r="A1241" s="56" t="s">
        <v>3490</v>
      </c>
      <c r="B1241" s="2">
        <v>1185</v>
      </c>
      <c r="C1241" s="77">
        <v>10119230</v>
      </c>
      <c r="D1241" s="74" t="s">
        <v>1638</v>
      </c>
      <c r="E1241" s="74" t="s">
        <v>1978</v>
      </c>
      <c r="F1241" s="75">
        <v>22</v>
      </c>
      <c r="G1241" s="64" t="s">
        <v>0</v>
      </c>
      <c r="H1241" s="78">
        <v>41431</v>
      </c>
      <c r="I1241" s="4" t="s">
        <v>957</v>
      </c>
      <c r="J1241" s="63" t="s">
        <v>1917</v>
      </c>
      <c r="K1241" s="63" t="s">
        <v>961</v>
      </c>
      <c r="L1241" s="69" t="s">
        <v>950</v>
      </c>
      <c r="M1241" s="70">
        <f t="shared" si="178"/>
        <v>19505.310000000001</v>
      </c>
      <c r="N1241" s="70">
        <f t="shared" si="182"/>
        <v>886.61</v>
      </c>
      <c r="O1241" s="70">
        <v>19505.310000000001</v>
      </c>
      <c r="P1241" s="65">
        <v>29460</v>
      </c>
      <c r="Q1241" s="65">
        <f t="shared" si="183"/>
        <v>6481.2</v>
      </c>
      <c r="R1241" s="65">
        <f t="shared" si="184"/>
        <v>35941.199999999997</v>
      </c>
      <c r="S1241" s="272"/>
      <c r="T1241" s="64">
        <v>53</v>
      </c>
      <c r="U1241" s="274"/>
      <c r="V1241" s="38">
        <v>33820</v>
      </c>
      <c r="W1241" s="38">
        <f t="shared" si="185"/>
        <v>7440.4</v>
      </c>
      <c r="X1241" s="38">
        <f t="shared" si="186"/>
        <v>41260.400000000001</v>
      </c>
    </row>
    <row r="1242" spans="1:24" ht="15" customHeight="1" x14ac:dyDescent="0.35">
      <c r="A1242" s="56" t="s">
        <v>3491</v>
      </c>
      <c r="B1242" s="2">
        <v>1186</v>
      </c>
      <c r="C1242" s="77">
        <v>10119231</v>
      </c>
      <c r="D1242" s="74" t="s">
        <v>1643</v>
      </c>
      <c r="E1242" s="74" t="s">
        <v>2167</v>
      </c>
      <c r="F1242" s="75">
        <v>1</v>
      </c>
      <c r="G1242" s="64" t="s">
        <v>0</v>
      </c>
      <c r="H1242" s="78">
        <v>41320</v>
      </c>
      <c r="I1242" s="4" t="s">
        <v>957</v>
      </c>
      <c r="J1242" s="63" t="s">
        <v>1917</v>
      </c>
      <c r="K1242" s="63" t="s">
        <v>961</v>
      </c>
      <c r="L1242" s="69" t="s">
        <v>950</v>
      </c>
      <c r="M1242" s="70">
        <f t="shared" si="178"/>
        <v>33361.01</v>
      </c>
      <c r="N1242" s="70">
        <f t="shared" si="182"/>
        <v>33361.01</v>
      </c>
      <c r="O1242" s="70">
        <v>33361.01</v>
      </c>
      <c r="P1242" s="65">
        <v>53180</v>
      </c>
      <c r="Q1242" s="65">
        <f t="shared" si="183"/>
        <v>11699.6</v>
      </c>
      <c r="R1242" s="65">
        <f t="shared" si="184"/>
        <v>64879.6</v>
      </c>
      <c r="S1242" s="272"/>
      <c r="T1242" s="64">
        <v>53</v>
      </c>
      <c r="U1242" s="274"/>
      <c r="V1242" s="38">
        <v>61052</v>
      </c>
      <c r="W1242" s="38">
        <f t="shared" si="185"/>
        <v>13431.44</v>
      </c>
      <c r="X1242" s="38">
        <f t="shared" si="186"/>
        <v>74483.44</v>
      </c>
    </row>
    <row r="1243" spans="1:24" ht="15" customHeight="1" x14ac:dyDescent="0.35">
      <c r="A1243" s="56" t="s">
        <v>3492</v>
      </c>
      <c r="B1243" s="2">
        <v>1187</v>
      </c>
      <c r="C1243" s="77">
        <v>102001503</v>
      </c>
      <c r="D1243" s="74" t="s">
        <v>1684</v>
      </c>
      <c r="E1243" s="74" t="s">
        <v>2167</v>
      </c>
      <c r="F1243" s="75">
        <v>1</v>
      </c>
      <c r="G1243" s="64" t="s">
        <v>0</v>
      </c>
      <c r="H1243" s="64">
        <v>2015</v>
      </c>
      <c r="I1243" s="4" t="s">
        <v>957</v>
      </c>
      <c r="J1243" s="63" t="s">
        <v>1917</v>
      </c>
      <c r="K1243" s="63" t="s">
        <v>961</v>
      </c>
      <c r="L1243" s="69" t="s">
        <v>950</v>
      </c>
      <c r="M1243" s="70">
        <f t="shared" si="178"/>
        <v>70756.36</v>
      </c>
      <c r="N1243" s="70">
        <f t="shared" si="182"/>
        <v>70756.36</v>
      </c>
      <c r="O1243" s="70">
        <v>70756.36</v>
      </c>
      <c r="P1243" s="65">
        <v>37740</v>
      </c>
      <c r="Q1243" s="65">
        <f t="shared" si="183"/>
        <v>8302.7999999999993</v>
      </c>
      <c r="R1243" s="65">
        <f t="shared" si="184"/>
        <v>46042.8</v>
      </c>
      <c r="S1243" s="272"/>
      <c r="T1243" s="64">
        <v>53</v>
      </c>
      <c r="U1243" s="274"/>
      <c r="V1243" s="38">
        <v>43326</v>
      </c>
      <c r="W1243" s="38">
        <f t="shared" si="185"/>
        <v>9531.7199999999993</v>
      </c>
      <c r="X1243" s="38">
        <f t="shared" si="186"/>
        <v>52857.72</v>
      </c>
    </row>
    <row r="1244" spans="1:24" ht="15" customHeight="1" x14ac:dyDescent="0.35">
      <c r="A1244" s="56" t="s">
        <v>3493</v>
      </c>
      <c r="B1244" s="2">
        <v>1188</v>
      </c>
      <c r="C1244" s="77">
        <v>10110214</v>
      </c>
      <c r="D1244" s="74" t="s">
        <v>1720</v>
      </c>
      <c r="E1244" s="74" t="s">
        <v>2167</v>
      </c>
      <c r="F1244" s="75">
        <v>1</v>
      </c>
      <c r="G1244" s="64" t="s">
        <v>0</v>
      </c>
      <c r="H1244" s="78">
        <v>41516</v>
      </c>
      <c r="I1244" s="4" t="s">
        <v>957</v>
      </c>
      <c r="J1244" s="63" t="s">
        <v>1917</v>
      </c>
      <c r="K1244" s="63" t="s">
        <v>961</v>
      </c>
      <c r="L1244" s="69" t="s">
        <v>950</v>
      </c>
      <c r="M1244" s="70">
        <f t="shared" si="178"/>
        <v>10000.89</v>
      </c>
      <c r="N1244" s="70">
        <f t="shared" si="182"/>
        <v>10000.89</v>
      </c>
      <c r="O1244" s="70">
        <v>10000.89</v>
      </c>
      <c r="P1244" s="65">
        <v>16150</v>
      </c>
      <c r="Q1244" s="65">
        <f t="shared" si="183"/>
        <v>3553</v>
      </c>
      <c r="R1244" s="65">
        <f t="shared" si="184"/>
        <v>19703</v>
      </c>
      <c r="S1244" s="272"/>
      <c r="T1244" s="64">
        <v>53</v>
      </c>
      <c r="U1244" s="274"/>
      <c r="V1244" s="38">
        <v>18541</v>
      </c>
      <c r="W1244" s="38">
        <f t="shared" si="185"/>
        <v>4079.02</v>
      </c>
      <c r="X1244" s="38">
        <f t="shared" si="186"/>
        <v>22620.02</v>
      </c>
    </row>
    <row r="1245" spans="1:24" ht="15" customHeight="1" x14ac:dyDescent="0.35">
      <c r="A1245" s="56" t="s">
        <v>3494</v>
      </c>
      <c r="B1245" s="2">
        <v>1189</v>
      </c>
      <c r="C1245" s="77">
        <v>102000719</v>
      </c>
      <c r="D1245" s="74" t="s">
        <v>1723</v>
      </c>
      <c r="E1245" s="74" t="s">
        <v>2167</v>
      </c>
      <c r="F1245" s="75">
        <v>1</v>
      </c>
      <c r="G1245" s="64" t="s">
        <v>0</v>
      </c>
      <c r="H1245" s="64">
        <v>2015</v>
      </c>
      <c r="I1245" s="4" t="s">
        <v>957</v>
      </c>
      <c r="J1245" s="63" t="s">
        <v>1917</v>
      </c>
      <c r="K1245" s="63" t="s">
        <v>961</v>
      </c>
      <c r="L1245" s="69" t="s">
        <v>950</v>
      </c>
      <c r="M1245" s="70">
        <f t="shared" si="178"/>
        <v>92419.49</v>
      </c>
      <c r="N1245" s="70">
        <f t="shared" si="182"/>
        <v>92419.49</v>
      </c>
      <c r="O1245" s="70">
        <v>92419.49</v>
      </c>
      <c r="P1245" s="65">
        <v>122670</v>
      </c>
      <c r="Q1245" s="65">
        <f t="shared" si="183"/>
        <v>26987.4</v>
      </c>
      <c r="R1245" s="65">
        <f t="shared" si="184"/>
        <v>149657.4</v>
      </c>
      <c r="S1245" s="272"/>
      <c r="T1245" s="64">
        <v>53</v>
      </c>
      <c r="U1245" s="274"/>
      <c r="V1245" s="38">
        <v>140837</v>
      </c>
      <c r="W1245" s="38">
        <f t="shared" si="185"/>
        <v>30984.14</v>
      </c>
      <c r="X1245" s="38">
        <f t="shared" si="186"/>
        <v>171821.14</v>
      </c>
    </row>
    <row r="1246" spans="1:24" ht="15" customHeight="1" x14ac:dyDescent="0.35">
      <c r="A1246" s="56" t="s">
        <v>3495</v>
      </c>
      <c r="B1246" s="2">
        <v>1190</v>
      </c>
      <c r="C1246" s="77">
        <v>10100188</v>
      </c>
      <c r="D1246" s="74" t="s">
        <v>1737</v>
      </c>
      <c r="E1246" s="74" t="s">
        <v>2167</v>
      </c>
      <c r="F1246" s="75">
        <v>5</v>
      </c>
      <c r="G1246" s="64" t="s">
        <v>0</v>
      </c>
      <c r="H1246" s="78">
        <v>40544</v>
      </c>
      <c r="I1246" s="4" t="s">
        <v>957</v>
      </c>
      <c r="J1246" s="63" t="s">
        <v>1917</v>
      </c>
      <c r="K1246" s="63" t="s">
        <v>961</v>
      </c>
      <c r="L1246" s="69" t="s">
        <v>950</v>
      </c>
      <c r="M1246" s="70">
        <f t="shared" si="178"/>
        <v>3375</v>
      </c>
      <c r="N1246" s="70">
        <f t="shared" si="182"/>
        <v>675</v>
      </c>
      <c r="O1246" s="70">
        <v>3375</v>
      </c>
      <c r="P1246" s="65">
        <v>6360</v>
      </c>
      <c r="Q1246" s="65">
        <f t="shared" si="183"/>
        <v>1399.2</v>
      </c>
      <c r="R1246" s="65">
        <f t="shared" si="184"/>
        <v>7759.2</v>
      </c>
      <c r="S1246" s="272"/>
      <c r="T1246" s="64">
        <v>53</v>
      </c>
      <c r="U1246" s="274"/>
      <c r="V1246" s="38">
        <v>7306</v>
      </c>
      <c r="W1246" s="38">
        <f t="shared" si="185"/>
        <v>1607.32</v>
      </c>
      <c r="X1246" s="38">
        <f t="shared" si="186"/>
        <v>8913.32</v>
      </c>
    </row>
    <row r="1247" spans="1:24" ht="15" customHeight="1" x14ac:dyDescent="0.35">
      <c r="A1247" s="56" t="s">
        <v>3496</v>
      </c>
      <c r="B1247" s="2">
        <v>1191</v>
      </c>
      <c r="C1247" s="11">
        <v>102001670</v>
      </c>
      <c r="D1247" s="3" t="s">
        <v>1325</v>
      </c>
      <c r="E1247" s="59" t="s">
        <v>2167</v>
      </c>
      <c r="F1247" s="14">
        <v>1</v>
      </c>
      <c r="G1247" s="64" t="s">
        <v>0</v>
      </c>
      <c r="H1247" s="5">
        <v>41518</v>
      </c>
      <c r="I1247" s="4" t="s">
        <v>957</v>
      </c>
      <c r="J1247" s="63" t="s">
        <v>1917</v>
      </c>
      <c r="K1247" s="63" t="s">
        <v>961</v>
      </c>
      <c r="L1247" s="69" t="s">
        <v>950</v>
      </c>
      <c r="M1247" s="70">
        <f t="shared" si="178"/>
        <v>2083720.31</v>
      </c>
      <c r="N1247" s="70">
        <f t="shared" si="182"/>
        <v>2083720.31</v>
      </c>
      <c r="O1247" s="70">
        <v>2083720.31</v>
      </c>
      <c r="P1247" s="65">
        <v>3766750</v>
      </c>
      <c r="Q1247" s="65">
        <f t="shared" si="183"/>
        <v>828685</v>
      </c>
      <c r="R1247" s="65">
        <f t="shared" si="184"/>
        <v>4595435</v>
      </c>
      <c r="S1247" s="272"/>
      <c r="T1247" s="64">
        <v>53</v>
      </c>
      <c r="U1247" s="274"/>
      <c r="V1247" s="38">
        <v>4324629</v>
      </c>
      <c r="W1247" s="38">
        <f t="shared" si="185"/>
        <v>951418.38</v>
      </c>
      <c r="X1247" s="38">
        <f t="shared" si="186"/>
        <v>5276047.38</v>
      </c>
    </row>
    <row r="1248" spans="1:24" ht="15" customHeight="1" x14ac:dyDescent="0.35">
      <c r="A1248" s="56" t="s">
        <v>3497</v>
      </c>
      <c r="B1248" s="2">
        <v>1192</v>
      </c>
      <c r="C1248" s="11">
        <v>102001755</v>
      </c>
      <c r="D1248" s="3" t="s">
        <v>1326</v>
      </c>
      <c r="E1248" s="59" t="s">
        <v>2167</v>
      </c>
      <c r="F1248" s="14">
        <v>1</v>
      </c>
      <c r="G1248" s="64" t="s">
        <v>0</v>
      </c>
      <c r="H1248" s="5">
        <v>41518</v>
      </c>
      <c r="I1248" s="4" t="s">
        <v>957</v>
      </c>
      <c r="J1248" s="63" t="s">
        <v>1917</v>
      </c>
      <c r="K1248" s="63" t="s">
        <v>961</v>
      </c>
      <c r="L1248" s="69" t="s">
        <v>950</v>
      </c>
      <c r="M1248" s="70">
        <f t="shared" si="178"/>
        <v>1801130</v>
      </c>
      <c r="N1248" s="70">
        <f t="shared" si="182"/>
        <v>1801130</v>
      </c>
      <c r="O1248" s="70">
        <v>1801130</v>
      </c>
      <c r="P1248" s="65">
        <v>1087320</v>
      </c>
      <c r="Q1248" s="65">
        <f t="shared" si="183"/>
        <v>239210.4</v>
      </c>
      <c r="R1248" s="65">
        <f t="shared" si="184"/>
        <v>1326530.3999999999</v>
      </c>
      <c r="S1248" s="272"/>
      <c r="T1248" s="64">
        <v>53</v>
      </c>
      <c r="U1248" s="274"/>
      <c r="V1248" s="38">
        <v>1248353</v>
      </c>
      <c r="W1248" s="38">
        <f t="shared" si="185"/>
        <v>274637.65999999997</v>
      </c>
      <c r="X1248" s="38">
        <f t="shared" si="186"/>
        <v>1522990.66</v>
      </c>
    </row>
    <row r="1249" spans="1:24" ht="15" customHeight="1" x14ac:dyDescent="0.35">
      <c r="A1249" s="56" t="s">
        <v>3498</v>
      </c>
      <c r="B1249" s="2">
        <v>1193</v>
      </c>
      <c r="C1249" s="11">
        <v>10147006</v>
      </c>
      <c r="D1249" s="3" t="s">
        <v>1332</v>
      </c>
      <c r="E1249" s="59" t="s">
        <v>2167</v>
      </c>
      <c r="F1249" s="14">
        <v>40</v>
      </c>
      <c r="G1249" s="64" t="s">
        <v>0</v>
      </c>
      <c r="H1249" s="5">
        <v>41456</v>
      </c>
      <c r="I1249" s="4" t="s">
        <v>957</v>
      </c>
      <c r="J1249" s="63" t="s">
        <v>1917</v>
      </c>
      <c r="K1249" s="63" t="s">
        <v>961</v>
      </c>
      <c r="L1249" s="69" t="s">
        <v>950</v>
      </c>
      <c r="M1249" s="70">
        <f t="shared" si="178"/>
        <v>15220</v>
      </c>
      <c r="N1249" s="70">
        <f t="shared" si="182"/>
        <v>380.5</v>
      </c>
      <c r="O1249" s="70">
        <v>15220</v>
      </c>
      <c r="P1249" s="65">
        <v>16990</v>
      </c>
      <c r="Q1249" s="65">
        <f t="shared" si="183"/>
        <v>3737.8</v>
      </c>
      <c r="R1249" s="65">
        <f t="shared" si="184"/>
        <v>20727.8</v>
      </c>
      <c r="S1249" s="272"/>
      <c r="T1249" s="64">
        <v>53</v>
      </c>
      <c r="U1249" s="274"/>
      <c r="V1249" s="38">
        <v>19502</v>
      </c>
      <c r="W1249" s="38">
        <f t="shared" si="185"/>
        <v>4290.4399999999996</v>
      </c>
      <c r="X1249" s="38">
        <f t="shared" si="186"/>
        <v>23792.44</v>
      </c>
    </row>
    <row r="1250" spans="1:24" ht="15" customHeight="1" x14ac:dyDescent="0.35">
      <c r="A1250" s="56" t="s">
        <v>3499</v>
      </c>
      <c r="B1250" s="2">
        <v>1194</v>
      </c>
      <c r="C1250" s="11">
        <v>10004474</v>
      </c>
      <c r="D1250" s="3" t="s">
        <v>1345</v>
      </c>
      <c r="E1250" s="59" t="s">
        <v>2167</v>
      </c>
      <c r="F1250" s="14">
        <v>1</v>
      </c>
      <c r="G1250" s="64" t="s">
        <v>0</v>
      </c>
      <c r="H1250" s="5">
        <v>41487</v>
      </c>
      <c r="I1250" s="4" t="s">
        <v>957</v>
      </c>
      <c r="J1250" s="63" t="s">
        <v>1917</v>
      </c>
      <c r="K1250" s="63" t="s">
        <v>961</v>
      </c>
      <c r="L1250" s="69" t="s">
        <v>950</v>
      </c>
      <c r="M1250" s="70">
        <f t="shared" si="178"/>
        <v>68</v>
      </c>
      <c r="N1250" s="70">
        <f t="shared" si="182"/>
        <v>68</v>
      </c>
      <c r="O1250" s="70">
        <v>68</v>
      </c>
      <c r="P1250" s="65">
        <v>100</v>
      </c>
      <c r="Q1250" s="65">
        <f t="shared" si="183"/>
        <v>22</v>
      </c>
      <c r="R1250" s="65">
        <f t="shared" si="184"/>
        <v>122</v>
      </c>
      <c r="S1250" s="272"/>
      <c r="T1250" s="64">
        <v>53</v>
      </c>
      <c r="U1250" s="274"/>
      <c r="V1250" s="38">
        <v>117</v>
      </c>
      <c r="W1250" s="38">
        <f t="shared" si="185"/>
        <v>25.74</v>
      </c>
      <c r="X1250" s="38">
        <f t="shared" si="186"/>
        <v>142.74</v>
      </c>
    </row>
    <row r="1251" spans="1:24" ht="15" customHeight="1" x14ac:dyDescent="0.35">
      <c r="A1251" s="56" t="s">
        <v>3500</v>
      </c>
      <c r="B1251" s="2">
        <v>1195</v>
      </c>
      <c r="C1251" s="11">
        <v>10148164</v>
      </c>
      <c r="D1251" s="3" t="s">
        <v>1346</v>
      </c>
      <c r="E1251" s="59" t="s">
        <v>2167</v>
      </c>
      <c r="F1251" s="14">
        <v>50</v>
      </c>
      <c r="G1251" s="64" t="s">
        <v>0</v>
      </c>
      <c r="H1251" s="5">
        <v>41456</v>
      </c>
      <c r="I1251" s="4" t="s">
        <v>957</v>
      </c>
      <c r="J1251" s="63" t="s">
        <v>1917</v>
      </c>
      <c r="K1251" s="63" t="s">
        <v>961</v>
      </c>
      <c r="L1251" s="69" t="s">
        <v>950</v>
      </c>
      <c r="M1251" s="70">
        <f t="shared" si="178"/>
        <v>1583</v>
      </c>
      <c r="N1251" s="70">
        <f t="shared" si="182"/>
        <v>31.66</v>
      </c>
      <c r="O1251" s="70">
        <v>1583</v>
      </c>
      <c r="P1251" s="65">
        <v>950</v>
      </c>
      <c r="Q1251" s="65">
        <f t="shared" si="183"/>
        <v>209</v>
      </c>
      <c r="R1251" s="65">
        <f t="shared" si="184"/>
        <v>1159</v>
      </c>
      <c r="S1251" s="272"/>
      <c r="T1251" s="64">
        <v>53</v>
      </c>
      <c r="U1251" s="274"/>
      <c r="V1251" s="38">
        <v>1095</v>
      </c>
      <c r="W1251" s="38">
        <f t="shared" si="185"/>
        <v>240.9</v>
      </c>
      <c r="X1251" s="38">
        <f t="shared" si="186"/>
        <v>1335.9</v>
      </c>
    </row>
    <row r="1252" spans="1:24" ht="15" customHeight="1" x14ac:dyDescent="0.35">
      <c r="A1252" s="56" t="s">
        <v>3501</v>
      </c>
      <c r="B1252" s="2">
        <v>1196</v>
      </c>
      <c r="C1252" s="11">
        <v>10152922</v>
      </c>
      <c r="D1252" s="3" t="s">
        <v>1347</v>
      </c>
      <c r="E1252" s="59" t="s">
        <v>2167</v>
      </c>
      <c r="F1252" s="14">
        <v>1</v>
      </c>
      <c r="G1252" s="64" t="s">
        <v>0</v>
      </c>
      <c r="H1252" s="5">
        <v>41548</v>
      </c>
      <c r="I1252" s="4" t="s">
        <v>957</v>
      </c>
      <c r="J1252" s="63" t="s">
        <v>1917</v>
      </c>
      <c r="K1252" s="63" t="s">
        <v>961</v>
      </c>
      <c r="L1252" s="69" t="s">
        <v>950</v>
      </c>
      <c r="M1252" s="70">
        <f t="shared" si="178"/>
        <v>4451.37</v>
      </c>
      <c r="N1252" s="70">
        <f t="shared" si="182"/>
        <v>4451.37</v>
      </c>
      <c r="O1252" s="70">
        <v>4451.37</v>
      </c>
      <c r="P1252" s="65">
        <v>2690</v>
      </c>
      <c r="Q1252" s="65">
        <f t="shared" si="183"/>
        <v>591.79999999999995</v>
      </c>
      <c r="R1252" s="65">
        <f t="shared" si="184"/>
        <v>3281.8</v>
      </c>
      <c r="S1252" s="272"/>
      <c r="T1252" s="64">
        <v>53</v>
      </c>
      <c r="U1252" s="274"/>
      <c r="V1252" s="38">
        <v>3085</v>
      </c>
      <c r="W1252" s="38">
        <f t="shared" si="185"/>
        <v>678.7</v>
      </c>
      <c r="X1252" s="38">
        <f t="shared" si="186"/>
        <v>3763.7</v>
      </c>
    </row>
    <row r="1253" spans="1:24" ht="15" customHeight="1" x14ac:dyDescent="0.35">
      <c r="A1253" s="56" t="s">
        <v>3502</v>
      </c>
      <c r="B1253" s="2">
        <v>1197</v>
      </c>
      <c r="C1253" s="11">
        <v>10148028</v>
      </c>
      <c r="D1253" s="3" t="s">
        <v>1350</v>
      </c>
      <c r="E1253" s="59" t="s">
        <v>2167</v>
      </c>
      <c r="F1253" s="14">
        <v>15</v>
      </c>
      <c r="G1253" s="64" t="s">
        <v>0</v>
      </c>
      <c r="H1253" s="5">
        <v>41456</v>
      </c>
      <c r="I1253" s="4" t="s">
        <v>957</v>
      </c>
      <c r="J1253" s="63" t="s">
        <v>1917</v>
      </c>
      <c r="K1253" s="63" t="s">
        <v>961</v>
      </c>
      <c r="L1253" s="69" t="s">
        <v>950</v>
      </c>
      <c r="M1253" s="70">
        <f t="shared" si="178"/>
        <v>118426.95</v>
      </c>
      <c r="N1253" s="70">
        <f t="shared" si="182"/>
        <v>7895.13</v>
      </c>
      <c r="O1253" s="70">
        <v>118426.95</v>
      </c>
      <c r="P1253" s="65">
        <v>185000</v>
      </c>
      <c r="Q1253" s="65">
        <f t="shared" si="183"/>
        <v>40700</v>
      </c>
      <c r="R1253" s="65">
        <f t="shared" si="184"/>
        <v>225700</v>
      </c>
      <c r="S1253" s="272"/>
      <c r="T1253" s="64">
        <v>53</v>
      </c>
      <c r="U1253" s="274"/>
      <c r="V1253" s="38">
        <v>212403</v>
      </c>
      <c r="W1253" s="38">
        <f t="shared" si="185"/>
        <v>46728.66</v>
      </c>
      <c r="X1253" s="38">
        <f t="shared" si="186"/>
        <v>259131.66</v>
      </c>
    </row>
    <row r="1254" spans="1:24" ht="15" customHeight="1" x14ac:dyDescent="0.35">
      <c r="A1254" s="56" t="s">
        <v>3503</v>
      </c>
      <c r="B1254" s="2">
        <v>1198</v>
      </c>
      <c r="C1254" s="11">
        <v>10148041</v>
      </c>
      <c r="D1254" s="3" t="s">
        <v>1351</v>
      </c>
      <c r="E1254" s="59" t="s">
        <v>2167</v>
      </c>
      <c r="F1254" s="14">
        <v>3</v>
      </c>
      <c r="G1254" s="64" t="s">
        <v>0</v>
      </c>
      <c r="H1254" s="5">
        <v>41456</v>
      </c>
      <c r="I1254" s="4" t="s">
        <v>957</v>
      </c>
      <c r="J1254" s="63" t="s">
        <v>1917</v>
      </c>
      <c r="K1254" s="63" t="s">
        <v>961</v>
      </c>
      <c r="L1254" s="69" t="s">
        <v>950</v>
      </c>
      <c r="M1254" s="70">
        <f t="shared" si="178"/>
        <v>3994.5</v>
      </c>
      <c r="N1254" s="70">
        <f t="shared" si="182"/>
        <v>1331.5</v>
      </c>
      <c r="O1254" s="70">
        <v>3994.5</v>
      </c>
      <c r="P1254" s="65">
        <v>8190</v>
      </c>
      <c r="Q1254" s="65">
        <f t="shared" si="183"/>
        <v>1801.8</v>
      </c>
      <c r="R1254" s="65">
        <f t="shared" si="184"/>
        <v>9991.7999999999993</v>
      </c>
      <c r="S1254" s="272"/>
      <c r="T1254" s="64">
        <v>53</v>
      </c>
      <c r="U1254" s="274"/>
      <c r="V1254" s="38">
        <v>9400</v>
      </c>
      <c r="W1254" s="38">
        <f t="shared" si="185"/>
        <v>2068</v>
      </c>
      <c r="X1254" s="38">
        <f t="shared" si="186"/>
        <v>11468</v>
      </c>
    </row>
    <row r="1255" spans="1:24" ht="15" customHeight="1" x14ac:dyDescent="0.35">
      <c r="A1255" s="56" t="s">
        <v>3504</v>
      </c>
      <c r="B1255" s="2">
        <v>1199</v>
      </c>
      <c r="C1255" s="77">
        <v>102000137</v>
      </c>
      <c r="D1255" s="74" t="s">
        <v>295</v>
      </c>
      <c r="E1255" s="74" t="s">
        <v>2147</v>
      </c>
      <c r="F1255" s="75">
        <v>1</v>
      </c>
      <c r="G1255" s="64" t="s">
        <v>0</v>
      </c>
      <c r="H1255" s="101">
        <v>2010</v>
      </c>
      <c r="I1255" s="61" t="s">
        <v>972</v>
      </c>
      <c r="J1255" s="63" t="s">
        <v>1917</v>
      </c>
      <c r="K1255" s="61" t="s">
        <v>961</v>
      </c>
      <c r="L1255" s="61" t="s">
        <v>845</v>
      </c>
      <c r="M1255" s="65">
        <f t="shared" si="178"/>
        <v>110707.63</v>
      </c>
      <c r="N1255" s="65">
        <f t="shared" si="182"/>
        <v>110707.63</v>
      </c>
      <c r="O1255" s="65">
        <v>110707.63</v>
      </c>
      <c r="P1255" s="65">
        <v>159610</v>
      </c>
      <c r="Q1255" s="65">
        <f t="shared" si="183"/>
        <v>35114.199999999997</v>
      </c>
      <c r="R1255" s="65">
        <f t="shared" si="184"/>
        <v>194724.2</v>
      </c>
      <c r="S1255" s="272"/>
      <c r="T1255" s="64">
        <v>53</v>
      </c>
      <c r="U1255" s="274"/>
      <c r="V1255" s="38">
        <v>183252</v>
      </c>
      <c r="W1255" s="38">
        <f t="shared" si="185"/>
        <v>40315.440000000002</v>
      </c>
      <c r="X1255" s="38">
        <f t="shared" si="186"/>
        <v>223567.44</v>
      </c>
    </row>
    <row r="1256" spans="1:24" ht="30" customHeight="1" x14ac:dyDescent="0.35">
      <c r="A1256" s="56" t="s">
        <v>3505</v>
      </c>
      <c r="B1256" s="2">
        <v>1200</v>
      </c>
      <c r="C1256" s="77">
        <v>102000675</v>
      </c>
      <c r="D1256" s="74" t="s">
        <v>296</v>
      </c>
      <c r="E1256" s="74" t="s">
        <v>2147</v>
      </c>
      <c r="F1256" s="75">
        <v>1</v>
      </c>
      <c r="G1256" s="64" t="s">
        <v>0</v>
      </c>
      <c r="H1256" s="101" t="s">
        <v>2145</v>
      </c>
      <c r="I1256" s="101" t="s">
        <v>972</v>
      </c>
      <c r="J1256" s="63" t="s">
        <v>1917</v>
      </c>
      <c r="K1256" s="61" t="s">
        <v>961</v>
      </c>
      <c r="L1256" s="61" t="s">
        <v>845</v>
      </c>
      <c r="M1256" s="65">
        <f t="shared" si="178"/>
        <v>24582</v>
      </c>
      <c r="N1256" s="65">
        <f t="shared" si="182"/>
        <v>24582</v>
      </c>
      <c r="O1256" s="65">
        <v>24582</v>
      </c>
      <c r="P1256" s="65">
        <v>35440</v>
      </c>
      <c r="Q1256" s="65">
        <f t="shared" si="183"/>
        <v>7796.8</v>
      </c>
      <c r="R1256" s="65">
        <f t="shared" si="184"/>
        <v>43236.800000000003</v>
      </c>
      <c r="S1256" s="272"/>
      <c r="T1256" s="64">
        <v>53</v>
      </c>
      <c r="U1256" s="274"/>
      <c r="V1256" s="38">
        <v>40690</v>
      </c>
      <c r="W1256" s="38">
        <f t="shared" si="185"/>
        <v>8951.7999999999993</v>
      </c>
      <c r="X1256" s="38">
        <f t="shared" si="186"/>
        <v>49641.8</v>
      </c>
    </row>
    <row r="1257" spans="1:24" ht="15" customHeight="1" x14ac:dyDescent="0.35">
      <c r="A1257" s="56" t="s">
        <v>3506</v>
      </c>
      <c r="B1257" s="2">
        <v>1201</v>
      </c>
      <c r="C1257" s="77">
        <v>102000739</v>
      </c>
      <c r="D1257" s="74" t="s">
        <v>298</v>
      </c>
      <c r="E1257" s="74" t="s">
        <v>2147</v>
      </c>
      <c r="F1257" s="75">
        <v>1</v>
      </c>
      <c r="G1257" s="64" t="s">
        <v>0</v>
      </c>
      <c r="H1257" s="101" t="s">
        <v>2145</v>
      </c>
      <c r="I1257" s="101" t="s">
        <v>972</v>
      </c>
      <c r="J1257" s="61" t="s">
        <v>959</v>
      </c>
      <c r="K1257" s="61" t="s">
        <v>961</v>
      </c>
      <c r="L1257" s="61" t="s">
        <v>845</v>
      </c>
      <c r="M1257" s="65">
        <f t="shared" si="178"/>
        <v>171990.3</v>
      </c>
      <c r="N1257" s="65">
        <f t="shared" si="182"/>
        <v>171990.3</v>
      </c>
      <c r="O1257" s="65">
        <v>171990.3</v>
      </c>
      <c r="P1257" s="65">
        <v>192310</v>
      </c>
      <c r="Q1257" s="65">
        <f t="shared" si="183"/>
        <v>42308.2</v>
      </c>
      <c r="R1257" s="65">
        <f t="shared" si="184"/>
        <v>234618.2</v>
      </c>
      <c r="S1257" s="276"/>
      <c r="T1257" s="64">
        <v>53</v>
      </c>
      <c r="U1257" s="274"/>
      <c r="V1257" s="38">
        <v>220791</v>
      </c>
      <c r="W1257" s="38">
        <f t="shared" si="185"/>
        <v>48574.02</v>
      </c>
      <c r="X1257" s="38">
        <f t="shared" si="186"/>
        <v>269365.02</v>
      </c>
    </row>
    <row r="1258" spans="1:24" ht="15" customHeight="1" x14ac:dyDescent="0.35">
      <c r="A1258" s="56"/>
      <c r="B1258" s="15"/>
      <c r="C1258" s="77"/>
      <c r="D1258" s="74"/>
      <c r="E1258" s="74"/>
      <c r="F1258" s="75"/>
      <c r="G1258" s="64"/>
      <c r="H1258" s="101"/>
      <c r="I1258" s="101"/>
      <c r="J1258" s="61"/>
      <c r="K1258" s="61"/>
      <c r="L1258" s="61"/>
      <c r="M1258" s="65"/>
      <c r="N1258" s="65"/>
      <c r="O1258" s="126">
        <f>SUM(O1204:O1257)</f>
        <v>30105161.09</v>
      </c>
      <c r="P1258" s="126">
        <f t="shared" ref="P1258:R1258" si="187">SUM(P1204:P1257)</f>
        <v>42355630</v>
      </c>
      <c r="Q1258" s="126">
        <f t="shared" si="187"/>
        <v>9318238.5999999996</v>
      </c>
      <c r="R1258" s="126">
        <f t="shared" si="187"/>
        <v>51673868.600000001</v>
      </c>
      <c r="S1258" s="72">
        <f>R1258/100*10</f>
        <v>5167386.8600000003</v>
      </c>
      <c r="T1258" s="73">
        <v>53</v>
      </c>
      <c r="U1258" s="275"/>
      <c r="V1258" s="38"/>
      <c r="W1258" s="38"/>
      <c r="X1258" s="38"/>
    </row>
    <row r="1259" spans="1:24" ht="62.15" customHeight="1" x14ac:dyDescent="0.35">
      <c r="A1259" s="56" t="s">
        <v>3507</v>
      </c>
      <c r="B1259" s="2">
        <v>1202</v>
      </c>
      <c r="C1259" s="77">
        <v>10009278</v>
      </c>
      <c r="D1259" s="74" t="s">
        <v>168</v>
      </c>
      <c r="E1259" s="74" t="s">
        <v>4175</v>
      </c>
      <c r="F1259" s="75">
        <v>1</v>
      </c>
      <c r="G1259" s="64" t="s">
        <v>0</v>
      </c>
      <c r="H1259" s="61">
        <v>42004</v>
      </c>
      <c r="I1259" s="61" t="s">
        <v>958</v>
      </c>
      <c r="J1259" s="63" t="s">
        <v>1917</v>
      </c>
      <c r="K1259" s="88" t="s">
        <v>1956</v>
      </c>
      <c r="L1259" s="88" t="s">
        <v>845</v>
      </c>
      <c r="M1259" s="76">
        <f t="shared" ref="M1259:M1305" si="188">O1259</f>
        <v>16257.62</v>
      </c>
      <c r="N1259" s="76">
        <f t="shared" ref="N1259:N1296" si="189">O1259/F1259</f>
        <v>16257.62</v>
      </c>
      <c r="O1259" s="76">
        <v>16257.62</v>
      </c>
      <c r="P1259" s="65">
        <v>14200</v>
      </c>
      <c r="Q1259" s="65">
        <f t="shared" si="183"/>
        <v>3124</v>
      </c>
      <c r="R1259" s="65">
        <f t="shared" si="184"/>
        <v>17324</v>
      </c>
      <c r="S1259" s="267"/>
      <c r="T1259" s="64">
        <v>54</v>
      </c>
      <c r="U1259" s="273" t="s">
        <v>2275</v>
      </c>
      <c r="V1259" s="38">
        <v>15868</v>
      </c>
      <c r="W1259" s="38">
        <f t="shared" si="185"/>
        <v>3490.96</v>
      </c>
      <c r="X1259" s="38">
        <f t="shared" si="186"/>
        <v>19358.96</v>
      </c>
    </row>
    <row r="1260" spans="1:24" ht="37" customHeight="1" x14ac:dyDescent="0.35">
      <c r="A1260" s="56" t="s">
        <v>3508</v>
      </c>
      <c r="B1260" s="2">
        <v>1203</v>
      </c>
      <c r="C1260" s="77">
        <v>10130784</v>
      </c>
      <c r="D1260" s="74" t="s">
        <v>286</v>
      </c>
      <c r="E1260" s="74" t="s">
        <v>2151</v>
      </c>
      <c r="F1260" s="75">
        <v>1</v>
      </c>
      <c r="G1260" s="64" t="s">
        <v>0</v>
      </c>
      <c r="H1260" s="61">
        <v>42824</v>
      </c>
      <c r="I1260" s="61" t="s">
        <v>972</v>
      </c>
      <c r="J1260" s="63" t="s">
        <v>1917</v>
      </c>
      <c r="K1260" s="61" t="s">
        <v>961</v>
      </c>
      <c r="L1260" s="61" t="s">
        <v>845</v>
      </c>
      <c r="M1260" s="65">
        <f t="shared" si="188"/>
        <v>2152.34</v>
      </c>
      <c r="N1260" s="65">
        <f t="shared" si="189"/>
        <v>2152.34</v>
      </c>
      <c r="O1260" s="65">
        <v>2152.34</v>
      </c>
      <c r="P1260" s="65">
        <v>1610</v>
      </c>
      <c r="Q1260" s="65">
        <f t="shared" si="183"/>
        <v>354.2</v>
      </c>
      <c r="R1260" s="65">
        <f t="shared" si="184"/>
        <v>1964.2</v>
      </c>
      <c r="S1260" s="272"/>
      <c r="T1260" s="64">
        <v>54</v>
      </c>
      <c r="U1260" s="274"/>
      <c r="V1260" s="38">
        <v>1796</v>
      </c>
      <c r="W1260" s="38">
        <f t="shared" si="185"/>
        <v>395.12</v>
      </c>
      <c r="X1260" s="38">
        <f t="shared" si="186"/>
        <v>2191.12</v>
      </c>
    </row>
    <row r="1261" spans="1:24" ht="55.5" customHeight="1" x14ac:dyDescent="0.35">
      <c r="A1261" s="56" t="s">
        <v>3509</v>
      </c>
      <c r="B1261" s="2">
        <v>1204</v>
      </c>
      <c r="C1261" s="77">
        <v>10094347</v>
      </c>
      <c r="D1261" s="74" t="s">
        <v>173</v>
      </c>
      <c r="E1261" s="74" t="s">
        <v>4175</v>
      </c>
      <c r="F1261" s="75">
        <v>1</v>
      </c>
      <c r="G1261" s="64" t="s">
        <v>0</v>
      </c>
      <c r="H1261" s="61">
        <v>42004</v>
      </c>
      <c r="I1261" s="61" t="s">
        <v>958</v>
      </c>
      <c r="J1261" s="63" t="s">
        <v>955</v>
      </c>
      <c r="K1261" s="88" t="s">
        <v>1973</v>
      </c>
      <c r="L1261" s="88" t="s">
        <v>845</v>
      </c>
      <c r="M1261" s="76">
        <f t="shared" si="188"/>
        <v>11427.69</v>
      </c>
      <c r="N1261" s="76">
        <f t="shared" si="189"/>
        <v>11427.69</v>
      </c>
      <c r="O1261" s="76">
        <v>11427.69</v>
      </c>
      <c r="P1261" s="65">
        <v>9980</v>
      </c>
      <c r="Q1261" s="65">
        <f t="shared" si="183"/>
        <v>2195.6</v>
      </c>
      <c r="R1261" s="65">
        <f t="shared" si="184"/>
        <v>12175.6</v>
      </c>
      <c r="S1261" s="272"/>
      <c r="T1261" s="64">
        <v>54</v>
      </c>
      <c r="U1261" s="274"/>
      <c r="V1261" s="38">
        <v>11154</v>
      </c>
      <c r="W1261" s="38">
        <f t="shared" si="185"/>
        <v>2453.88</v>
      </c>
      <c r="X1261" s="38">
        <f t="shared" si="186"/>
        <v>13607.88</v>
      </c>
    </row>
    <row r="1262" spans="1:24" ht="42" customHeight="1" x14ac:dyDescent="0.35">
      <c r="A1262" s="56" t="s">
        <v>3510</v>
      </c>
      <c r="B1262" s="2">
        <v>1205</v>
      </c>
      <c r="C1262" s="77">
        <v>10093709</v>
      </c>
      <c r="D1262" s="74" t="s">
        <v>194</v>
      </c>
      <c r="E1262" s="74" t="s">
        <v>4175</v>
      </c>
      <c r="F1262" s="75">
        <v>2</v>
      </c>
      <c r="G1262" s="64" t="s">
        <v>0</v>
      </c>
      <c r="H1262" s="61">
        <v>39813</v>
      </c>
      <c r="I1262" s="61" t="s">
        <v>958</v>
      </c>
      <c r="J1262" s="63" t="s">
        <v>955</v>
      </c>
      <c r="K1262" s="88" t="s">
        <v>1974</v>
      </c>
      <c r="L1262" s="88" t="s">
        <v>845</v>
      </c>
      <c r="M1262" s="76">
        <f t="shared" si="188"/>
        <v>13124.02</v>
      </c>
      <c r="N1262" s="76">
        <f t="shared" si="189"/>
        <v>6562.01</v>
      </c>
      <c r="O1262" s="76">
        <v>13124.02</v>
      </c>
      <c r="P1262" s="65">
        <v>16980</v>
      </c>
      <c r="Q1262" s="65">
        <f t="shared" si="183"/>
        <v>3735.6</v>
      </c>
      <c r="R1262" s="65">
        <f t="shared" si="184"/>
        <v>20715.599999999999</v>
      </c>
      <c r="S1262" s="272"/>
      <c r="T1262" s="64">
        <v>54</v>
      </c>
      <c r="U1262" s="274"/>
      <c r="V1262" s="38">
        <v>18974</v>
      </c>
      <c r="W1262" s="38">
        <f t="shared" si="185"/>
        <v>4174.28</v>
      </c>
      <c r="X1262" s="38">
        <f t="shared" si="186"/>
        <v>23148.28</v>
      </c>
    </row>
    <row r="1263" spans="1:24" ht="15" customHeight="1" x14ac:dyDescent="0.35">
      <c r="A1263" s="56" t="s">
        <v>3511</v>
      </c>
      <c r="B1263" s="2">
        <v>1206</v>
      </c>
      <c r="C1263" s="77">
        <v>10020320</v>
      </c>
      <c r="D1263" s="74" t="s">
        <v>232</v>
      </c>
      <c r="E1263" s="74" t="s">
        <v>2154</v>
      </c>
      <c r="F1263" s="177">
        <v>3</v>
      </c>
      <c r="G1263" s="64" t="s">
        <v>0</v>
      </c>
      <c r="H1263" s="61">
        <v>39828</v>
      </c>
      <c r="I1263" s="61" t="s">
        <v>2094</v>
      </c>
      <c r="J1263" s="63" t="s">
        <v>1917</v>
      </c>
      <c r="K1263" s="61" t="s">
        <v>961</v>
      </c>
      <c r="L1263" s="88" t="s">
        <v>845</v>
      </c>
      <c r="M1263" s="76">
        <f t="shared" si="188"/>
        <v>1442.1</v>
      </c>
      <c r="N1263" s="76">
        <f t="shared" si="189"/>
        <v>480.7</v>
      </c>
      <c r="O1263" s="76">
        <v>1442.1</v>
      </c>
      <c r="P1263" s="65">
        <v>1890</v>
      </c>
      <c r="Q1263" s="65">
        <f t="shared" si="183"/>
        <v>415.8</v>
      </c>
      <c r="R1263" s="65">
        <f t="shared" si="184"/>
        <v>2305.8000000000002</v>
      </c>
      <c r="S1263" s="272"/>
      <c r="T1263" s="64">
        <v>54</v>
      </c>
      <c r="U1263" s="274"/>
      <c r="V1263" s="38">
        <v>2108</v>
      </c>
      <c r="W1263" s="38">
        <f t="shared" si="185"/>
        <v>463.76</v>
      </c>
      <c r="X1263" s="38">
        <f t="shared" si="186"/>
        <v>2571.7600000000002</v>
      </c>
    </row>
    <row r="1264" spans="1:24" ht="15" customHeight="1" x14ac:dyDescent="0.35">
      <c r="A1264" s="56" t="s">
        <v>3512</v>
      </c>
      <c r="B1264" s="2">
        <v>1207</v>
      </c>
      <c r="C1264" s="89">
        <v>102001456</v>
      </c>
      <c r="D1264" s="106" t="s">
        <v>527</v>
      </c>
      <c r="E1264" s="74" t="s">
        <v>2184</v>
      </c>
      <c r="F1264" s="75">
        <v>1</v>
      </c>
      <c r="G1264" s="64" t="s">
        <v>0</v>
      </c>
      <c r="H1264" s="61">
        <v>42004</v>
      </c>
      <c r="I1264" s="107" t="s">
        <v>976</v>
      </c>
      <c r="J1264" s="63" t="s">
        <v>1917</v>
      </c>
      <c r="K1264" s="108" t="s">
        <v>698</v>
      </c>
      <c r="L1264" s="64" t="s">
        <v>845</v>
      </c>
      <c r="M1264" s="65">
        <f t="shared" si="188"/>
        <v>199360</v>
      </c>
      <c r="N1264" s="65">
        <f t="shared" si="189"/>
        <v>199360</v>
      </c>
      <c r="O1264" s="65">
        <v>199360</v>
      </c>
      <c r="P1264" s="65">
        <v>174150</v>
      </c>
      <c r="Q1264" s="65">
        <f t="shared" si="183"/>
        <v>38313</v>
      </c>
      <c r="R1264" s="65">
        <f t="shared" si="184"/>
        <v>212463</v>
      </c>
      <c r="S1264" s="272"/>
      <c r="T1264" s="64">
        <v>54</v>
      </c>
      <c r="U1264" s="274"/>
      <c r="V1264" s="38">
        <v>194584</v>
      </c>
      <c r="W1264" s="38">
        <f t="shared" si="185"/>
        <v>42808.480000000003</v>
      </c>
      <c r="X1264" s="38">
        <f t="shared" si="186"/>
        <v>237392.48</v>
      </c>
    </row>
    <row r="1265" spans="1:24" ht="43.5" customHeight="1" x14ac:dyDescent="0.35">
      <c r="A1265" s="56" t="s">
        <v>3513</v>
      </c>
      <c r="B1265" s="2">
        <v>1208</v>
      </c>
      <c r="C1265" s="89">
        <v>10110254</v>
      </c>
      <c r="D1265" s="90" t="s">
        <v>550</v>
      </c>
      <c r="E1265" s="74" t="s">
        <v>2184</v>
      </c>
      <c r="F1265" s="75">
        <v>1</v>
      </c>
      <c r="G1265" s="64" t="s">
        <v>0</v>
      </c>
      <c r="H1265" s="61">
        <v>42004</v>
      </c>
      <c r="I1265" s="107" t="s">
        <v>976</v>
      </c>
      <c r="J1265" s="63" t="s">
        <v>1917</v>
      </c>
      <c r="K1265" s="108" t="s">
        <v>714</v>
      </c>
      <c r="L1265" s="64" t="s">
        <v>845</v>
      </c>
      <c r="M1265" s="65">
        <f t="shared" si="188"/>
        <v>18514.18</v>
      </c>
      <c r="N1265" s="65">
        <f t="shared" si="189"/>
        <v>18514.18</v>
      </c>
      <c r="O1265" s="65">
        <v>18514.18</v>
      </c>
      <c r="P1265" s="65">
        <v>16170</v>
      </c>
      <c r="Q1265" s="65">
        <f t="shared" si="183"/>
        <v>3557.4</v>
      </c>
      <c r="R1265" s="65">
        <f t="shared" si="184"/>
        <v>19727.400000000001</v>
      </c>
      <c r="S1265" s="272"/>
      <c r="T1265" s="64">
        <v>54</v>
      </c>
      <c r="U1265" s="274"/>
      <c r="V1265" s="38">
        <v>18071</v>
      </c>
      <c r="W1265" s="38">
        <f t="shared" si="185"/>
        <v>3975.62</v>
      </c>
      <c r="X1265" s="38">
        <f t="shared" si="186"/>
        <v>22046.62</v>
      </c>
    </row>
    <row r="1266" spans="1:24" ht="15" customHeight="1" x14ac:dyDescent="0.35">
      <c r="A1266" s="56" t="s">
        <v>3514</v>
      </c>
      <c r="B1266" s="2">
        <v>1209</v>
      </c>
      <c r="C1266" s="89">
        <v>102002045</v>
      </c>
      <c r="D1266" s="106" t="s">
        <v>551</v>
      </c>
      <c r="E1266" s="74" t="s">
        <v>2184</v>
      </c>
      <c r="F1266" s="75">
        <v>1</v>
      </c>
      <c r="G1266" s="64" t="s">
        <v>0</v>
      </c>
      <c r="H1266" s="61">
        <v>42004</v>
      </c>
      <c r="I1266" s="107" t="s">
        <v>976</v>
      </c>
      <c r="J1266" s="63" t="s">
        <v>1917</v>
      </c>
      <c r="K1266" s="108" t="s">
        <v>715</v>
      </c>
      <c r="L1266" s="64" t="s">
        <v>845</v>
      </c>
      <c r="M1266" s="65">
        <f t="shared" si="188"/>
        <v>67118.64</v>
      </c>
      <c r="N1266" s="65">
        <f t="shared" si="189"/>
        <v>67118.64</v>
      </c>
      <c r="O1266" s="65">
        <v>67118.64</v>
      </c>
      <c r="P1266" s="65">
        <v>58630</v>
      </c>
      <c r="Q1266" s="65">
        <f t="shared" ref="Q1266:Q1328" si="190">P1266*0.22</f>
        <v>12898.6</v>
      </c>
      <c r="R1266" s="65">
        <f t="shared" ref="R1266:R1328" si="191">P1266+Q1266</f>
        <v>71528.600000000006</v>
      </c>
      <c r="S1266" s="272"/>
      <c r="T1266" s="64">
        <v>54</v>
      </c>
      <c r="U1266" s="274"/>
      <c r="V1266" s="38">
        <v>65511</v>
      </c>
      <c r="W1266" s="38">
        <f t="shared" ref="W1266:W1328" si="192">V1266*0.22</f>
        <v>14412.42</v>
      </c>
      <c r="X1266" s="38">
        <f t="shared" si="186"/>
        <v>79923.42</v>
      </c>
    </row>
    <row r="1267" spans="1:24" ht="15" customHeight="1" x14ac:dyDescent="0.35">
      <c r="A1267" s="56" t="s">
        <v>3515</v>
      </c>
      <c r="B1267" s="2">
        <v>1210</v>
      </c>
      <c r="C1267" s="89">
        <v>10102834</v>
      </c>
      <c r="D1267" s="90" t="s">
        <v>552</v>
      </c>
      <c r="E1267" s="74" t="s">
        <v>2184</v>
      </c>
      <c r="F1267" s="75">
        <v>1</v>
      </c>
      <c r="G1267" s="64" t="s">
        <v>0</v>
      </c>
      <c r="H1267" s="61">
        <v>42004</v>
      </c>
      <c r="I1267" s="107" t="s">
        <v>976</v>
      </c>
      <c r="J1267" s="63" t="s">
        <v>1917</v>
      </c>
      <c r="K1267" s="108" t="s">
        <v>716</v>
      </c>
      <c r="L1267" s="64" t="s">
        <v>845</v>
      </c>
      <c r="M1267" s="65">
        <f t="shared" si="188"/>
        <v>6915.94</v>
      </c>
      <c r="N1267" s="65">
        <f t="shared" si="189"/>
        <v>6915.94</v>
      </c>
      <c r="O1267" s="65">
        <v>6915.94</v>
      </c>
      <c r="P1267" s="65">
        <v>6040</v>
      </c>
      <c r="Q1267" s="65">
        <f t="shared" si="190"/>
        <v>1328.8</v>
      </c>
      <c r="R1267" s="65">
        <f t="shared" si="191"/>
        <v>7368.8</v>
      </c>
      <c r="S1267" s="272"/>
      <c r="T1267" s="64">
        <v>54</v>
      </c>
      <c r="U1267" s="274"/>
      <c r="V1267" s="38">
        <v>6750</v>
      </c>
      <c r="W1267" s="38">
        <f t="shared" si="192"/>
        <v>1485</v>
      </c>
      <c r="X1267" s="38">
        <f t="shared" si="186"/>
        <v>8235</v>
      </c>
    </row>
    <row r="1268" spans="1:24" ht="15" customHeight="1" x14ac:dyDescent="0.35">
      <c r="A1268" s="56" t="s">
        <v>3516</v>
      </c>
      <c r="B1268" s="2">
        <v>1211</v>
      </c>
      <c r="C1268" s="89">
        <v>10009278</v>
      </c>
      <c r="D1268" s="90" t="s">
        <v>168</v>
      </c>
      <c r="E1268" s="74" t="s">
        <v>2184</v>
      </c>
      <c r="F1268" s="75">
        <v>1</v>
      </c>
      <c r="G1268" s="64" t="s">
        <v>0</v>
      </c>
      <c r="H1268" s="61">
        <v>42004</v>
      </c>
      <c r="I1268" s="107" t="s">
        <v>976</v>
      </c>
      <c r="J1268" s="63" t="s">
        <v>1917</v>
      </c>
      <c r="K1268" s="108" t="s">
        <v>746</v>
      </c>
      <c r="L1268" s="64" t="s">
        <v>845</v>
      </c>
      <c r="M1268" s="65">
        <f t="shared" si="188"/>
        <v>5581.03</v>
      </c>
      <c r="N1268" s="65">
        <f t="shared" si="189"/>
        <v>5581.03</v>
      </c>
      <c r="O1268" s="65">
        <v>5581.03</v>
      </c>
      <c r="P1268" s="65">
        <v>4880</v>
      </c>
      <c r="Q1268" s="65">
        <f t="shared" si="190"/>
        <v>1073.5999999999999</v>
      </c>
      <c r="R1268" s="65">
        <f t="shared" si="191"/>
        <v>5953.6</v>
      </c>
      <c r="S1268" s="272"/>
      <c r="T1268" s="64">
        <v>54</v>
      </c>
      <c r="U1268" s="274"/>
      <c r="V1268" s="38">
        <v>5447</v>
      </c>
      <c r="W1268" s="38">
        <f t="shared" si="192"/>
        <v>1198.3399999999999</v>
      </c>
      <c r="X1268" s="38">
        <f t="shared" ref="X1268:X1330" si="193">V1268+W1268</f>
        <v>6645.34</v>
      </c>
    </row>
    <row r="1269" spans="1:24" ht="15" customHeight="1" x14ac:dyDescent="0.35">
      <c r="A1269" s="56" t="s">
        <v>3517</v>
      </c>
      <c r="B1269" s="2">
        <v>1212</v>
      </c>
      <c r="C1269" s="89">
        <v>10038667</v>
      </c>
      <c r="D1269" s="90" t="s">
        <v>646</v>
      </c>
      <c r="E1269" s="74" t="s">
        <v>2184</v>
      </c>
      <c r="F1269" s="91">
        <v>2</v>
      </c>
      <c r="G1269" s="64" t="s">
        <v>0</v>
      </c>
      <c r="H1269" s="61">
        <v>42004</v>
      </c>
      <c r="I1269" s="107" t="s">
        <v>976</v>
      </c>
      <c r="J1269" s="63" t="s">
        <v>1917</v>
      </c>
      <c r="K1269" s="108" t="s">
        <v>775</v>
      </c>
      <c r="L1269" s="64" t="s">
        <v>845</v>
      </c>
      <c r="M1269" s="65">
        <f t="shared" si="188"/>
        <v>10900.5</v>
      </c>
      <c r="N1269" s="65">
        <f t="shared" si="189"/>
        <v>5450.25</v>
      </c>
      <c r="O1269" s="65">
        <v>10900.5</v>
      </c>
      <c r="P1269" s="65">
        <v>9520</v>
      </c>
      <c r="Q1269" s="65">
        <f t="shared" si="190"/>
        <v>2094.4</v>
      </c>
      <c r="R1269" s="65">
        <f t="shared" si="191"/>
        <v>11614.4</v>
      </c>
      <c r="S1269" s="272"/>
      <c r="T1269" s="64">
        <v>54</v>
      </c>
      <c r="U1269" s="274"/>
      <c r="V1269" s="38">
        <v>10639</v>
      </c>
      <c r="W1269" s="38">
        <f t="shared" si="192"/>
        <v>2340.58</v>
      </c>
      <c r="X1269" s="38">
        <f t="shared" si="193"/>
        <v>12979.58</v>
      </c>
    </row>
    <row r="1270" spans="1:24" ht="15" customHeight="1" x14ac:dyDescent="0.35">
      <c r="A1270" s="56" t="s">
        <v>3518</v>
      </c>
      <c r="B1270" s="2">
        <v>1213</v>
      </c>
      <c r="C1270" s="89">
        <v>102000723</v>
      </c>
      <c r="D1270" s="106" t="s">
        <v>662</v>
      </c>
      <c r="E1270" s="74" t="s">
        <v>2184</v>
      </c>
      <c r="F1270" s="75">
        <v>1</v>
      </c>
      <c r="G1270" s="64" t="s">
        <v>0</v>
      </c>
      <c r="H1270" s="61">
        <v>42004</v>
      </c>
      <c r="I1270" s="107" t="s">
        <v>976</v>
      </c>
      <c r="J1270" s="63" t="s">
        <v>1917</v>
      </c>
      <c r="K1270" s="108" t="s">
        <v>783</v>
      </c>
      <c r="L1270" s="64" t="s">
        <v>845</v>
      </c>
      <c r="M1270" s="65">
        <f t="shared" si="188"/>
        <v>112000</v>
      </c>
      <c r="N1270" s="65">
        <f t="shared" si="189"/>
        <v>112000</v>
      </c>
      <c r="O1270" s="65">
        <v>112000</v>
      </c>
      <c r="P1270" s="65">
        <v>97840</v>
      </c>
      <c r="Q1270" s="65">
        <f t="shared" si="190"/>
        <v>21524.799999999999</v>
      </c>
      <c r="R1270" s="65">
        <f t="shared" si="191"/>
        <v>119364.8</v>
      </c>
      <c r="S1270" s="272"/>
      <c r="T1270" s="64">
        <v>54</v>
      </c>
      <c r="U1270" s="274"/>
      <c r="V1270" s="38">
        <v>109317</v>
      </c>
      <c r="W1270" s="38">
        <f t="shared" si="192"/>
        <v>24049.74</v>
      </c>
      <c r="X1270" s="38">
        <f t="shared" si="193"/>
        <v>133366.74</v>
      </c>
    </row>
    <row r="1271" spans="1:24" ht="26.5" customHeight="1" x14ac:dyDescent="0.35">
      <c r="A1271" s="56" t="s">
        <v>3519</v>
      </c>
      <c r="B1271" s="2">
        <v>1214</v>
      </c>
      <c r="C1271" s="89">
        <v>102001012</v>
      </c>
      <c r="D1271" s="106" t="s">
        <v>644</v>
      </c>
      <c r="E1271" s="74" t="s">
        <v>686</v>
      </c>
      <c r="F1271" s="91">
        <v>1</v>
      </c>
      <c r="G1271" s="64" t="s">
        <v>0</v>
      </c>
      <c r="H1271" s="61">
        <v>42004</v>
      </c>
      <c r="I1271" s="107" t="s">
        <v>976</v>
      </c>
      <c r="J1271" s="63" t="s">
        <v>1917</v>
      </c>
      <c r="K1271" s="108" t="s">
        <v>666</v>
      </c>
      <c r="L1271" s="64" t="s">
        <v>845</v>
      </c>
      <c r="M1271" s="65">
        <f t="shared" si="188"/>
        <v>34258.81</v>
      </c>
      <c r="N1271" s="65">
        <f t="shared" si="189"/>
        <v>34258.81</v>
      </c>
      <c r="O1271" s="65">
        <v>34258.81</v>
      </c>
      <c r="P1271" s="65">
        <v>29930</v>
      </c>
      <c r="Q1271" s="65">
        <f t="shared" si="190"/>
        <v>6584.6</v>
      </c>
      <c r="R1271" s="65">
        <f t="shared" si="191"/>
        <v>36514.6</v>
      </c>
      <c r="S1271" s="272"/>
      <c r="T1271" s="64">
        <v>54</v>
      </c>
      <c r="U1271" s="274"/>
      <c r="V1271" s="38">
        <v>33438</v>
      </c>
      <c r="W1271" s="38">
        <f t="shared" si="192"/>
        <v>7356.36</v>
      </c>
      <c r="X1271" s="38">
        <f t="shared" si="193"/>
        <v>40794.36</v>
      </c>
    </row>
    <row r="1272" spans="1:24" ht="19.5" customHeight="1" x14ac:dyDescent="0.35">
      <c r="A1272" s="56" t="s">
        <v>3520</v>
      </c>
      <c r="B1272" s="2">
        <v>1215</v>
      </c>
      <c r="C1272" s="89">
        <v>10003070</v>
      </c>
      <c r="D1272" s="90" t="s">
        <v>660</v>
      </c>
      <c r="E1272" s="74" t="s">
        <v>686</v>
      </c>
      <c r="F1272" s="91">
        <v>2</v>
      </c>
      <c r="G1272" s="64" t="s">
        <v>0</v>
      </c>
      <c r="H1272" s="61">
        <v>42004</v>
      </c>
      <c r="I1272" s="107" t="s">
        <v>976</v>
      </c>
      <c r="J1272" s="63" t="s">
        <v>1917</v>
      </c>
      <c r="K1272" s="108" t="s">
        <v>836</v>
      </c>
      <c r="L1272" s="64" t="s">
        <v>845</v>
      </c>
      <c r="M1272" s="65">
        <f t="shared" si="188"/>
        <v>3508.8</v>
      </c>
      <c r="N1272" s="65">
        <f t="shared" si="189"/>
        <v>1754.4</v>
      </c>
      <c r="O1272" s="65">
        <v>3508.8</v>
      </c>
      <c r="P1272" s="65">
        <v>3070</v>
      </c>
      <c r="Q1272" s="65">
        <f t="shared" si="190"/>
        <v>675.4</v>
      </c>
      <c r="R1272" s="65">
        <f t="shared" si="191"/>
        <v>3745.4</v>
      </c>
      <c r="S1272" s="272"/>
      <c r="T1272" s="64">
        <v>54</v>
      </c>
      <c r="U1272" s="274"/>
      <c r="V1272" s="38">
        <v>3425</v>
      </c>
      <c r="W1272" s="38">
        <f t="shared" si="192"/>
        <v>753.5</v>
      </c>
      <c r="X1272" s="38">
        <f t="shared" si="193"/>
        <v>4178.5</v>
      </c>
    </row>
    <row r="1273" spans="1:24" ht="15" customHeight="1" x14ac:dyDescent="0.35">
      <c r="A1273" s="56" t="s">
        <v>3521</v>
      </c>
      <c r="B1273" s="2">
        <v>1216</v>
      </c>
      <c r="C1273" s="89">
        <v>10103097</v>
      </c>
      <c r="D1273" s="90" t="s">
        <v>679</v>
      </c>
      <c r="E1273" s="74" t="s">
        <v>686</v>
      </c>
      <c r="F1273" s="91">
        <v>2</v>
      </c>
      <c r="G1273" s="64" t="s">
        <v>0</v>
      </c>
      <c r="H1273" s="61">
        <v>42004</v>
      </c>
      <c r="I1273" s="107" t="s">
        <v>976</v>
      </c>
      <c r="J1273" s="63" t="s">
        <v>1917</v>
      </c>
      <c r="K1273" s="108" t="s">
        <v>843</v>
      </c>
      <c r="L1273" s="64" t="s">
        <v>845</v>
      </c>
      <c r="M1273" s="65">
        <f t="shared" si="188"/>
        <v>164.06</v>
      </c>
      <c r="N1273" s="65">
        <f t="shared" si="189"/>
        <v>82.03</v>
      </c>
      <c r="O1273" s="65">
        <v>164.06</v>
      </c>
      <c r="P1273" s="65">
        <v>140</v>
      </c>
      <c r="Q1273" s="65">
        <f t="shared" si="190"/>
        <v>30.8</v>
      </c>
      <c r="R1273" s="65">
        <f t="shared" si="191"/>
        <v>170.8</v>
      </c>
      <c r="S1273" s="272"/>
      <c r="T1273" s="64">
        <v>54</v>
      </c>
      <c r="U1273" s="274"/>
      <c r="V1273" s="38">
        <v>160</v>
      </c>
      <c r="W1273" s="38">
        <f t="shared" si="192"/>
        <v>35.200000000000003</v>
      </c>
      <c r="X1273" s="38">
        <f t="shared" si="193"/>
        <v>195.2</v>
      </c>
    </row>
    <row r="1274" spans="1:24" ht="15" customHeight="1" x14ac:dyDescent="0.35">
      <c r="A1274" s="56" t="s">
        <v>3522</v>
      </c>
      <c r="B1274" s="2">
        <v>1217</v>
      </c>
      <c r="C1274" s="89">
        <v>10103098</v>
      </c>
      <c r="D1274" s="90" t="s">
        <v>680</v>
      </c>
      <c r="E1274" s="74" t="s">
        <v>686</v>
      </c>
      <c r="F1274" s="91">
        <v>2</v>
      </c>
      <c r="G1274" s="64" t="s">
        <v>0</v>
      </c>
      <c r="H1274" s="61">
        <v>42004</v>
      </c>
      <c r="I1274" s="107" t="s">
        <v>976</v>
      </c>
      <c r="J1274" s="63" t="s">
        <v>1917</v>
      </c>
      <c r="K1274" s="108" t="s">
        <v>844</v>
      </c>
      <c r="L1274" s="64" t="s">
        <v>845</v>
      </c>
      <c r="M1274" s="65">
        <f t="shared" si="188"/>
        <v>164.06</v>
      </c>
      <c r="N1274" s="65">
        <f t="shared" si="189"/>
        <v>82.03</v>
      </c>
      <c r="O1274" s="65">
        <v>164.06</v>
      </c>
      <c r="P1274" s="65">
        <v>140</v>
      </c>
      <c r="Q1274" s="65">
        <f t="shared" si="190"/>
        <v>30.8</v>
      </c>
      <c r="R1274" s="65">
        <f t="shared" si="191"/>
        <v>170.8</v>
      </c>
      <c r="S1274" s="272"/>
      <c r="T1274" s="64">
        <v>54</v>
      </c>
      <c r="U1274" s="274"/>
      <c r="V1274" s="38">
        <v>160</v>
      </c>
      <c r="W1274" s="38">
        <f t="shared" si="192"/>
        <v>35.200000000000003</v>
      </c>
      <c r="X1274" s="38">
        <f t="shared" si="193"/>
        <v>195.2</v>
      </c>
    </row>
    <row r="1275" spans="1:24" ht="15" customHeight="1" x14ac:dyDescent="0.35">
      <c r="A1275" s="56" t="s">
        <v>3523</v>
      </c>
      <c r="B1275" s="2">
        <v>1218</v>
      </c>
      <c r="C1275" s="77">
        <v>10133647</v>
      </c>
      <c r="D1275" s="74" t="s">
        <v>27</v>
      </c>
      <c r="E1275" s="74" t="s">
        <v>3986</v>
      </c>
      <c r="F1275" s="75">
        <v>1</v>
      </c>
      <c r="G1275" s="64" t="s">
        <v>0</v>
      </c>
      <c r="H1275" s="61">
        <v>42153</v>
      </c>
      <c r="I1275" s="61" t="s">
        <v>972</v>
      </c>
      <c r="J1275" s="63" t="s">
        <v>959</v>
      </c>
      <c r="K1275" s="61" t="s">
        <v>961</v>
      </c>
      <c r="L1275" s="69" t="s">
        <v>2093</v>
      </c>
      <c r="M1275" s="70">
        <f t="shared" si="188"/>
        <v>40824.51</v>
      </c>
      <c r="N1275" s="70">
        <f t="shared" si="189"/>
        <v>40824.51</v>
      </c>
      <c r="O1275" s="70">
        <v>40824.51</v>
      </c>
      <c r="P1275" s="65">
        <v>37600</v>
      </c>
      <c r="Q1275" s="65">
        <f t="shared" si="190"/>
        <v>8272</v>
      </c>
      <c r="R1275" s="65">
        <f t="shared" si="191"/>
        <v>45872</v>
      </c>
      <c r="S1275" s="272"/>
      <c r="T1275" s="64">
        <v>54</v>
      </c>
      <c r="U1275" s="274"/>
      <c r="V1275" s="38">
        <v>42008</v>
      </c>
      <c r="W1275" s="38">
        <f t="shared" si="192"/>
        <v>9241.76</v>
      </c>
      <c r="X1275" s="38">
        <f t="shared" si="193"/>
        <v>51249.760000000002</v>
      </c>
    </row>
    <row r="1276" spans="1:24" ht="15" customHeight="1" x14ac:dyDescent="0.35">
      <c r="A1276" s="56" t="s">
        <v>3524</v>
      </c>
      <c r="B1276" s="2">
        <v>1219</v>
      </c>
      <c r="C1276" s="109">
        <v>102000723</v>
      </c>
      <c r="D1276" s="110" t="s">
        <v>938</v>
      </c>
      <c r="E1276" s="74" t="s">
        <v>2146</v>
      </c>
      <c r="F1276" s="91">
        <v>1</v>
      </c>
      <c r="G1276" s="64" t="s">
        <v>0</v>
      </c>
      <c r="H1276" s="124">
        <v>41944</v>
      </c>
      <c r="I1276" s="63" t="s">
        <v>972</v>
      </c>
      <c r="J1276" s="63" t="s">
        <v>1917</v>
      </c>
      <c r="K1276" s="63" t="s">
        <v>961</v>
      </c>
      <c r="L1276" s="61" t="s">
        <v>845</v>
      </c>
      <c r="M1276" s="65">
        <f t="shared" si="188"/>
        <v>112000</v>
      </c>
      <c r="N1276" s="65">
        <f t="shared" si="189"/>
        <v>112000</v>
      </c>
      <c r="O1276" s="65">
        <v>112000</v>
      </c>
      <c r="P1276" s="65">
        <v>97840</v>
      </c>
      <c r="Q1276" s="65">
        <f t="shared" si="190"/>
        <v>21524.799999999999</v>
      </c>
      <c r="R1276" s="65">
        <f t="shared" si="191"/>
        <v>119364.8</v>
      </c>
      <c r="S1276" s="272"/>
      <c r="T1276" s="64">
        <v>54</v>
      </c>
      <c r="U1276" s="274"/>
      <c r="V1276" s="38">
        <v>109317</v>
      </c>
      <c r="W1276" s="38">
        <f t="shared" si="192"/>
        <v>24049.74</v>
      </c>
      <c r="X1276" s="38">
        <f t="shared" si="193"/>
        <v>133366.74</v>
      </c>
    </row>
    <row r="1277" spans="1:24" ht="26.5" customHeight="1" x14ac:dyDescent="0.35">
      <c r="A1277" s="56" t="s">
        <v>3525</v>
      </c>
      <c r="B1277" s="2">
        <v>1220</v>
      </c>
      <c r="C1277" s="45">
        <v>10113077</v>
      </c>
      <c r="D1277" s="40" t="s">
        <v>1017</v>
      </c>
      <c r="E1277" s="74" t="s">
        <v>2185</v>
      </c>
      <c r="F1277" s="47">
        <v>1595</v>
      </c>
      <c r="G1277" s="64" t="s">
        <v>0</v>
      </c>
      <c r="H1277" s="48" t="s">
        <v>500</v>
      </c>
      <c r="I1277" s="63" t="s">
        <v>962</v>
      </c>
      <c r="J1277" s="42" t="s">
        <v>955</v>
      </c>
      <c r="K1277" s="49" t="s">
        <v>1017</v>
      </c>
      <c r="L1277" s="88" t="s">
        <v>845</v>
      </c>
      <c r="M1277" s="76">
        <f t="shared" si="188"/>
        <v>7622.24</v>
      </c>
      <c r="N1277" s="76">
        <f t="shared" si="189"/>
        <v>4.78</v>
      </c>
      <c r="O1277" s="76">
        <v>7622.24</v>
      </c>
      <c r="P1277" s="65">
        <v>7760</v>
      </c>
      <c r="Q1277" s="65">
        <f t="shared" si="190"/>
        <v>1707.2</v>
      </c>
      <c r="R1277" s="65">
        <f t="shared" si="191"/>
        <v>9467.2000000000007</v>
      </c>
      <c r="S1277" s="272"/>
      <c r="T1277" s="64">
        <v>54</v>
      </c>
      <c r="U1277" s="274"/>
      <c r="V1277" s="38">
        <v>8671</v>
      </c>
      <c r="W1277" s="38">
        <f t="shared" si="192"/>
        <v>1907.62</v>
      </c>
      <c r="X1277" s="38">
        <f t="shared" si="193"/>
        <v>10578.62</v>
      </c>
    </row>
    <row r="1278" spans="1:24" ht="30.65" customHeight="1" x14ac:dyDescent="0.35">
      <c r="A1278" s="56" t="s">
        <v>3526</v>
      </c>
      <c r="B1278" s="2">
        <v>1221</v>
      </c>
      <c r="C1278" s="45">
        <v>10101720</v>
      </c>
      <c r="D1278" s="40" t="s">
        <v>1018</v>
      </c>
      <c r="E1278" s="74" t="s">
        <v>2185</v>
      </c>
      <c r="F1278" s="47">
        <v>2235</v>
      </c>
      <c r="G1278" s="64" t="s">
        <v>0</v>
      </c>
      <c r="H1278" s="48" t="s">
        <v>500</v>
      </c>
      <c r="I1278" s="63" t="s">
        <v>962</v>
      </c>
      <c r="J1278" s="42" t="s">
        <v>955</v>
      </c>
      <c r="K1278" s="49" t="s">
        <v>1018</v>
      </c>
      <c r="L1278" s="88" t="s">
        <v>845</v>
      </c>
      <c r="M1278" s="76">
        <f t="shared" si="188"/>
        <v>28356.09</v>
      </c>
      <c r="N1278" s="76">
        <f t="shared" si="189"/>
        <v>12.69</v>
      </c>
      <c r="O1278" s="76">
        <v>28356.09</v>
      </c>
      <c r="P1278" s="65">
        <v>28870</v>
      </c>
      <c r="Q1278" s="65">
        <f t="shared" si="190"/>
        <v>6351.4</v>
      </c>
      <c r="R1278" s="65">
        <f t="shared" si="191"/>
        <v>35221.4</v>
      </c>
      <c r="S1278" s="272"/>
      <c r="T1278" s="64">
        <v>54</v>
      </c>
      <c r="U1278" s="274"/>
      <c r="V1278" s="38">
        <v>32257</v>
      </c>
      <c r="W1278" s="38">
        <f t="shared" si="192"/>
        <v>7096.54</v>
      </c>
      <c r="X1278" s="38">
        <f t="shared" si="193"/>
        <v>39353.54</v>
      </c>
    </row>
    <row r="1279" spans="1:24" ht="15" customHeight="1" x14ac:dyDescent="0.35">
      <c r="A1279" s="56" t="s">
        <v>3527</v>
      </c>
      <c r="B1279" s="2">
        <v>1222</v>
      </c>
      <c r="C1279" s="74">
        <v>102029288</v>
      </c>
      <c r="D1279" s="74" t="s">
        <v>2102</v>
      </c>
      <c r="E1279" s="74" t="s">
        <v>2147</v>
      </c>
      <c r="F1279" s="75">
        <v>1</v>
      </c>
      <c r="G1279" s="64" t="s">
        <v>0</v>
      </c>
      <c r="H1279" s="64">
        <v>2006</v>
      </c>
      <c r="I1279" s="105" t="s">
        <v>972</v>
      </c>
      <c r="J1279" s="63" t="s">
        <v>1917</v>
      </c>
      <c r="K1279" s="63" t="s">
        <v>961</v>
      </c>
      <c r="L1279" s="61" t="s">
        <v>845</v>
      </c>
      <c r="M1279" s="65">
        <f t="shared" si="188"/>
        <v>677.41</v>
      </c>
      <c r="N1279" s="65">
        <f t="shared" si="189"/>
        <v>677.41</v>
      </c>
      <c r="O1279" s="65">
        <v>677.41</v>
      </c>
      <c r="P1279" s="65">
        <v>1080</v>
      </c>
      <c r="Q1279" s="65">
        <f t="shared" si="190"/>
        <v>237.6</v>
      </c>
      <c r="R1279" s="65">
        <f t="shared" si="191"/>
        <v>1317.6</v>
      </c>
      <c r="S1279" s="272"/>
      <c r="T1279" s="64">
        <v>54</v>
      </c>
      <c r="U1279" s="274"/>
      <c r="V1279" s="38">
        <v>1206</v>
      </c>
      <c r="W1279" s="38">
        <f t="shared" si="192"/>
        <v>265.32</v>
      </c>
      <c r="X1279" s="38">
        <f t="shared" si="193"/>
        <v>1471.32</v>
      </c>
    </row>
    <row r="1280" spans="1:24" ht="30" customHeight="1" x14ac:dyDescent="0.35">
      <c r="A1280" s="56" t="s">
        <v>3528</v>
      </c>
      <c r="B1280" s="2">
        <v>1223</v>
      </c>
      <c r="C1280" s="74">
        <v>102029227</v>
      </c>
      <c r="D1280" s="74" t="s">
        <v>2103</v>
      </c>
      <c r="E1280" s="74" t="s">
        <v>2147</v>
      </c>
      <c r="F1280" s="75">
        <v>2</v>
      </c>
      <c r="G1280" s="64" t="s">
        <v>0</v>
      </c>
      <c r="H1280" s="64">
        <v>2006</v>
      </c>
      <c r="I1280" s="105" t="s">
        <v>972</v>
      </c>
      <c r="J1280" s="63" t="s">
        <v>1917</v>
      </c>
      <c r="K1280" s="63" t="s">
        <v>961</v>
      </c>
      <c r="L1280" s="61" t="s">
        <v>845</v>
      </c>
      <c r="M1280" s="65">
        <f t="shared" si="188"/>
        <v>2757.6</v>
      </c>
      <c r="N1280" s="65">
        <f t="shared" si="189"/>
        <v>1378.8</v>
      </c>
      <c r="O1280" s="65">
        <v>2757.6</v>
      </c>
      <c r="P1280" s="65">
        <v>4390</v>
      </c>
      <c r="Q1280" s="65">
        <f t="shared" si="190"/>
        <v>965.8</v>
      </c>
      <c r="R1280" s="65">
        <f t="shared" si="191"/>
        <v>5355.8</v>
      </c>
      <c r="S1280" s="272"/>
      <c r="T1280" s="64">
        <v>54</v>
      </c>
      <c r="U1280" s="274"/>
      <c r="V1280" s="38">
        <v>4910</v>
      </c>
      <c r="W1280" s="38">
        <f t="shared" si="192"/>
        <v>1080.2</v>
      </c>
      <c r="X1280" s="38">
        <f t="shared" si="193"/>
        <v>5990.2</v>
      </c>
    </row>
    <row r="1281" spans="1:24" ht="15" customHeight="1" x14ac:dyDescent="0.35">
      <c r="A1281" s="56" t="s">
        <v>3529</v>
      </c>
      <c r="B1281" s="2">
        <v>1224</v>
      </c>
      <c r="C1281" s="74">
        <v>102029226</v>
      </c>
      <c r="D1281" s="74" t="s">
        <v>2104</v>
      </c>
      <c r="E1281" s="74" t="s">
        <v>2147</v>
      </c>
      <c r="F1281" s="75">
        <v>1</v>
      </c>
      <c r="G1281" s="64" t="s">
        <v>0</v>
      </c>
      <c r="H1281" s="64">
        <v>2006</v>
      </c>
      <c r="I1281" s="105" t="s">
        <v>972</v>
      </c>
      <c r="J1281" s="63" t="s">
        <v>1917</v>
      </c>
      <c r="K1281" s="63" t="s">
        <v>961</v>
      </c>
      <c r="L1281" s="61" t="s">
        <v>845</v>
      </c>
      <c r="M1281" s="65">
        <f t="shared" si="188"/>
        <v>1378.8</v>
      </c>
      <c r="N1281" s="65">
        <f t="shared" si="189"/>
        <v>1378.8</v>
      </c>
      <c r="O1281" s="65">
        <v>1378.8</v>
      </c>
      <c r="P1281" s="65">
        <v>2200</v>
      </c>
      <c r="Q1281" s="65">
        <f t="shared" si="190"/>
        <v>484</v>
      </c>
      <c r="R1281" s="65">
        <f t="shared" si="191"/>
        <v>2684</v>
      </c>
      <c r="S1281" s="272"/>
      <c r="T1281" s="64">
        <v>54</v>
      </c>
      <c r="U1281" s="274"/>
      <c r="V1281" s="38">
        <v>2455</v>
      </c>
      <c r="W1281" s="38">
        <f t="shared" si="192"/>
        <v>540.1</v>
      </c>
      <c r="X1281" s="38">
        <f t="shared" si="193"/>
        <v>2995.1</v>
      </c>
    </row>
    <row r="1282" spans="1:24" ht="15" customHeight="1" x14ac:dyDescent="0.35">
      <c r="A1282" s="56" t="s">
        <v>3530</v>
      </c>
      <c r="B1282" s="2">
        <v>1225</v>
      </c>
      <c r="C1282" s="74">
        <v>102029225</v>
      </c>
      <c r="D1282" s="74" t="s">
        <v>2105</v>
      </c>
      <c r="E1282" s="74" t="s">
        <v>2147</v>
      </c>
      <c r="F1282" s="75">
        <v>1</v>
      </c>
      <c r="G1282" s="64" t="s">
        <v>0</v>
      </c>
      <c r="H1282" s="64">
        <v>2007</v>
      </c>
      <c r="I1282" s="105" t="s">
        <v>972</v>
      </c>
      <c r="J1282" s="63" t="s">
        <v>1917</v>
      </c>
      <c r="K1282" s="63" t="s">
        <v>961</v>
      </c>
      <c r="L1282" s="61" t="s">
        <v>845</v>
      </c>
      <c r="M1282" s="65">
        <f t="shared" si="188"/>
        <v>1556.39</v>
      </c>
      <c r="N1282" s="65">
        <f t="shared" si="189"/>
        <v>1556.39</v>
      </c>
      <c r="O1282" s="65">
        <v>1556.39</v>
      </c>
      <c r="P1282" s="65">
        <v>2210</v>
      </c>
      <c r="Q1282" s="65">
        <f t="shared" si="190"/>
        <v>486.2</v>
      </c>
      <c r="R1282" s="65">
        <f t="shared" si="191"/>
        <v>2696.2</v>
      </c>
      <c r="S1282" s="272"/>
      <c r="T1282" s="64">
        <v>54</v>
      </c>
      <c r="U1282" s="274"/>
      <c r="V1282" s="38">
        <v>2466</v>
      </c>
      <c r="W1282" s="38">
        <f t="shared" si="192"/>
        <v>542.52</v>
      </c>
      <c r="X1282" s="38">
        <f t="shared" si="193"/>
        <v>3008.52</v>
      </c>
    </row>
    <row r="1283" spans="1:24" ht="15" customHeight="1" x14ac:dyDescent="0.35">
      <c r="A1283" s="56" t="s">
        <v>3531</v>
      </c>
      <c r="B1283" s="2">
        <v>1226</v>
      </c>
      <c r="C1283" s="74">
        <v>102029235</v>
      </c>
      <c r="D1283" s="74" t="s">
        <v>2106</v>
      </c>
      <c r="E1283" s="74" t="s">
        <v>2147</v>
      </c>
      <c r="F1283" s="75">
        <v>1</v>
      </c>
      <c r="G1283" s="64" t="s">
        <v>0</v>
      </c>
      <c r="H1283" s="64">
        <v>2008</v>
      </c>
      <c r="I1283" s="105" t="s">
        <v>972</v>
      </c>
      <c r="J1283" s="63" t="s">
        <v>1917</v>
      </c>
      <c r="K1283" s="63" t="s">
        <v>961</v>
      </c>
      <c r="L1283" s="61" t="s">
        <v>845</v>
      </c>
      <c r="M1283" s="65">
        <f t="shared" si="188"/>
        <v>1477.31</v>
      </c>
      <c r="N1283" s="65">
        <f t="shared" si="189"/>
        <v>1477.31</v>
      </c>
      <c r="O1283" s="65">
        <v>1477.31</v>
      </c>
      <c r="P1283" s="65">
        <v>1910</v>
      </c>
      <c r="Q1283" s="65">
        <f t="shared" si="190"/>
        <v>420.2</v>
      </c>
      <c r="R1283" s="65">
        <f t="shared" si="191"/>
        <v>2330.1999999999998</v>
      </c>
      <c r="S1283" s="272"/>
      <c r="T1283" s="64">
        <v>54</v>
      </c>
      <c r="U1283" s="274"/>
      <c r="V1283" s="38">
        <v>2138</v>
      </c>
      <c r="W1283" s="38">
        <f t="shared" si="192"/>
        <v>470.36</v>
      </c>
      <c r="X1283" s="38">
        <f t="shared" si="193"/>
        <v>2608.36</v>
      </c>
    </row>
    <row r="1284" spans="1:24" ht="15" customHeight="1" x14ac:dyDescent="0.35">
      <c r="A1284" s="56" t="s">
        <v>3532</v>
      </c>
      <c r="B1284" s="2">
        <v>1227</v>
      </c>
      <c r="C1284" s="74">
        <v>102029233</v>
      </c>
      <c r="D1284" s="74" t="s">
        <v>2107</v>
      </c>
      <c r="E1284" s="74" t="s">
        <v>2147</v>
      </c>
      <c r="F1284" s="75">
        <v>1</v>
      </c>
      <c r="G1284" s="64" t="s">
        <v>0</v>
      </c>
      <c r="H1284" s="64">
        <v>2008</v>
      </c>
      <c r="I1284" s="105" t="s">
        <v>972</v>
      </c>
      <c r="J1284" s="63" t="s">
        <v>1917</v>
      </c>
      <c r="K1284" s="63" t="s">
        <v>961</v>
      </c>
      <c r="L1284" s="61" t="s">
        <v>845</v>
      </c>
      <c r="M1284" s="65">
        <f t="shared" si="188"/>
        <v>1309.95</v>
      </c>
      <c r="N1284" s="65">
        <f t="shared" si="189"/>
        <v>1309.95</v>
      </c>
      <c r="O1284" s="65">
        <v>1309.95</v>
      </c>
      <c r="P1284" s="65">
        <v>1700</v>
      </c>
      <c r="Q1284" s="65">
        <f t="shared" si="190"/>
        <v>374</v>
      </c>
      <c r="R1284" s="65">
        <f t="shared" si="191"/>
        <v>2074</v>
      </c>
      <c r="S1284" s="272"/>
      <c r="T1284" s="64">
        <v>54</v>
      </c>
      <c r="U1284" s="274"/>
      <c r="V1284" s="38">
        <v>1896</v>
      </c>
      <c r="W1284" s="38">
        <f t="shared" si="192"/>
        <v>417.12</v>
      </c>
      <c r="X1284" s="38">
        <f t="shared" si="193"/>
        <v>2313.12</v>
      </c>
    </row>
    <row r="1285" spans="1:24" ht="15" customHeight="1" x14ac:dyDescent="0.35">
      <c r="A1285" s="56" t="s">
        <v>3533</v>
      </c>
      <c r="B1285" s="2">
        <v>1228</v>
      </c>
      <c r="C1285" s="74">
        <v>102029259</v>
      </c>
      <c r="D1285" s="74" t="s">
        <v>2124</v>
      </c>
      <c r="E1285" s="74" t="s">
        <v>2147</v>
      </c>
      <c r="F1285" s="75">
        <v>48</v>
      </c>
      <c r="G1285" s="64" t="s">
        <v>0</v>
      </c>
      <c r="H1285" s="64">
        <v>2008</v>
      </c>
      <c r="I1285" s="105" t="s">
        <v>972</v>
      </c>
      <c r="J1285" s="63" t="s">
        <v>1917</v>
      </c>
      <c r="K1285" s="63" t="s">
        <v>961</v>
      </c>
      <c r="L1285" s="61" t="s">
        <v>845</v>
      </c>
      <c r="M1285" s="65">
        <f t="shared" si="188"/>
        <v>42921.120000000003</v>
      </c>
      <c r="N1285" s="65">
        <f t="shared" si="189"/>
        <v>894.19</v>
      </c>
      <c r="O1285" s="65">
        <v>42921.120000000003</v>
      </c>
      <c r="P1285" s="65">
        <v>55590</v>
      </c>
      <c r="Q1285" s="65">
        <f t="shared" si="190"/>
        <v>12229.8</v>
      </c>
      <c r="R1285" s="65">
        <f t="shared" si="191"/>
        <v>67819.8</v>
      </c>
      <c r="S1285" s="272"/>
      <c r="T1285" s="64">
        <v>54</v>
      </c>
      <c r="U1285" s="274"/>
      <c r="V1285" s="38">
        <v>62111</v>
      </c>
      <c r="W1285" s="38">
        <f t="shared" si="192"/>
        <v>13664.42</v>
      </c>
      <c r="X1285" s="38">
        <f t="shared" si="193"/>
        <v>75775.42</v>
      </c>
    </row>
    <row r="1286" spans="1:24" ht="15" customHeight="1" x14ac:dyDescent="0.35">
      <c r="A1286" s="56" t="s">
        <v>3534</v>
      </c>
      <c r="B1286" s="2">
        <v>1229</v>
      </c>
      <c r="C1286" s="74">
        <v>102029279</v>
      </c>
      <c r="D1286" s="74" t="s">
        <v>2125</v>
      </c>
      <c r="E1286" s="74" t="s">
        <v>2147</v>
      </c>
      <c r="F1286" s="75">
        <v>13</v>
      </c>
      <c r="G1286" s="64" t="s">
        <v>0</v>
      </c>
      <c r="H1286" s="64">
        <v>2008</v>
      </c>
      <c r="I1286" s="105" t="s">
        <v>972</v>
      </c>
      <c r="J1286" s="63" t="s">
        <v>1917</v>
      </c>
      <c r="K1286" s="63" t="s">
        <v>961</v>
      </c>
      <c r="L1286" s="61" t="s">
        <v>845</v>
      </c>
      <c r="M1286" s="65">
        <f t="shared" si="188"/>
        <v>11624.47</v>
      </c>
      <c r="N1286" s="65">
        <f t="shared" si="189"/>
        <v>894.19</v>
      </c>
      <c r="O1286" s="65">
        <v>11624.47</v>
      </c>
      <c r="P1286" s="65">
        <v>15060</v>
      </c>
      <c r="Q1286" s="65">
        <f t="shared" si="190"/>
        <v>3313.2</v>
      </c>
      <c r="R1286" s="65">
        <f t="shared" si="191"/>
        <v>18373.2</v>
      </c>
      <c r="S1286" s="272"/>
      <c r="T1286" s="64">
        <v>54</v>
      </c>
      <c r="U1286" s="274"/>
      <c r="V1286" s="38">
        <v>16822</v>
      </c>
      <c r="W1286" s="38">
        <f t="shared" si="192"/>
        <v>3700.84</v>
      </c>
      <c r="X1286" s="38">
        <f t="shared" si="193"/>
        <v>20522.84</v>
      </c>
    </row>
    <row r="1287" spans="1:24" ht="15" customHeight="1" x14ac:dyDescent="0.35">
      <c r="A1287" s="56" t="s">
        <v>3535</v>
      </c>
      <c r="B1287" s="2">
        <v>1230</v>
      </c>
      <c r="C1287" s="74">
        <v>102029311</v>
      </c>
      <c r="D1287" s="74" t="s">
        <v>2126</v>
      </c>
      <c r="E1287" s="74" t="s">
        <v>2147</v>
      </c>
      <c r="F1287" s="75">
        <v>50</v>
      </c>
      <c r="G1287" s="64" t="s">
        <v>0</v>
      </c>
      <c r="H1287" s="64">
        <v>2008</v>
      </c>
      <c r="I1287" s="105" t="s">
        <v>972</v>
      </c>
      <c r="J1287" s="63" t="s">
        <v>1917</v>
      </c>
      <c r="K1287" s="63" t="s">
        <v>961</v>
      </c>
      <c r="L1287" s="61" t="s">
        <v>845</v>
      </c>
      <c r="M1287" s="65">
        <f t="shared" si="188"/>
        <v>51613</v>
      </c>
      <c r="N1287" s="65">
        <f t="shared" si="189"/>
        <v>1032.26</v>
      </c>
      <c r="O1287" s="65">
        <v>51613</v>
      </c>
      <c r="P1287" s="65">
        <v>66850</v>
      </c>
      <c r="Q1287" s="65">
        <f t="shared" si="190"/>
        <v>14707</v>
      </c>
      <c r="R1287" s="65">
        <f t="shared" si="191"/>
        <v>81557</v>
      </c>
      <c r="S1287" s="272"/>
      <c r="T1287" s="64">
        <v>54</v>
      </c>
      <c r="U1287" s="274"/>
      <c r="V1287" s="38">
        <v>74689</v>
      </c>
      <c r="W1287" s="38">
        <f t="shared" si="192"/>
        <v>16431.580000000002</v>
      </c>
      <c r="X1287" s="38">
        <f t="shared" si="193"/>
        <v>91120.58</v>
      </c>
    </row>
    <row r="1288" spans="1:24" ht="15" customHeight="1" x14ac:dyDescent="0.35">
      <c r="A1288" s="56" t="s">
        <v>3536</v>
      </c>
      <c r="B1288" s="2">
        <v>1231</v>
      </c>
      <c r="C1288" s="74">
        <v>102029302</v>
      </c>
      <c r="D1288" s="74" t="s">
        <v>2127</v>
      </c>
      <c r="E1288" s="74" t="s">
        <v>2147</v>
      </c>
      <c r="F1288" s="75">
        <f>52-10</f>
        <v>42</v>
      </c>
      <c r="G1288" s="64" t="s">
        <v>0</v>
      </c>
      <c r="H1288" s="64">
        <v>2008</v>
      </c>
      <c r="I1288" s="105" t="s">
        <v>972</v>
      </c>
      <c r="J1288" s="63" t="s">
        <v>1917</v>
      </c>
      <c r="K1288" s="63" t="s">
        <v>961</v>
      </c>
      <c r="L1288" s="61" t="s">
        <v>845</v>
      </c>
      <c r="M1288" s="65">
        <f t="shared" si="188"/>
        <v>37555.980000000003</v>
      </c>
      <c r="N1288" s="65">
        <f t="shared" si="189"/>
        <v>894.19</v>
      </c>
      <c r="O1288" s="65">
        <f>46497.88/52*42</f>
        <v>37555.980000000003</v>
      </c>
      <c r="P1288" s="65">
        <v>48640</v>
      </c>
      <c r="Q1288" s="65">
        <f t="shared" si="190"/>
        <v>10700.8</v>
      </c>
      <c r="R1288" s="65">
        <f t="shared" si="191"/>
        <v>59340.800000000003</v>
      </c>
      <c r="S1288" s="272"/>
      <c r="T1288" s="64">
        <v>54</v>
      </c>
      <c r="U1288" s="274"/>
      <c r="V1288" s="38">
        <v>54347</v>
      </c>
      <c r="W1288" s="38">
        <f t="shared" si="192"/>
        <v>11956.34</v>
      </c>
      <c r="X1288" s="38">
        <f t="shared" si="193"/>
        <v>66303.34</v>
      </c>
    </row>
    <row r="1289" spans="1:24" ht="15" customHeight="1" x14ac:dyDescent="0.35">
      <c r="A1289" s="56" t="s">
        <v>3537</v>
      </c>
      <c r="B1289" s="2">
        <v>1232</v>
      </c>
      <c r="C1289" s="74">
        <v>102029194</v>
      </c>
      <c r="D1289" s="74" t="s">
        <v>2131</v>
      </c>
      <c r="E1289" s="74" t="s">
        <v>2147</v>
      </c>
      <c r="F1289" s="75">
        <v>40</v>
      </c>
      <c r="G1289" s="64" t="s">
        <v>0</v>
      </c>
      <c r="H1289" s="64">
        <v>2008</v>
      </c>
      <c r="I1289" s="105" t="s">
        <v>972</v>
      </c>
      <c r="J1289" s="63" t="s">
        <v>1917</v>
      </c>
      <c r="K1289" s="63" t="s">
        <v>961</v>
      </c>
      <c r="L1289" s="61" t="s">
        <v>845</v>
      </c>
      <c r="M1289" s="65">
        <f t="shared" si="188"/>
        <v>15344</v>
      </c>
      <c r="N1289" s="65">
        <f t="shared" si="189"/>
        <v>383.6</v>
      </c>
      <c r="O1289" s="65">
        <v>15344</v>
      </c>
      <c r="P1289" s="65">
        <v>19870</v>
      </c>
      <c r="Q1289" s="65">
        <f t="shared" si="190"/>
        <v>4371.3999999999996</v>
      </c>
      <c r="R1289" s="65">
        <f t="shared" si="191"/>
        <v>24241.4</v>
      </c>
      <c r="S1289" s="272"/>
      <c r="T1289" s="64">
        <v>54</v>
      </c>
      <c r="U1289" s="274"/>
      <c r="V1289" s="38">
        <v>22204</v>
      </c>
      <c r="W1289" s="38">
        <f t="shared" si="192"/>
        <v>4884.88</v>
      </c>
      <c r="X1289" s="38">
        <f t="shared" si="193"/>
        <v>27088.880000000001</v>
      </c>
    </row>
    <row r="1290" spans="1:24" ht="34" customHeight="1" x14ac:dyDescent="0.35">
      <c r="A1290" s="56" t="s">
        <v>3538</v>
      </c>
      <c r="B1290" s="2">
        <v>1233</v>
      </c>
      <c r="C1290" s="77">
        <v>10005025</v>
      </c>
      <c r="D1290" s="74" t="s">
        <v>12</v>
      </c>
      <c r="E1290" s="59" t="s">
        <v>2167</v>
      </c>
      <c r="F1290" s="75">
        <v>1</v>
      </c>
      <c r="G1290" s="64" t="s">
        <v>0</v>
      </c>
      <c r="H1290" s="101">
        <v>2014</v>
      </c>
      <c r="I1290" s="4" t="s">
        <v>957</v>
      </c>
      <c r="J1290" s="115" t="s">
        <v>2237</v>
      </c>
      <c r="K1290" s="101" t="s">
        <v>2012</v>
      </c>
      <c r="L1290" s="61" t="s">
        <v>2097</v>
      </c>
      <c r="M1290" s="65">
        <f t="shared" si="188"/>
        <v>34745.760000000002</v>
      </c>
      <c r="N1290" s="65">
        <f t="shared" si="189"/>
        <v>34745.760000000002</v>
      </c>
      <c r="O1290" s="65">
        <v>34745.760000000002</v>
      </c>
      <c r="P1290" s="65">
        <v>46430</v>
      </c>
      <c r="Q1290" s="65">
        <f t="shared" si="190"/>
        <v>10214.6</v>
      </c>
      <c r="R1290" s="65">
        <f t="shared" si="191"/>
        <v>56644.6</v>
      </c>
      <c r="S1290" s="272"/>
      <c r="T1290" s="64">
        <v>54</v>
      </c>
      <c r="U1290" s="274"/>
      <c r="V1290" s="38">
        <v>51878</v>
      </c>
      <c r="W1290" s="38">
        <f t="shared" si="192"/>
        <v>11413.16</v>
      </c>
      <c r="X1290" s="38">
        <f t="shared" si="193"/>
        <v>63291.16</v>
      </c>
    </row>
    <row r="1291" spans="1:24" ht="15" customHeight="1" x14ac:dyDescent="0.35">
      <c r="A1291" s="56" t="s">
        <v>3539</v>
      </c>
      <c r="B1291" s="2">
        <v>1234</v>
      </c>
      <c r="C1291" s="77">
        <v>10036717</v>
      </c>
      <c r="D1291" s="74" t="s">
        <v>16</v>
      </c>
      <c r="E1291" s="59" t="s">
        <v>2167</v>
      </c>
      <c r="F1291" s="75">
        <v>1</v>
      </c>
      <c r="G1291" s="64" t="s">
        <v>0</v>
      </c>
      <c r="H1291" s="101">
        <v>2014</v>
      </c>
      <c r="I1291" s="4" t="s">
        <v>957</v>
      </c>
      <c r="J1291" s="61" t="s">
        <v>1917</v>
      </c>
      <c r="K1291" s="101" t="s">
        <v>2014</v>
      </c>
      <c r="L1291" s="61" t="s">
        <v>2097</v>
      </c>
      <c r="M1291" s="65">
        <f t="shared" si="188"/>
        <v>165</v>
      </c>
      <c r="N1291" s="65">
        <f t="shared" si="189"/>
        <v>165</v>
      </c>
      <c r="O1291" s="65">
        <v>165</v>
      </c>
      <c r="P1291" s="65">
        <v>210</v>
      </c>
      <c r="Q1291" s="65">
        <f t="shared" si="190"/>
        <v>46.2</v>
      </c>
      <c r="R1291" s="65">
        <f t="shared" si="191"/>
        <v>256.2</v>
      </c>
      <c r="S1291" s="272"/>
      <c r="T1291" s="64">
        <v>54</v>
      </c>
      <c r="U1291" s="274"/>
      <c r="V1291" s="38">
        <v>231</v>
      </c>
      <c r="W1291" s="38">
        <f t="shared" si="192"/>
        <v>50.82</v>
      </c>
      <c r="X1291" s="38">
        <f t="shared" si="193"/>
        <v>281.82</v>
      </c>
    </row>
    <row r="1292" spans="1:24" ht="15" customHeight="1" x14ac:dyDescent="0.35">
      <c r="A1292" s="56" t="s">
        <v>3540</v>
      </c>
      <c r="B1292" s="2">
        <v>1235</v>
      </c>
      <c r="C1292" s="77">
        <v>10113991</v>
      </c>
      <c r="D1292" s="74" t="s">
        <v>58</v>
      </c>
      <c r="E1292" s="59" t="s">
        <v>2167</v>
      </c>
      <c r="F1292" s="75">
        <v>3</v>
      </c>
      <c r="G1292" s="64" t="s">
        <v>0</v>
      </c>
      <c r="H1292" s="101">
        <v>2014</v>
      </c>
      <c r="I1292" s="4" t="s">
        <v>957</v>
      </c>
      <c r="J1292" s="61" t="s">
        <v>1917</v>
      </c>
      <c r="K1292" s="101" t="s">
        <v>2023</v>
      </c>
      <c r="L1292" s="61" t="s">
        <v>2097</v>
      </c>
      <c r="M1292" s="65">
        <f t="shared" si="188"/>
        <v>1120.1099999999999</v>
      </c>
      <c r="N1292" s="65">
        <f t="shared" si="189"/>
        <v>373.37</v>
      </c>
      <c r="O1292" s="65">
        <v>1120.1099999999999</v>
      </c>
      <c r="P1292" s="65">
        <v>1570</v>
      </c>
      <c r="Q1292" s="65">
        <f t="shared" si="190"/>
        <v>345.4</v>
      </c>
      <c r="R1292" s="65">
        <f t="shared" si="191"/>
        <v>1915.4</v>
      </c>
      <c r="S1292" s="272"/>
      <c r="T1292" s="64">
        <v>54</v>
      </c>
      <c r="U1292" s="274"/>
      <c r="V1292" s="38">
        <v>1758</v>
      </c>
      <c r="W1292" s="38">
        <f t="shared" si="192"/>
        <v>386.76</v>
      </c>
      <c r="X1292" s="38">
        <f t="shared" si="193"/>
        <v>2144.7600000000002</v>
      </c>
    </row>
    <row r="1293" spans="1:24" ht="15" customHeight="1" x14ac:dyDescent="0.35">
      <c r="A1293" s="56" t="s">
        <v>3541</v>
      </c>
      <c r="B1293" s="2">
        <v>1236</v>
      </c>
      <c r="C1293" s="77">
        <v>10100026</v>
      </c>
      <c r="D1293" s="74" t="s">
        <v>96</v>
      </c>
      <c r="E1293" s="74" t="s">
        <v>1978</v>
      </c>
      <c r="F1293" s="75">
        <f>28-26</f>
        <v>2</v>
      </c>
      <c r="G1293" s="64" t="s">
        <v>0</v>
      </c>
      <c r="H1293" s="101">
        <v>2014</v>
      </c>
      <c r="I1293" s="4" t="s">
        <v>957</v>
      </c>
      <c r="J1293" s="101" t="s">
        <v>2210</v>
      </c>
      <c r="K1293" s="101" t="s">
        <v>2037</v>
      </c>
      <c r="L1293" s="61" t="s">
        <v>2097</v>
      </c>
      <c r="M1293" s="65">
        <f t="shared" si="188"/>
        <v>762.94</v>
      </c>
      <c r="N1293" s="65">
        <f t="shared" si="189"/>
        <v>381.47</v>
      </c>
      <c r="O1293" s="65">
        <f>10681.18/28*2</f>
        <v>762.94</v>
      </c>
      <c r="P1293" s="65">
        <v>1070</v>
      </c>
      <c r="Q1293" s="65">
        <f t="shared" si="190"/>
        <v>235.4</v>
      </c>
      <c r="R1293" s="65">
        <f t="shared" si="191"/>
        <v>1305.4000000000001</v>
      </c>
      <c r="S1293" s="272"/>
      <c r="T1293" s="64">
        <v>54</v>
      </c>
      <c r="U1293" s="274"/>
      <c r="V1293" s="38">
        <v>1197</v>
      </c>
      <c r="W1293" s="38">
        <f t="shared" si="192"/>
        <v>263.33999999999997</v>
      </c>
      <c r="X1293" s="38">
        <f t="shared" si="193"/>
        <v>1460.34</v>
      </c>
    </row>
    <row r="1294" spans="1:24" ht="15" customHeight="1" x14ac:dyDescent="0.35">
      <c r="A1294" s="56" t="s">
        <v>4000</v>
      </c>
      <c r="B1294" s="2">
        <v>1237</v>
      </c>
      <c r="C1294" s="77">
        <v>10100026</v>
      </c>
      <c r="D1294" s="74" t="s">
        <v>96</v>
      </c>
      <c r="E1294" s="59" t="s">
        <v>2167</v>
      </c>
      <c r="F1294" s="75">
        <v>26</v>
      </c>
      <c r="G1294" s="64" t="s">
        <v>0</v>
      </c>
      <c r="H1294" s="101">
        <v>2014</v>
      </c>
      <c r="I1294" s="4" t="s">
        <v>957</v>
      </c>
      <c r="J1294" s="63" t="s">
        <v>1917</v>
      </c>
      <c r="K1294" s="63" t="s">
        <v>961</v>
      </c>
      <c r="L1294" s="69" t="s">
        <v>950</v>
      </c>
      <c r="M1294" s="65">
        <f t="shared" si="188"/>
        <v>9918.24</v>
      </c>
      <c r="N1294" s="65">
        <f t="shared" si="189"/>
        <v>381.47</v>
      </c>
      <c r="O1294" s="65">
        <v>9918.24</v>
      </c>
      <c r="P1294" s="65">
        <v>16330</v>
      </c>
      <c r="Q1294" s="65">
        <f t="shared" si="190"/>
        <v>3592.6</v>
      </c>
      <c r="R1294" s="65">
        <f t="shared" si="191"/>
        <v>19922.599999999999</v>
      </c>
      <c r="S1294" s="272"/>
      <c r="T1294" s="64">
        <v>54</v>
      </c>
      <c r="U1294" s="274"/>
      <c r="V1294" s="38">
        <v>18250</v>
      </c>
      <c r="W1294" s="38">
        <f t="shared" si="192"/>
        <v>4015</v>
      </c>
      <c r="X1294" s="38">
        <f t="shared" si="193"/>
        <v>22265</v>
      </c>
    </row>
    <row r="1295" spans="1:24" ht="15" customHeight="1" x14ac:dyDescent="0.35">
      <c r="A1295" s="56" t="s">
        <v>3542</v>
      </c>
      <c r="B1295" s="2">
        <v>1238</v>
      </c>
      <c r="C1295" s="77">
        <v>10017478</v>
      </c>
      <c r="D1295" s="74" t="s">
        <v>117</v>
      </c>
      <c r="E1295" s="74" t="s">
        <v>1978</v>
      </c>
      <c r="F1295" s="75">
        <v>102</v>
      </c>
      <c r="G1295" s="64" t="s">
        <v>0</v>
      </c>
      <c r="H1295" s="101">
        <v>2014</v>
      </c>
      <c r="I1295" s="4" t="s">
        <v>957</v>
      </c>
      <c r="J1295" s="61" t="s">
        <v>1917</v>
      </c>
      <c r="K1295" s="101" t="s">
        <v>2046</v>
      </c>
      <c r="L1295" s="61" t="s">
        <v>2097</v>
      </c>
      <c r="M1295" s="65">
        <f t="shared" si="188"/>
        <v>438600</v>
      </c>
      <c r="N1295" s="65">
        <f t="shared" si="189"/>
        <v>4300</v>
      </c>
      <c r="O1295" s="65">
        <v>438600</v>
      </c>
      <c r="P1295" s="65">
        <v>419750</v>
      </c>
      <c r="Q1295" s="65">
        <f t="shared" si="190"/>
        <v>92345</v>
      </c>
      <c r="R1295" s="65">
        <f t="shared" si="191"/>
        <v>512095</v>
      </c>
      <c r="S1295" s="272"/>
      <c r="T1295" s="64">
        <v>54</v>
      </c>
      <c r="U1295" s="274"/>
      <c r="V1295" s="38">
        <v>468990</v>
      </c>
      <c r="W1295" s="38">
        <f t="shared" si="192"/>
        <v>103177.8</v>
      </c>
      <c r="X1295" s="38">
        <f t="shared" si="193"/>
        <v>572167.80000000005</v>
      </c>
    </row>
    <row r="1296" spans="1:24" ht="32.5" customHeight="1" x14ac:dyDescent="0.35">
      <c r="A1296" s="56" t="s">
        <v>3543</v>
      </c>
      <c r="B1296" s="2">
        <v>1239</v>
      </c>
      <c r="C1296" s="77">
        <v>10142208</v>
      </c>
      <c r="D1296" s="74" t="s">
        <v>29</v>
      </c>
      <c r="E1296" s="59" t="s">
        <v>2167</v>
      </c>
      <c r="F1296" s="75">
        <v>1</v>
      </c>
      <c r="G1296" s="64" t="s">
        <v>0</v>
      </c>
      <c r="H1296" s="61" t="s">
        <v>494</v>
      </c>
      <c r="I1296" s="4" t="s">
        <v>957</v>
      </c>
      <c r="J1296" s="146" t="s">
        <v>2089</v>
      </c>
      <c r="K1296" s="173" t="s">
        <v>961</v>
      </c>
      <c r="L1296" s="61" t="s">
        <v>2097</v>
      </c>
      <c r="M1296" s="65">
        <f t="shared" si="188"/>
        <v>13251</v>
      </c>
      <c r="N1296" s="65">
        <f t="shared" si="189"/>
        <v>13251</v>
      </c>
      <c r="O1296" s="65">
        <v>13251</v>
      </c>
      <c r="P1296" s="65">
        <v>16780</v>
      </c>
      <c r="Q1296" s="65">
        <f t="shared" si="190"/>
        <v>3691.6</v>
      </c>
      <c r="R1296" s="65">
        <f t="shared" si="191"/>
        <v>20471.599999999999</v>
      </c>
      <c r="S1296" s="276"/>
      <c r="T1296" s="64">
        <v>54</v>
      </c>
      <c r="U1296" s="274"/>
      <c r="V1296" s="38">
        <v>18754</v>
      </c>
      <c r="W1296" s="38">
        <f t="shared" si="192"/>
        <v>4125.88</v>
      </c>
      <c r="X1296" s="38">
        <f t="shared" si="193"/>
        <v>22879.88</v>
      </c>
    </row>
    <row r="1297" spans="1:24" ht="15" customHeight="1" x14ac:dyDescent="0.35">
      <c r="A1297" s="56"/>
      <c r="B1297" s="15"/>
      <c r="C1297" s="77"/>
      <c r="D1297" s="74"/>
      <c r="E1297" s="74"/>
      <c r="F1297" s="75"/>
      <c r="G1297" s="64"/>
      <c r="H1297" s="61"/>
      <c r="I1297" s="4"/>
      <c r="J1297" s="146"/>
      <c r="K1297" s="173"/>
      <c r="L1297" s="61"/>
      <c r="M1297" s="65"/>
      <c r="N1297" s="65"/>
      <c r="O1297" s="126">
        <f>SUM(O1259:O1296)</f>
        <v>1358471.71</v>
      </c>
      <c r="P1297" s="126">
        <f>SUM(P1259:P1296)</f>
        <v>1338880</v>
      </c>
      <c r="Q1297" s="126">
        <f>SUM(Q1259:Q1296)</f>
        <v>294553.59999999998</v>
      </c>
      <c r="R1297" s="126">
        <f>SUM(R1259:R1296)</f>
        <v>1633433.6000000001</v>
      </c>
      <c r="S1297" s="72">
        <f>R1297/100*10</f>
        <v>163343.35999999999</v>
      </c>
      <c r="T1297" s="73">
        <v>54</v>
      </c>
      <c r="U1297" s="275"/>
      <c r="V1297" s="38"/>
      <c r="W1297" s="38"/>
      <c r="X1297" s="38"/>
    </row>
    <row r="1298" spans="1:24" ht="39" customHeight="1" x14ac:dyDescent="0.35">
      <c r="A1298" s="56" t="s">
        <v>3544</v>
      </c>
      <c r="B1298" s="2">
        <v>1240</v>
      </c>
      <c r="C1298" s="77">
        <v>10019464</v>
      </c>
      <c r="D1298" s="74" t="s">
        <v>1488</v>
      </c>
      <c r="E1298" s="59" t="s">
        <v>2167</v>
      </c>
      <c r="F1298" s="75">
        <v>1</v>
      </c>
      <c r="G1298" s="64" t="s">
        <v>0</v>
      </c>
      <c r="H1298" s="78">
        <v>40863</v>
      </c>
      <c r="I1298" s="4" t="s">
        <v>957</v>
      </c>
      <c r="J1298" s="63" t="s">
        <v>1917</v>
      </c>
      <c r="K1298" s="63" t="s">
        <v>961</v>
      </c>
      <c r="L1298" s="69" t="s">
        <v>950</v>
      </c>
      <c r="M1298" s="70">
        <f t="shared" si="188"/>
        <v>5799.64</v>
      </c>
      <c r="N1298" s="70">
        <f>O1298/F1298</f>
        <v>5799.64</v>
      </c>
      <c r="O1298" s="70">
        <v>5799.64</v>
      </c>
      <c r="P1298" s="65">
        <v>11770</v>
      </c>
      <c r="Q1298" s="65">
        <f t="shared" si="190"/>
        <v>2589.4</v>
      </c>
      <c r="R1298" s="65">
        <f t="shared" si="191"/>
        <v>14359.4</v>
      </c>
      <c r="S1298" s="267"/>
      <c r="T1298" s="64">
        <v>55</v>
      </c>
      <c r="U1298" s="273" t="s">
        <v>2276</v>
      </c>
      <c r="V1298" s="38">
        <v>12652</v>
      </c>
      <c r="W1298" s="38">
        <f t="shared" si="192"/>
        <v>2783.44</v>
      </c>
      <c r="X1298" s="38">
        <f t="shared" si="193"/>
        <v>15435.44</v>
      </c>
    </row>
    <row r="1299" spans="1:24" ht="15" customHeight="1" x14ac:dyDescent="0.35">
      <c r="A1299" s="56" t="s">
        <v>3545</v>
      </c>
      <c r="B1299" s="2">
        <v>1241</v>
      </c>
      <c r="C1299" s="77">
        <v>10056964</v>
      </c>
      <c r="D1299" s="74" t="s">
        <v>1506</v>
      </c>
      <c r="E1299" s="59" t="s">
        <v>2167</v>
      </c>
      <c r="F1299" s="75">
        <v>1</v>
      </c>
      <c r="G1299" s="64" t="s">
        <v>0</v>
      </c>
      <c r="H1299" s="78">
        <v>41182</v>
      </c>
      <c r="I1299" s="4" t="s">
        <v>957</v>
      </c>
      <c r="J1299" s="63" t="s">
        <v>1927</v>
      </c>
      <c r="K1299" s="63" t="s">
        <v>961</v>
      </c>
      <c r="L1299" s="69" t="s">
        <v>950</v>
      </c>
      <c r="M1299" s="70">
        <f t="shared" si="188"/>
        <v>11719.49</v>
      </c>
      <c r="N1299" s="70">
        <f>O1299/F1299</f>
        <v>11719.49</v>
      </c>
      <c r="O1299" s="70">
        <v>11719.49</v>
      </c>
      <c r="P1299" s="65">
        <v>22490</v>
      </c>
      <c r="Q1299" s="65">
        <f t="shared" si="190"/>
        <v>4947.8</v>
      </c>
      <c r="R1299" s="65">
        <f t="shared" si="191"/>
        <v>27437.8</v>
      </c>
      <c r="S1299" s="272"/>
      <c r="T1299" s="64">
        <v>55</v>
      </c>
      <c r="U1299" s="274"/>
      <c r="V1299" s="38">
        <v>24179</v>
      </c>
      <c r="W1299" s="38">
        <f t="shared" si="192"/>
        <v>5319.38</v>
      </c>
      <c r="X1299" s="38">
        <f t="shared" si="193"/>
        <v>29498.38</v>
      </c>
    </row>
    <row r="1300" spans="1:24" ht="15" customHeight="1" x14ac:dyDescent="0.35">
      <c r="A1300" s="56" t="s">
        <v>3546</v>
      </c>
      <c r="B1300" s="2">
        <v>1242</v>
      </c>
      <c r="C1300" s="77">
        <v>10122615</v>
      </c>
      <c r="D1300" s="74" t="s">
        <v>1507</v>
      </c>
      <c r="E1300" s="59" t="s">
        <v>2167</v>
      </c>
      <c r="F1300" s="75">
        <v>4</v>
      </c>
      <c r="G1300" s="64" t="s">
        <v>0</v>
      </c>
      <c r="H1300" s="78">
        <v>40949</v>
      </c>
      <c r="I1300" s="4" t="s">
        <v>957</v>
      </c>
      <c r="J1300" s="63" t="s">
        <v>1927</v>
      </c>
      <c r="K1300" s="63" t="s">
        <v>961</v>
      </c>
      <c r="L1300" s="69" t="s">
        <v>950</v>
      </c>
      <c r="M1300" s="70">
        <f t="shared" si="188"/>
        <v>78343.199999999997</v>
      </c>
      <c r="N1300" s="70">
        <f>O1300/F1300</f>
        <v>19585.8</v>
      </c>
      <c r="O1300" s="70">
        <v>78343.199999999997</v>
      </c>
      <c r="P1300" s="65">
        <v>158110</v>
      </c>
      <c r="Q1300" s="65">
        <f t="shared" si="190"/>
        <v>34784.199999999997</v>
      </c>
      <c r="R1300" s="65">
        <f t="shared" si="191"/>
        <v>192894.2</v>
      </c>
      <c r="S1300" s="272"/>
      <c r="T1300" s="64">
        <v>55</v>
      </c>
      <c r="U1300" s="274"/>
      <c r="V1300" s="38">
        <v>170009</v>
      </c>
      <c r="W1300" s="38">
        <f t="shared" si="192"/>
        <v>37401.980000000003</v>
      </c>
      <c r="X1300" s="38">
        <f t="shared" si="193"/>
        <v>207410.98</v>
      </c>
    </row>
    <row r="1301" spans="1:24" ht="15" customHeight="1" x14ac:dyDescent="0.35">
      <c r="A1301" s="56" t="s">
        <v>3547</v>
      </c>
      <c r="B1301" s="2">
        <v>1243</v>
      </c>
      <c r="C1301" s="77">
        <v>10108547</v>
      </c>
      <c r="D1301" s="74" t="s">
        <v>1508</v>
      </c>
      <c r="E1301" s="59" t="s">
        <v>2167</v>
      </c>
      <c r="F1301" s="75">
        <v>2</v>
      </c>
      <c r="G1301" s="64" t="s">
        <v>0</v>
      </c>
      <c r="H1301" s="78">
        <v>40353</v>
      </c>
      <c r="I1301" s="4" t="s">
        <v>957</v>
      </c>
      <c r="J1301" s="63" t="s">
        <v>1927</v>
      </c>
      <c r="K1301" s="63" t="s">
        <v>961</v>
      </c>
      <c r="L1301" s="69" t="s">
        <v>950</v>
      </c>
      <c r="M1301" s="70">
        <f t="shared" si="188"/>
        <v>31955.34</v>
      </c>
      <c r="N1301" s="70">
        <f>O1301/F1301</f>
        <v>15977.67</v>
      </c>
      <c r="O1301" s="70">
        <v>31955.34</v>
      </c>
      <c r="P1301" s="65">
        <v>68740</v>
      </c>
      <c r="Q1301" s="65">
        <f t="shared" si="190"/>
        <v>15122.8</v>
      </c>
      <c r="R1301" s="65">
        <f t="shared" si="191"/>
        <v>83862.8</v>
      </c>
      <c r="S1301" s="272"/>
      <c r="T1301" s="64">
        <v>55</v>
      </c>
      <c r="U1301" s="274"/>
      <c r="V1301" s="38">
        <v>73917</v>
      </c>
      <c r="W1301" s="38">
        <f t="shared" si="192"/>
        <v>16261.74</v>
      </c>
      <c r="X1301" s="38">
        <f t="shared" si="193"/>
        <v>90178.74</v>
      </c>
    </row>
    <row r="1302" spans="1:24" ht="15" customHeight="1" x14ac:dyDescent="0.35">
      <c r="A1302" s="56" t="s">
        <v>3548</v>
      </c>
      <c r="B1302" s="2">
        <v>1244</v>
      </c>
      <c r="C1302" s="77">
        <v>10108628</v>
      </c>
      <c r="D1302" s="74" t="s">
        <v>1509</v>
      </c>
      <c r="E1302" s="59" t="s">
        <v>2167</v>
      </c>
      <c r="F1302" s="75">
        <v>1</v>
      </c>
      <c r="G1302" s="64" t="s">
        <v>0</v>
      </c>
      <c r="H1302" s="78">
        <v>40353</v>
      </c>
      <c r="I1302" s="4" t="s">
        <v>957</v>
      </c>
      <c r="J1302" s="63" t="s">
        <v>1927</v>
      </c>
      <c r="K1302" s="63" t="s">
        <v>961</v>
      </c>
      <c r="L1302" s="69" t="s">
        <v>950</v>
      </c>
      <c r="M1302" s="70">
        <f t="shared" si="188"/>
        <v>15977.67</v>
      </c>
      <c r="N1302" s="70">
        <f>O1302/F1302</f>
        <v>15977.67</v>
      </c>
      <c r="O1302" s="70">
        <v>15977.67</v>
      </c>
      <c r="P1302" s="65">
        <v>11280</v>
      </c>
      <c r="Q1302" s="65">
        <f t="shared" si="190"/>
        <v>2481.6</v>
      </c>
      <c r="R1302" s="65">
        <f t="shared" si="191"/>
        <v>13761.6</v>
      </c>
      <c r="S1302" s="276"/>
      <c r="T1302" s="64">
        <v>55</v>
      </c>
      <c r="U1302" s="274"/>
      <c r="V1302" s="38">
        <v>12131</v>
      </c>
      <c r="W1302" s="38">
        <f t="shared" si="192"/>
        <v>2668.82</v>
      </c>
      <c r="X1302" s="38">
        <f t="shared" si="193"/>
        <v>14799.82</v>
      </c>
    </row>
    <row r="1303" spans="1:24" ht="15" customHeight="1" x14ac:dyDescent="0.35">
      <c r="A1303" s="56"/>
      <c r="B1303" s="15"/>
      <c r="C1303" s="77"/>
      <c r="D1303" s="74"/>
      <c r="E1303" s="74"/>
      <c r="F1303" s="75"/>
      <c r="G1303" s="64"/>
      <c r="H1303" s="78"/>
      <c r="I1303" s="4"/>
      <c r="J1303" s="63"/>
      <c r="K1303" s="63"/>
      <c r="L1303" s="69"/>
      <c r="M1303" s="70"/>
      <c r="N1303" s="70"/>
      <c r="O1303" s="71">
        <f>SUM(O1298:O1302)</f>
        <v>143795.34</v>
      </c>
      <c r="P1303" s="71">
        <f t="shared" ref="P1303:R1303" si="194">SUM(P1298:P1302)</f>
        <v>272390</v>
      </c>
      <c r="Q1303" s="71">
        <f t="shared" si="194"/>
        <v>59925.8</v>
      </c>
      <c r="R1303" s="71">
        <f t="shared" si="194"/>
        <v>332315.8</v>
      </c>
      <c r="S1303" s="72">
        <f>R1303/100*10</f>
        <v>33231.58</v>
      </c>
      <c r="T1303" s="73">
        <v>55</v>
      </c>
      <c r="U1303" s="275"/>
      <c r="V1303" s="38"/>
      <c r="W1303" s="38"/>
      <c r="X1303" s="38"/>
    </row>
    <row r="1304" spans="1:24" ht="15" customHeight="1" x14ac:dyDescent="0.35">
      <c r="A1304" s="56" t="s">
        <v>3549</v>
      </c>
      <c r="B1304" s="2">
        <v>1245</v>
      </c>
      <c r="C1304" s="89">
        <v>10123798</v>
      </c>
      <c r="D1304" s="90" t="s">
        <v>548</v>
      </c>
      <c r="E1304" s="74" t="s">
        <v>686</v>
      </c>
      <c r="F1304" s="75">
        <v>1</v>
      </c>
      <c r="G1304" s="64" t="s">
        <v>0</v>
      </c>
      <c r="H1304" s="61">
        <v>42004</v>
      </c>
      <c r="I1304" s="107" t="s">
        <v>976</v>
      </c>
      <c r="J1304" s="63" t="s">
        <v>1917</v>
      </c>
      <c r="K1304" s="108" t="s">
        <v>798</v>
      </c>
      <c r="L1304" s="64" t="s">
        <v>845</v>
      </c>
      <c r="M1304" s="65">
        <f t="shared" si="188"/>
        <v>2475.36</v>
      </c>
      <c r="N1304" s="65">
        <f>O1304/F1304</f>
        <v>2475.36</v>
      </c>
      <c r="O1304" s="65">
        <v>2475.36</v>
      </c>
      <c r="P1304" s="65">
        <v>960</v>
      </c>
      <c r="Q1304" s="65">
        <f t="shared" si="190"/>
        <v>211.2</v>
      </c>
      <c r="R1304" s="65">
        <f t="shared" si="191"/>
        <v>1171.2</v>
      </c>
      <c r="S1304" s="267"/>
      <c r="T1304" s="64">
        <v>56</v>
      </c>
      <c r="U1304" s="273" t="s">
        <v>2277</v>
      </c>
      <c r="V1304" s="38">
        <v>957</v>
      </c>
      <c r="W1304" s="38">
        <f t="shared" si="192"/>
        <v>210.54</v>
      </c>
      <c r="X1304" s="38">
        <f t="shared" si="193"/>
        <v>1167.54</v>
      </c>
    </row>
    <row r="1305" spans="1:24" ht="15" customHeight="1" x14ac:dyDescent="0.35">
      <c r="A1305" s="56" t="s">
        <v>3550</v>
      </c>
      <c r="B1305" s="2">
        <v>1246</v>
      </c>
      <c r="C1305" s="89">
        <v>10123797</v>
      </c>
      <c r="D1305" s="90" t="s">
        <v>638</v>
      </c>
      <c r="E1305" s="74" t="s">
        <v>686</v>
      </c>
      <c r="F1305" s="91">
        <v>4</v>
      </c>
      <c r="G1305" s="64" t="s">
        <v>0</v>
      </c>
      <c r="H1305" s="61">
        <v>42004</v>
      </c>
      <c r="I1305" s="107" t="s">
        <v>976</v>
      </c>
      <c r="J1305" s="63" t="s">
        <v>1917</v>
      </c>
      <c r="K1305" s="108" t="s">
        <v>665</v>
      </c>
      <c r="L1305" s="64" t="s">
        <v>845</v>
      </c>
      <c r="M1305" s="65">
        <f t="shared" si="188"/>
        <v>5269.6</v>
      </c>
      <c r="N1305" s="65">
        <f>O1305/F1305</f>
        <v>1317.4</v>
      </c>
      <c r="O1305" s="65">
        <v>5269.6</v>
      </c>
      <c r="P1305" s="65">
        <v>3860</v>
      </c>
      <c r="Q1305" s="65">
        <f t="shared" si="190"/>
        <v>849.2</v>
      </c>
      <c r="R1305" s="65">
        <f t="shared" si="191"/>
        <v>4709.2</v>
      </c>
      <c r="S1305" s="276"/>
      <c r="T1305" s="64">
        <v>56</v>
      </c>
      <c r="U1305" s="274"/>
      <c r="V1305" s="38">
        <v>3861</v>
      </c>
      <c r="W1305" s="38">
        <f t="shared" si="192"/>
        <v>849.42</v>
      </c>
      <c r="X1305" s="38">
        <f t="shared" si="193"/>
        <v>4710.42</v>
      </c>
    </row>
    <row r="1306" spans="1:24" ht="15" customHeight="1" x14ac:dyDescent="0.35">
      <c r="A1306" s="56"/>
      <c r="B1306" s="15"/>
      <c r="C1306" s="89"/>
      <c r="D1306" s="90"/>
      <c r="E1306" s="74"/>
      <c r="F1306" s="91"/>
      <c r="G1306" s="64"/>
      <c r="H1306" s="61"/>
      <c r="I1306" s="107"/>
      <c r="J1306" s="63"/>
      <c r="K1306" s="108"/>
      <c r="L1306" s="64"/>
      <c r="M1306" s="65"/>
      <c r="N1306" s="65"/>
      <c r="O1306" s="126">
        <f>SUM(O1304:O1305)</f>
        <v>7744.96</v>
      </c>
      <c r="P1306" s="126">
        <f t="shared" ref="P1306:R1306" si="195">SUM(P1304:P1305)</f>
        <v>4820</v>
      </c>
      <c r="Q1306" s="126">
        <f t="shared" si="195"/>
        <v>1060.4000000000001</v>
      </c>
      <c r="R1306" s="126">
        <f t="shared" si="195"/>
        <v>5880.4</v>
      </c>
      <c r="S1306" s="72">
        <f>R1306/100*10</f>
        <v>588.04</v>
      </c>
      <c r="T1306" s="73">
        <v>56</v>
      </c>
      <c r="U1306" s="275"/>
      <c r="V1306" s="38"/>
      <c r="W1306" s="38"/>
      <c r="X1306" s="38"/>
    </row>
    <row r="1307" spans="1:24" ht="15" customHeight="1" x14ac:dyDescent="0.35">
      <c r="A1307" s="56" t="s">
        <v>3551</v>
      </c>
      <c r="B1307" s="2">
        <v>1247</v>
      </c>
      <c r="C1307" s="77">
        <v>10119139</v>
      </c>
      <c r="D1307" s="74" t="s">
        <v>1521</v>
      </c>
      <c r="E1307" s="59" t="s">
        <v>2167</v>
      </c>
      <c r="F1307" s="75">
        <v>9</v>
      </c>
      <c r="G1307" s="64" t="s">
        <v>0</v>
      </c>
      <c r="H1307" s="78">
        <v>37622</v>
      </c>
      <c r="I1307" s="4" t="s">
        <v>957</v>
      </c>
      <c r="J1307" s="63" t="s">
        <v>1917</v>
      </c>
      <c r="K1307" s="63" t="s">
        <v>961</v>
      </c>
      <c r="L1307" s="69" t="s">
        <v>950</v>
      </c>
      <c r="M1307" s="70">
        <v>15318</v>
      </c>
      <c r="N1307" s="70">
        <v>1702</v>
      </c>
      <c r="O1307" s="70">
        <v>15318</v>
      </c>
      <c r="P1307" s="65">
        <v>33980</v>
      </c>
      <c r="Q1307" s="65">
        <f t="shared" si="190"/>
        <v>7475.6</v>
      </c>
      <c r="R1307" s="65">
        <f t="shared" si="191"/>
        <v>41455.599999999999</v>
      </c>
      <c r="S1307" s="267"/>
      <c r="T1307" s="64">
        <v>57</v>
      </c>
      <c r="U1307" s="273" t="s">
        <v>2278</v>
      </c>
      <c r="V1307" s="38">
        <v>36539</v>
      </c>
      <c r="W1307" s="38">
        <f t="shared" si="192"/>
        <v>8038.58</v>
      </c>
      <c r="X1307" s="38">
        <f t="shared" si="193"/>
        <v>44577.58</v>
      </c>
    </row>
    <row r="1308" spans="1:24" ht="15" customHeight="1" x14ac:dyDescent="0.35">
      <c r="A1308" s="56" t="s">
        <v>3552</v>
      </c>
      <c r="B1308" s="2">
        <v>1248</v>
      </c>
      <c r="C1308" s="77">
        <v>10094559</v>
      </c>
      <c r="D1308" s="74" t="s">
        <v>1701</v>
      </c>
      <c r="E1308" s="74" t="s">
        <v>1978</v>
      </c>
      <c r="F1308" s="75">
        <f>22-4-17</f>
        <v>1</v>
      </c>
      <c r="G1308" s="64" t="s">
        <v>0</v>
      </c>
      <c r="H1308" s="78">
        <v>39448</v>
      </c>
      <c r="I1308" s="4" t="s">
        <v>957</v>
      </c>
      <c r="J1308" s="63" t="s">
        <v>1941</v>
      </c>
      <c r="K1308" s="63" t="s">
        <v>961</v>
      </c>
      <c r="L1308" s="69" t="s">
        <v>950</v>
      </c>
      <c r="M1308" s="70">
        <f t="shared" ref="M1308:M1323" si="196">O1308</f>
        <v>882.24</v>
      </c>
      <c r="N1308" s="70">
        <f>O1308/F1308</f>
        <v>882.24</v>
      </c>
      <c r="O1308" s="70">
        <f>19409.31/22*1</f>
        <v>882.24</v>
      </c>
      <c r="P1308" s="65">
        <v>1340</v>
      </c>
      <c r="Q1308" s="65">
        <f t="shared" si="190"/>
        <v>294.8</v>
      </c>
      <c r="R1308" s="65">
        <f t="shared" si="191"/>
        <v>1634.8</v>
      </c>
      <c r="S1308" s="272"/>
      <c r="T1308" s="64">
        <v>57</v>
      </c>
      <c r="U1308" s="274"/>
      <c r="V1308" s="38">
        <v>1437</v>
      </c>
      <c r="W1308" s="38">
        <f t="shared" si="192"/>
        <v>316.14</v>
      </c>
      <c r="X1308" s="38">
        <f t="shared" si="193"/>
        <v>1753.14</v>
      </c>
    </row>
    <row r="1309" spans="1:24" ht="15" customHeight="1" x14ac:dyDescent="0.35">
      <c r="A1309" s="56" t="s">
        <v>4001</v>
      </c>
      <c r="B1309" s="2">
        <v>1249</v>
      </c>
      <c r="C1309" s="77">
        <v>10094559</v>
      </c>
      <c r="D1309" s="74" t="s">
        <v>1701</v>
      </c>
      <c r="E1309" s="59" t="s">
        <v>2167</v>
      </c>
      <c r="F1309" s="75">
        <v>17</v>
      </c>
      <c r="G1309" s="64" t="s">
        <v>0</v>
      </c>
      <c r="H1309" s="78">
        <v>39448</v>
      </c>
      <c r="I1309" s="4" t="s">
        <v>957</v>
      </c>
      <c r="J1309" s="63" t="s">
        <v>1917</v>
      </c>
      <c r="K1309" s="63" t="s">
        <v>961</v>
      </c>
      <c r="L1309" s="69" t="s">
        <v>950</v>
      </c>
      <c r="M1309" s="70">
        <f>O1309</f>
        <v>14998.1</v>
      </c>
      <c r="N1309" s="70">
        <f>M1309/F1309</f>
        <v>882.24</v>
      </c>
      <c r="O1309" s="70">
        <v>14998.1</v>
      </c>
      <c r="P1309" s="65">
        <v>22710</v>
      </c>
      <c r="Q1309" s="65">
        <f t="shared" si="190"/>
        <v>4996.2</v>
      </c>
      <c r="R1309" s="65">
        <f t="shared" si="191"/>
        <v>27706.2</v>
      </c>
      <c r="S1309" s="276"/>
      <c r="T1309" s="64">
        <v>57</v>
      </c>
      <c r="U1309" s="274"/>
      <c r="V1309" s="38">
        <v>24423</v>
      </c>
      <c r="W1309" s="38">
        <f t="shared" si="192"/>
        <v>5373.06</v>
      </c>
      <c r="X1309" s="38">
        <f t="shared" si="193"/>
        <v>29796.06</v>
      </c>
    </row>
    <row r="1310" spans="1:24" ht="15" customHeight="1" x14ac:dyDescent="0.35">
      <c r="A1310" s="56"/>
      <c r="B1310" s="15"/>
      <c r="C1310" s="77"/>
      <c r="D1310" s="74"/>
      <c r="E1310" s="74"/>
      <c r="F1310" s="75"/>
      <c r="G1310" s="64"/>
      <c r="H1310" s="78"/>
      <c r="I1310" s="4"/>
      <c r="J1310" s="63"/>
      <c r="K1310" s="63"/>
      <c r="L1310" s="69"/>
      <c r="M1310" s="70"/>
      <c r="N1310" s="70"/>
      <c r="O1310" s="71">
        <f>SUM(O1307:O1309)</f>
        <v>31198.34</v>
      </c>
      <c r="P1310" s="71">
        <f t="shared" ref="P1310:R1310" si="197">SUM(P1307:P1309)</f>
        <v>58030</v>
      </c>
      <c r="Q1310" s="71">
        <f t="shared" si="197"/>
        <v>12766.6</v>
      </c>
      <c r="R1310" s="71">
        <f t="shared" si="197"/>
        <v>70796.600000000006</v>
      </c>
      <c r="S1310" s="72">
        <f>R1310/100*10</f>
        <v>7079.66</v>
      </c>
      <c r="T1310" s="73">
        <v>57</v>
      </c>
      <c r="U1310" s="275"/>
      <c r="V1310" s="38"/>
      <c r="W1310" s="38"/>
      <c r="X1310" s="38"/>
    </row>
    <row r="1311" spans="1:24" ht="15" customHeight="1" x14ac:dyDescent="0.35">
      <c r="A1311" s="56" t="s">
        <v>3553</v>
      </c>
      <c r="B1311" s="2">
        <v>1250</v>
      </c>
      <c r="C1311" s="89">
        <v>10138625</v>
      </c>
      <c r="D1311" s="90" t="s">
        <v>559</v>
      </c>
      <c r="E1311" s="74" t="s">
        <v>686</v>
      </c>
      <c r="F1311" s="75">
        <v>1</v>
      </c>
      <c r="G1311" s="64" t="s">
        <v>0</v>
      </c>
      <c r="H1311" s="61">
        <v>42004</v>
      </c>
      <c r="I1311" s="107" t="s">
        <v>976</v>
      </c>
      <c r="J1311" s="63" t="s">
        <v>1917</v>
      </c>
      <c r="K1311" s="108" t="s">
        <v>800</v>
      </c>
      <c r="L1311" s="64" t="s">
        <v>845</v>
      </c>
      <c r="M1311" s="65">
        <f t="shared" si="196"/>
        <v>12555.38</v>
      </c>
      <c r="N1311" s="65">
        <f>O1311/F1311</f>
        <v>12555.38</v>
      </c>
      <c r="O1311" s="65">
        <v>12555.38</v>
      </c>
      <c r="P1311" s="65">
        <v>8550</v>
      </c>
      <c r="Q1311" s="65">
        <f t="shared" si="190"/>
        <v>1881</v>
      </c>
      <c r="R1311" s="65">
        <f t="shared" si="191"/>
        <v>10431</v>
      </c>
      <c r="S1311" s="267"/>
      <c r="T1311" s="64">
        <v>58</v>
      </c>
      <c r="U1311" s="273" t="s">
        <v>2278</v>
      </c>
      <c r="V1311" s="38">
        <v>9198</v>
      </c>
      <c r="W1311" s="38">
        <f t="shared" si="192"/>
        <v>2023.56</v>
      </c>
      <c r="X1311" s="38">
        <f t="shared" si="193"/>
        <v>11221.56</v>
      </c>
    </row>
    <row r="1312" spans="1:24" ht="15" customHeight="1" x14ac:dyDescent="0.35">
      <c r="A1312" s="56" t="s">
        <v>3554</v>
      </c>
      <c r="B1312" s="2">
        <v>1251</v>
      </c>
      <c r="C1312" s="77">
        <v>10090763</v>
      </c>
      <c r="D1312" s="74" t="s">
        <v>1246</v>
      </c>
      <c r="E1312" s="74" t="s">
        <v>2162</v>
      </c>
      <c r="F1312" s="75">
        <v>1</v>
      </c>
      <c r="G1312" s="64" t="s">
        <v>0</v>
      </c>
      <c r="H1312" s="61">
        <v>41173</v>
      </c>
      <c r="I1312" s="61" t="s">
        <v>2158</v>
      </c>
      <c r="J1312" s="63" t="s">
        <v>1917</v>
      </c>
      <c r="K1312" s="135" t="s">
        <v>1290</v>
      </c>
      <c r="L1312" s="88" t="s">
        <v>845</v>
      </c>
      <c r="M1312" s="76">
        <f t="shared" si="196"/>
        <v>4703.3900000000003</v>
      </c>
      <c r="N1312" s="76">
        <f>O1312/F1312</f>
        <v>4703.3900000000003</v>
      </c>
      <c r="O1312" s="76">
        <v>4703.3900000000003</v>
      </c>
      <c r="P1312" s="65">
        <v>3290</v>
      </c>
      <c r="Q1312" s="65">
        <f t="shared" si="190"/>
        <v>723.8</v>
      </c>
      <c r="R1312" s="65">
        <f t="shared" si="191"/>
        <v>4013.8</v>
      </c>
      <c r="S1312" s="272"/>
      <c r="T1312" s="64">
        <v>58</v>
      </c>
      <c r="U1312" s="274"/>
      <c r="V1312" s="38">
        <v>3541</v>
      </c>
      <c r="W1312" s="38">
        <f t="shared" si="192"/>
        <v>779.02</v>
      </c>
      <c r="X1312" s="38">
        <f t="shared" si="193"/>
        <v>4320.0200000000004</v>
      </c>
    </row>
    <row r="1313" spans="1:24" ht="15" customHeight="1" x14ac:dyDescent="0.35">
      <c r="A1313" s="56" t="s">
        <v>3555</v>
      </c>
      <c r="B1313" s="2">
        <v>1252</v>
      </c>
      <c r="C1313" s="77">
        <v>10090847</v>
      </c>
      <c r="D1313" s="74" t="s">
        <v>1258</v>
      </c>
      <c r="E1313" s="74" t="s">
        <v>2162</v>
      </c>
      <c r="F1313" s="75">
        <v>1</v>
      </c>
      <c r="G1313" s="64" t="s">
        <v>0</v>
      </c>
      <c r="H1313" s="64">
        <v>2014</v>
      </c>
      <c r="I1313" s="61" t="s">
        <v>2158</v>
      </c>
      <c r="J1313" s="63" t="s">
        <v>1917</v>
      </c>
      <c r="K1313" s="101" t="s">
        <v>961</v>
      </c>
      <c r="L1313" s="88" t="s">
        <v>845</v>
      </c>
      <c r="M1313" s="76">
        <f t="shared" si="196"/>
        <v>5232</v>
      </c>
      <c r="N1313" s="76">
        <f>O1313/F1313</f>
        <v>5232</v>
      </c>
      <c r="O1313" s="76">
        <v>5232</v>
      </c>
      <c r="P1313" s="65">
        <v>5270</v>
      </c>
      <c r="Q1313" s="65">
        <f t="shared" si="190"/>
        <v>1159.4000000000001</v>
      </c>
      <c r="R1313" s="65">
        <f t="shared" si="191"/>
        <v>6429.4</v>
      </c>
      <c r="S1313" s="272"/>
      <c r="T1313" s="64">
        <v>58</v>
      </c>
      <c r="U1313" s="274"/>
      <c r="V1313" s="38">
        <v>5663</v>
      </c>
      <c r="W1313" s="38">
        <f t="shared" si="192"/>
        <v>1245.8599999999999</v>
      </c>
      <c r="X1313" s="38">
        <f t="shared" si="193"/>
        <v>6908.86</v>
      </c>
    </row>
    <row r="1314" spans="1:24" ht="15" customHeight="1" x14ac:dyDescent="0.35">
      <c r="A1314" s="56" t="s">
        <v>3556</v>
      </c>
      <c r="B1314" s="2">
        <v>1253</v>
      </c>
      <c r="C1314" s="77">
        <v>10015311</v>
      </c>
      <c r="D1314" s="74" t="s">
        <v>1259</v>
      </c>
      <c r="E1314" s="74" t="s">
        <v>2162</v>
      </c>
      <c r="F1314" s="75">
        <v>4</v>
      </c>
      <c r="G1314" s="64" t="s">
        <v>0</v>
      </c>
      <c r="H1314" s="64">
        <v>2014</v>
      </c>
      <c r="I1314" s="61" t="s">
        <v>2158</v>
      </c>
      <c r="J1314" s="63" t="s">
        <v>1917</v>
      </c>
      <c r="K1314" s="101" t="s">
        <v>961</v>
      </c>
      <c r="L1314" s="88" t="s">
        <v>845</v>
      </c>
      <c r="M1314" s="76">
        <f t="shared" si="196"/>
        <v>175620.2</v>
      </c>
      <c r="N1314" s="76">
        <f>O1314/F1314</f>
        <v>43905.05</v>
      </c>
      <c r="O1314" s="76">
        <v>175620.2</v>
      </c>
      <c r="P1314" s="65">
        <v>157710</v>
      </c>
      <c r="Q1314" s="65">
        <f t="shared" si="190"/>
        <v>34696.199999999997</v>
      </c>
      <c r="R1314" s="65">
        <f t="shared" si="191"/>
        <v>192406.2</v>
      </c>
      <c r="S1314" s="272"/>
      <c r="T1314" s="64">
        <v>58</v>
      </c>
      <c r="U1314" s="274"/>
      <c r="V1314" s="38">
        <v>169585</v>
      </c>
      <c r="W1314" s="38">
        <f t="shared" si="192"/>
        <v>37308.699999999997</v>
      </c>
      <c r="X1314" s="38">
        <f t="shared" si="193"/>
        <v>206893.7</v>
      </c>
    </row>
    <row r="1315" spans="1:24" ht="15" customHeight="1" x14ac:dyDescent="0.35">
      <c r="A1315" s="56"/>
      <c r="B1315" s="15"/>
      <c r="C1315" s="77"/>
      <c r="D1315" s="74"/>
      <c r="E1315" s="74"/>
      <c r="F1315" s="75"/>
      <c r="G1315" s="64"/>
      <c r="H1315" s="101"/>
      <c r="I1315" s="4"/>
      <c r="J1315" s="61"/>
      <c r="K1315" s="101"/>
      <c r="L1315" s="61"/>
      <c r="M1315" s="65"/>
      <c r="N1315" s="65"/>
      <c r="O1315" s="126">
        <f>SUM(O1311:O1314)</f>
        <v>198110.97</v>
      </c>
      <c r="P1315" s="126">
        <f>SUM(P1311:P1314)</f>
        <v>174820</v>
      </c>
      <c r="Q1315" s="126">
        <f>SUM(Q1311:Q1314)</f>
        <v>38460.400000000001</v>
      </c>
      <c r="R1315" s="126">
        <f>SUM(R1311:R1314)</f>
        <v>213280.4</v>
      </c>
      <c r="S1315" s="72">
        <f>R1315/100*10</f>
        <v>21328.04</v>
      </c>
      <c r="T1315" s="73">
        <v>58</v>
      </c>
      <c r="U1315" s="275"/>
      <c r="V1315" s="38"/>
      <c r="W1315" s="38"/>
      <c r="X1315" s="38"/>
    </row>
    <row r="1316" spans="1:24" ht="15" customHeight="1" x14ac:dyDescent="0.35">
      <c r="A1316" s="56" t="s">
        <v>3557</v>
      </c>
      <c r="B1316" s="2">
        <v>1254</v>
      </c>
      <c r="C1316" s="77">
        <v>10025222</v>
      </c>
      <c r="D1316" s="74" t="s">
        <v>1434</v>
      </c>
      <c r="E1316" s="59" t="s">
        <v>2167</v>
      </c>
      <c r="F1316" s="75">
        <v>6</v>
      </c>
      <c r="G1316" s="64" t="s">
        <v>0</v>
      </c>
      <c r="H1316" s="78">
        <v>40156</v>
      </c>
      <c r="I1316" s="4" t="s">
        <v>957</v>
      </c>
      <c r="J1316" s="63" t="s">
        <v>1489</v>
      </c>
      <c r="K1316" s="63" t="s">
        <v>961</v>
      </c>
      <c r="L1316" s="69" t="s">
        <v>950</v>
      </c>
      <c r="M1316" s="70">
        <f t="shared" si="196"/>
        <v>134.74</v>
      </c>
      <c r="N1316" s="70">
        <f>O1316/F1316</f>
        <v>22.46</v>
      </c>
      <c r="O1316" s="70">
        <v>134.74</v>
      </c>
      <c r="P1316" s="65">
        <v>350</v>
      </c>
      <c r="Q1316" s="65">
        <f t="shared" si="190"/>
        <v>77</v>
      </c>
      <c r="R1316" s="65">
        <f t="shared" si="191"/>
        <v>427</v>
      </c>
      <c r="S1316" s="267"/>
      <c r="T1316" s="64">
        <v>59</v>
      </c>
      <c r="U1316" s="273" t="s">
        <v>2279</v>
      </c>
      <c r="V1316" s="38">
        <v>378</v>
      </c>
      <c r="W1316" s="38">
        <f t="shared" si="192"/>
        <v>83.16</v>
      </c>
      <c r="X1316" s="38">
        <f t="shared" si="193"/>
        <v>461.16</v>
      </c>
    </row>
    <row r="1317" spans="1:24" ht="15" customHeight="1" x14ac:dyDescent="0.35">
      <c r="A1317" s="56" t="s">
        <v>3558</v>
      </c>
      <c r="B1317" s="2">
        <v>1255</v>
      </c>
      <c r="C1317" s="77">
        <v>10038939</v>
      </c>
      <c r="D1317" s="74" t="s">
        <v>1534</v>
      </c>
      <c r="E1317" s="59" t="s">
        <v>2167</v>
      </c>
      <c r="F1317" s="75">
        <v>75</v>
      </c>
      <c r="G1317" s="64" t="s">
        <v>17</v>
      </c>
      <c r="H1317" s="78">
        <v>41431</v>
      </c>
      <c r="I1317" s="4" t="s">
        <v>957</v>
      </c>
      <c r="J1317" s="63" t="s">
        <v>1917</v>
      </c>
      <c r="K1317" s="63" t="s">
        <v>961</v>
      </c>
      <c r="L1317" s="69" t="s">
        <v>950</v>
      </c>
      <c r="M1317" s="70">
        <f t="shared" si="196"/>
        <v>762.75</v>
      </c>
      <c r="N1317" s="70">
        <f>O1317/F1317</f>
        <v>10.17</v>
      </c>
      <c r="O1317" s="70">
        <v>762.75</v>
      </c>
      <c r="P1317" s="65">
        <v>1660</v>
      </c>
      <c r="Q1317" s="65">
        <f t="shared" si="190"/>
        <v>365.2</v>
      </c>
      <c r="R1317" s="65">
        <f t="shared" si="191"/>
        <v>2025.2</v>
      </c>
      <c r="S1317" s="272"/>
      <c r="T1317" s="64">
        <v>59</v>
      </c>
      <c r="U1317" s="274"/>
      <c r="V1317" s="38">
        <v>1788</v>
      </c>
      <c r="W1317" s="38">
        <f t="shared" si="192"/>
        <v>393.36</v>
      </c>
      <c r="X1317" s="38">
        <f t="shared" si="193"/>
        <v>2181.36</v>
      </c>
    </row>
    <row r="1318" spans="1:24" ht="15" customHeight="1" x14ac:dyDescent="0.35">
      <c r="A1318" s="56" t="s">
        <v>3559</v>
      </c>
      <c r="B1318" s="2">
        <v>1256</v>
      </c>
      <c r="C1318" s="77">
        <v>10095991</v>
      </c>
      <c r="D1318" s="74" t="s">
        <v>1537</v>
      </c>
      <c r="E1318" s="59" t="s">
        <v>2167</v>
      </c>
      <c r="F1318" s="75">
        <v>8</v>
      </c>
      <c r="G1318" s="64" t="s">
        <v>0</v>
      </c>
      <c r="H1318" s="78">
        <v>41375</v>
      </c>
      <c r="I1318" s="4" t="s">
        <v>957</v>
      </c>
      <c r="J1318" s="63" t="s">
        <v>1917</v>
      </c>
      <c r="K1318" s="63" t="s">
        <v>961</v>
      </c>
      <c r="L1318" s="69" t="s">
        <v>950</v>
      </c>
      <c r="M1318" s="70">
        <f t="shared" si="196"/>
        <v>4278</v>
      </c>
      <c r="N1318" s="70">
        <f>O1318/F1318</f>
        <v>534.75</v>
      </c>
      <c r="O1318" s="70">
        <v>4278</v>
      </c>
      <c r="P1318" s="65">
        <v>9320</v>
      </c>
      <c r="Q1318" s="65">
        <f t="shared" si="190"/>
        <v>2050.4</v>
      </c>
      <c r="R1318" s="65">
        <f t="shared" si="191"/>
        <v>11370.4</v>
      </c>
      <c r="S1318" s="272"/>
      <c r="T1318" s="64">
        <v>59</v>
      </c>
      <c r="U1318" s="274"/>
      <c r="V1318" s="38">
        <v>10017</v>
      </c>
      <c r="W1318" s="38">
        <f t="shared" si="192"/>
        <v>2203.7399999999998</v>
      </c>
      <c r="X1318" s="38">
        <f t="shared" si="193"/>
        <v>12220.74</v>
      </c>
    </row>
    <row r="1319" spans="1:24" ht="15" customHeight="1" x14ac:dyDescent="0.35">
      <c r="A1319" s="56" t="s">
        <v>3560</v>
      </c>
      <c r="B1319" s="2">
        <v>1257</v>
      </c>
      <c r="C1319" s="77">
        <v>10095992</v>
      </c>
      <c r="D1319" s="74" t="s">
        <v>1538</v>
      </c>
      <c r="E1319" s="59" t="s">
        <v>2167</v>
      </c>
      <c r="F1319" s="75">
        <v>8</v>
      </c>
      <c r="G1319" s="64" t="s">
        <v>0</v>
      </c>
      <c r="H1319" s="78">
        <v>41375</v>
      </c>
      <c r="I1319" s="4" t="s">
        <v>957</v>
      </c>
      <c r="J1319" s="63" t="s">
        <v>1917</v>
      </c>
      <c r="K1319" s="63" t="s">
        <v>961</v>
      </c>
      <c r="L1319" s="69" t="s">
        <v>950</v>
      </c>
      <c r="M1319" s="70">
        <f t="shared" si="196"/>
        <v>4655.3599999999997</v>
      </c>
      <c r="N1319" s="70">
        <f>O1319/F1319</f>
        <v>581.91999999999996</v>
      </c>
      <c r="O1319" s="70">
        <v>4655.3599999999997</v>
      </c>
      <c r="P1319" s="65">
        <v>6950</v>
      </c>
      <c r="Q1319" s="65">
        <f t="shared" si="190"/>
        <v>1529</v>
      </c>
      <c r="R1319" s="65">
        <f t="shared" si="191"/>
        <v>8479</v>
      </c>
      <c r="S1319" s="272"/>
      <c r="T1319" s="64">
        <v>59</v>
      </c>
      <c r="U1319" s="274"/>
      <c r="V1319" s="38">
        <v>7476</v>
      </c>
      <c r="W1319" s="38">
        <f t="shared" si="192"/>
        <v>1644.72</v>
      </c>
      <c r="X1319" s="38">
        <f t="shared" si="193"/>
        <v>9120.7199999999993</v>
      </c>
    </row>
    <row r="1320" spans="1:24" ht="15" customHeight="1" x14ac:dyDescent="0.35">
      <c r="A1320" s="56" t="s">
        <v>3561</v>
      </c>
      <c r="B1320" s="2">
        <v>1258</v>
      </c>
      <c r="C1320" s="77">
        <v>102001526</v>
      </c>
      <c r="D1320" s="74" t="s">
        <v>1560</v>
      </c>
      <c r="E1320" s="59" t="s">
        <v>2167</v>
      </c>
      <c r="F1320" s="75">
        <v>1</v>
      </c>
      <c r="G1320" s="64" t="s">
        <v>28</v>
      </c>
      <c r="H1320" s="64">
        <v>2015</v>
      </c>
      <c r="I1320" s="4" t="s">
        <v>957</v>
      </c>
      <c r="J1320" s="63" t="s">
        <v>1917</v>
      </c>
      <c r="K1320" s="63" t="s">
        <v>961</v>
      </c>
      <c r="L1320" s="69" t="s">
        <v>950</v>
      </c>
      <c r="M1320" s="70">
        <f t="shared" si="196"/>
        <v>140560</v>
      </c>
      <c r="N1320" s="70">
        <f>O1320/F1320</f>
        <v>140560</v>
      </c>
      <c r="O1320" s="70">
        <v>140560</v>
      </c>
      <c r="P1320" s="65">
        <v>226150</v>
      </c>
      <c r="Q1320" s="65">
        <f t="shared" si="190"/>
        <v>49753</v>
      </c>
      <c r="R1320" s="65">
        <f t="shared" si="191"/>
        <v>275903</v>
      </c>
      <c r="S1320" s="276"/>
      <c r="T1320" s="64">
        <v>59</v>
      </c>
      <c r="U1320" s="274"/>
      <c r="V1320" s="38">
        <v>243175</v>
      </c>
      <c r="W1320" s="38">
        <f t="shared" si="192"/>
        <v>53498.5</v>
      </c>
      <c r="X1320" s="38">
        <f t="shared" si="193"/>
        <v>296673.5</v>
      </c>
    </row>
    <row r="1321" spans="1:24" ht="15" customHeight="1" x14ac:dyDescent="0.35">
      <c r="A1321" s="56"/>
      <c r="B1321" s="15"/>
      <c r="C1321" s="77"/>
      <c r="D1321" s="74"/>
      <c r="E1321" s="74"/>
      <c r="F1321" s="75"/>
      <c r="G1321" s="64"/>
      <c r="H1321" s="64"/>
      <c r="I1321" s="4"/>
      <c r="J1321" s="63"/>
      <c r="K1321" s="63"/>
      <c r="L1321" s="69"/>
      <c r="M1321" s="70"/>
      <c r="N1321" s="70"/>
      <c r="O1321" s="71">
        <f>SUM(O1316:O1320)</f>
        <v>150390.85</v>
      </c>
      <c r="P1321" s="71">
        <f t="shared" ref="P1321:R1321" si="198">SUM(P1316:P1320)</f>
        <v>244430</v>
      </c>
      <c r="Q1321" s="71">
        <f t="shared" si="198"/>
        <v>53774.6</v>
      </c>
      <c r="R1321" s="71">
        <f t="shared" si="198"/>
        <v>298204.59999999998</v>
      </c>
      <c r="S1321" s="72">
        <f>R1321/100*10</f>
        <v>29820.46</v>
      </c>
      <c r="T1321" s="73">
        <v>59</v>
      </c>
      <c r="U1321" s="275"/>
      <c r="V1321" s="38"/>
      <c r="W1321" s="38"/>
      <c r="X1321" s="38"/>
    </row>
    <row r="1322" spans="1:24" ht="15" customHeight="1" x14ac:dyDescent="0.35">
      <c r="A1322" s="56" t="s">
        <v>3562</v>
      </c>
      <c r="B1322" s="2">
        <v>1259</v>
      </c>
      <c r="C1322" s="77">
        <v>10119399</v>
      </c>
      <c r="D1322" s="74" t="s">
        <v>1412</v>
      </c>
      <c r="E1322" s="59" t="s">
        <v>2167</v>
      </c>
      <c r="F1322" s="75">
        <v>9</v>
      </c>
      <c r="G1322" s="64" t="s">
        <v>0</v>
      </c>
      <c r="H1322" s="78">
        <v>38899</v>
      </c>
      <c r="I1322" s="4" t="s">
        <v>957</v>
      </c>
      <c r="J1322" s="63" t="s">
        <v>1917</v>
      </c>
      <c r="K1322" s="63" t="s">
        <v>961</v>
      </c>
      <c r="L1322" s="69" t="s">
        <v>950</v>
      </c>
      <c r="M1322" s="70">
        <f t="shared" si="196"/>
        <v>22468.05</v>
      </c>
      <c r="N1322" s="70">
        <f>O1322/F1322</f>
        <v>2496.4499999999998</v>
      </c>
      <c r="O1322" s="70">
        <v>22468.05</v>
      </c>
      <c r="P1322" s="65">
        <v>84380</v>
      </c>
      <c r="Q1322" s="65">
        <f t="shared" si="190"/>
        <v>18563.599999999999</v>
      </c>
      <c r="R1322" s="65">
        <f t="shared" si="191"/>
        <v>102943.6</v>
      </c>
      <c r="S1322" s="267"/>
      <c r="T1322" s="64">
        <v>60</v>
      </c>
      <c r="U1322" s="273" t="s">
        <v>2280</v>
      </c>
      <c r="V1322" s="38">
        <v>94282</v>
      </c>
      <c r="W1322" s="38">
        <f t="shared" si="192"/>
        <v>20742.04</v>
      </c>
      <c r="X1322" s="38">
        <f t="shared" si="193"/>
        <v>115024.04</v>
      </c>
    </row>
    <row r="1323" spans="1:24" ht="15" customHeight="1" x14ac:dyDescent="0.35">
      <c r="A1323" s="56" t="s">
        <v>3563</v>
      </c>
      <c r="B1323" s="2">
        <v>1260</v>
      </c>
      <c r="C1323" s="77">
        <v>10119398</v>
      </c>
      <c r="D1323" s="74" t="s">
        <v>1413</v>
      </c>
      <c r="E1323" s="59" t="s">
        <v>2167</v>
      </c>
      <c r="F1323" s="75">
        <v>8</v>
      </c>
      <c r="G1323" s="64" t="s">
        <v>0</v>
      </c>
      <c r="H1323" s="78">
        <v>38899</v>
      </c>
      <c r="I1323" s="4" t="s">
        <v>957</v>
      </c>
      <c r="J1323" s="63" t="s">
        <v>1917</v>
      </c>
      <c r="K1323" s="63" t="s">
        <v>961</v>
      </c>
      <c r="L1323" s="69" t="s">
        <v>950</v>
      </c>
      <c r="M1323" s="70">
        <f t="shared" si="196"/>
        <v>42962.48</v>
      </c>
      <c r="N1323" s="70">
        <f>O1323/F1323</f>
        <v>5370.31</v>
      </c>
      <c r="O1323" s="70">
        <v>42962.48</v>
      </c>
      <c r="P1323" s="65">
        <v>113590</v>
      </c>
      <c r="Q1323" s="65">
        <f t="shared" si="190"/>
        <v>24989.8</v>
      </c>
      <c r="R1323" s="65">
        <f t="shared" si="191"/>
        <v>138579.79999999999</v>
      </c>
      <c r="S1323" s="272"/>
      <c r="T1323" s="64">
        <v>60</v>
      </c>
      <c r="U1323" s="274"/>
      <c r="V1323" s="38">
        <v>126916</v>
      </c>
      <c r="W1323" s="38">
        <f t="shared" si="192"/>
        <v>27921.52</v>
      </c>
      <c r="X1323" s="38">
        <f t="shared" si="193"/>
        <v>154837.51999999999</v>
      </c>
    </row>
    <row r="1324" spans="1:24" ht="15.75" customHeight="1" x14ac:dyDescent="0.35">
      <c r="A1324" s="56" t="s">
        <v>3564</v>
      </c>
      <c r="B1324" s="2">
        <v>1261</v>
      </c>
      <c r="C1324" s="77">
        <v>10132963</v>
      </c>
      <c r="D1324" s="74" t="s">
        <v>1530</v>
      </c>
      <c r="E1324" s="59" t="s">
        <v>2167</v>
      </c>
      <c r="F1324" s="75">
        <v>3</v>
      </c>
      <c r="G1324" s="64" t="s">
        <v>0</v>
      </c>
      <c r="H1324" s="78">
        <v>41577</v>
      </c>
      <c r="I1324" s="4" t="s">
        <v>957</v>
      </c>
      <c r="J1324" s="63" t="s">
        <v>1917</v>
      </c>
      <c r="K1324" s="63" t="s">
        <v>961</v>
      </c>
      <c r="L1324" s="69" t="s">
        <v>950</v>
      </c>
      <c r="M1324" s="144">
        <v>94.19</v>
      </c>
      <c r="N1324" s="144">
        <v>31.4</v>
      </c>
      <c r="O1324" s="70">
        <v>94.19</v>
      </c>
      <c r="P1324" s="65">
        <v>150</v>
      </c>
      <c r="Q1324" s="65">
        <f t="shared" si="190"/>
        <v>33</v>
      </c>
      <c r="R1324" s="65">
        <f t="shared" si="191"/>
        <v>183</v>
      </c>
      <c r="S1324" s="272"/>
      <c r="T1324" s="64">
        <v>60</v>
      </c>
      <c r="U1324" s="274"/>
      <c r="V1324" s="38">
        <v>163</v>
      </c>
      <c r="W1324" s="38">
        <f t="shared" si="192"/>
        <v>35.86</v>
      </c>
      <c r="X1324" s="38">
        <f t="shared" si="193"/>
        <v>198.86</v>
      </c>
    </row>
    <row r="1325" spans="1:24" ht="19.5" customHeight="1" x14ac:dyDescent="0.35">
      <c r="A1325" s="56" t="s">
        <v>3565</v>
      </c>
      <c r="B1325" s="2">
        <v>1262</v>
      </c>
      <c r="C1325" s="77">
        <v>10100073</v>
      </c>
      <c r="D1325" s="74" t="s">
        <v>1531</v>
      </c>
      <c r="E1325" s="59" t="s">
        <v>2167</v>
      </c>
      <c r="F1325" s="75">
        <f>4-2</f>
        <v>2</v>
      </c>
      <c r="G1325" s="64" t="s">
        <v>0</v>
      </c>
      <c r="H1325" s="78">
        <v>41621</v>
      </c>
      <c r="I1325" s="4" t="s">
        <v>957</v>
      </c>
      <c r="J1325" s="63" t="s">
        <v>1917</v>
      </c>
      <c r="K1325" s="63" t="s">
        <v>961</v>
      </c>
      <c r="L1325" s="69" t="s">
        <v>950</v>
      </c>
      <c r="M1325" s="70">
        <f>O1325</f>
        <v>55.49</v>
      </c>
      <c r="N1325" s="70">
        <f>O1325/F1325</f>
        <v>27.75</v>
      </c>
      <c r="O1325" s="70">
        <f>110.98/4*2</f>
        <v>55.49</v>
      </c>
      <c r="P1325" s="65">
        <v>90</v>
      </c>
      <c r="Q1325" s="65">
        <f t="shared" si="190"/>
        <v>19.8</v>
      </c>
      <c r="R1325" s="65">
        <f t="shared" si="191"/>
        <v>109.8</v>
      </c>
      <c r="S1325" s="272"/>
      <c r="T1325" s="64">
        <v>60</v>
      </c>
      <c r="U1325" s="274"/>
      <c r="V1325" s="38">
        <v>100</v>
      </c>
      <c r="W1325" s="38">
        <f t="shared" si="192"/>
        <v>22</v>
      </c>
      <c r="X1325" s="38">
        <f t="shared" si="193"/>
        <v>122</v>
      </c>
    </row>
    <row r="1326" spans="1:24" ht="15" customHeight="1" x14ac:dyDescent="0.35">
      <c r="A1326" s="56" t="s">
        <v>3566</v>
      </c>
      <c r="B1326" s="2">
        <v>1263</v>
      </c>
      <c r="C1326" s="77">
        <v>10131462</v>
      </c>
      <c r="D1326" s="74" t="s">
        <v>1589</v>
      </c>
      <c r="E1326" s="59" t="s">
        <v>2167</v>
      </c>
      <c r="F1326" s="75">
        <v>1</v>
      </c>
      <c r="G1326" s="64" t="s">
        <v>0</v>
      </c>
      <c r="H1326" s="78">
        <v>41542</v>
      </c>
      <c r="I1326" s="4" t="s">
        <v>957</v>
      </c>
      <c r="J1326" s="63" t="s">
        <v>1917</v>
      </c>
      <c r="K1326" s="63" t="s">
        <v>961</v>
      </c>
      <c r="L1326" s="69" t="s">
        <v>950</v>
      </c>
      <c r="M1326" s="70">
        <f t="shared" ref="M1326:M1338" si="199">O1326</f>
        <v>188.49</v>
      </c>
      <c r="N1326" s="70">
        <f t="shared" ref="N1326:N1338" si="200">O1326/F1326</f>
        <v>188.49</v>
      </c>
      <c r="O1326" s="70">
        <v>188.49</v>
      </c>
      <c r="P1326" s="65">
        <v>300</v>
      </c>
      <c r="Q1326" s="65">
        <f t="shared" si="190"/>
        <v>66</v>
      </c>
      <c r="R1326" s="65">
        <f t="shared" si="191"/>
        <v>366</v>
      </c>
      <c r="S1326" s="272"/>
      <c r="T1326" s="64">
        <v>60</v>
      </c>
      <c r="U1326" s="274"/>
      <c r="V1326" s="38">
        <v>337</v>
      </c>
      <c r="W1326" s="38">
        <f t="shared" si="192"/>
        <v>74.14</v>
      </c>
      <c r="X1326" s="38">
        <f t="shared" si="193"/>
        <v>411.14</v>
      </c>
    </row>
    <row r="1327" spans="1:24" ht="15" customHeight="1" x14ac:dyDescent="0.35">
      <c r="A1327" s="56" t="s">
        <v>3567</v>
      </c>
      <c r="B1327" s="2">
        <v>1264</v>
      </c>
      <c r="C1327" s="77">
        <v>10132146</v>
      </c>
      <c r="D1327" s="74" t="s">
        <v>1590</v>
      </c>
      <c r="E1327" s="59" t="s">
        <v>2167</v>
      </c>
      <c r="F1327" s="75">
        <v>4</v>
      </c>
      <c r="G1327" s="64" t="s">
        <v>0</v>
      </c>
      <c r="H1327" s="78">
        <v>41542</v>
      </c>
      <c r="I1327" s="4" t="s">
        <v>957</v>
      </c>
      <c r="J1327" s="63" t="s">
        <v>1917</v>
      </c>
      <c r="K1327" s="63" t="s">
        <v>961</v>
      </c>
      <c r="L1327" s="69" t="s">
        <v>950</v>
      </c>
      <c r="M1327" s="70">
        <f t="shared" si="199"/>
        <v>1214.04</v>
      </c>
      <c r="N1327" s="70">
        <f t="shared" si="200"/>
        <v>303.51</v>
      </c>
      <c r="O1327" s="70">
        <v>1214.04</v>
      </c>
      <c r="P1327" s="65">
        <v>1940</v>
      </c>
      <c r="Q1327" s="65">
        <f t="shared" si="190"/>
        <v>426.8</v>
      </c>
      <c r="R1327" s="65">
        <f t="shared" si="191"/>
        <v>2366.8000000000002</v>
      </c>
      <c r="S1327" s="272"/>
      <c r="T1327" s="64">
        <v>60</v>
      </c>
      <c r="U1327" s="274"/>
      <c r="V1327" s="38">
        <v>2171</v>
      </c>
      <c r="W1327" s="38">
        <f t="shared" si="192"/>
        <v>477.62</v>
      </c>
      <c r="X1327" s="38">
        <f t="shared" si="193"/>
        <v>2648.62</v>
      </c>
    </row>
    <row r="1328" spans="1:24" ht="15" customHeight="1" x14ac:dyDescent="0.35">
      <c r="A1328" s="56" t="s">
        <v>3568</v>
      </c>
      <c r="B1328" s="2">
        <v>1265</v>
      </c>
      <c r="C1328" s="77">
        <v>10132168</v>
      </c>
      <c r="D1328" s="74" t="s">
        <v>1591</v>
      </c>
      <c r="E1328" s="59" t="s">
        <v>2167</v>
      </c>
      <c r="F1328" s="75">
        <v>1</v>
      </c>
      <c r="G1328" s="64" t="s">
        <v>0</v>
      </c>
      <c r="H1328" s="78">
        <v>41542</v>
      </c>
      <c r="I1328" s="4" t="s">
        <v>957</v>
      </c>
      <c r="J1328" s="63" t="s">
        <v>1917</v>
      </c>
      <c r="K1328" s="63" t="s">
        <v>961</v>
      </c>
      <c r="L1328" s="69" t="s">
        <v>950</v>
      </c>
      <c r="M1328" s="70">
        <f t="shared" si="199"/>
        <v>874.92</v>
      </c>
      <c r="N1328" s="70">
        <f t="shared" si="200"/>
        <v>874.92</v>
      </c>
      <c r="O1328" s="70">
        <v>874.92</v>
      </c>
      <c r="P1328" s="65">
        <v>1400</v>
      </c>
      <c r="Q1328" s="65">
        <f t="shared" si="190"/>
        <v>308</v>
      </c>
      <c r="R1328" s="65">
        <f t="shared" si="191"/>
        <v>1708</v>
      </c>
      <c r="S1328" s="272"/>
      <c r="T1328" s="64">
        <v>60</v>
      </c>
      <c r="U1328" s="274"/>
      <c r="V1328" s="38">
        <v>1565</v>
      </c>
      <c r="W1328" s="38">
        <f t="shared" si="192"/>
        <v>344.3</v>
      </c>
      <c r="X1328" s="38">
        <f t="shared" si="193"/>
        <v>1909.3</v>
      </c>
    </row>
    <row r="1329" spans="1:24" ht="15" customHeight="1" x14ac:dyDescent="0.35">
      <c r="A1329" s="56" t="s">
        <v>3569</v>
      </c>
      <c r="B1329" s="2">
        <v>1266</v>
      </c>
      <c r="C1329" s="77">
        <v>10132897</v>
      </c>
      <c r="D1329" s="74" t="s">
        <v>1592</v>
      </c>
      <c r="E1329" s="59" t="s">
        <v>2167</v>
      </c>
      <c r="F1329" s="75">
        <v>1</v>
      </c>
      <c r="G1329" s="64" t="s">
        <v>0</v>
      </c>
      <c r="H1329" s="78">
        <v>41542</v>
      </c>
      <c r="I1329" s="4" t="s">
        <v>957</v>
      </c>
      <c r="J1329" s="63" t="s">
        <v>1917</v>
      </c>
      <c r="K1329" s="63" t="s">
        <v>961</v>
      </c>
      <c r="L1329" s="69" t="s">
        <v>950</v>
      </c>
      <c r="M1329" s="70">
        <f t="shared" si="199"/>
        <v>910.55</v>
      </c>
      <c r="N1329" s="70">
        <f t="shared" si="200"/>
        <v>910.55</v>
      </c>
      <c r="O1329" s="70">
        <v>910.55</v>
      </c>
      <c r="P1329" s="65">
        <v>1410</v>
      </c>
      <c r="Q1329" s="65">
        <f t="shared" ref="Q1329:Q1392" si="201">P1329*0.22</f>
        <v>310.2</v>
      </c>
      <c r="R1329" s="65">
        <f t="shared" ref="R1329:R1392" si="202">P1329+Q1329</f>
        <v>1720.2</v>
      </c>
      <c r="S1329" s="272"/>
      <c r="T1329" s="64">
        <v>60</v>
      </c>
      <c r="U1329" s="274"/>
      <c r="V1329" s="38">
        <v>1571</v>
      </c>
      <c r="W1329" s="38">
        <f t="shared" ref="W1329:W1392" si="203">V1329*0.22</f>
        <v>345.62</v>
      </c>
      <c r="X1329" s="38">
        <f t="shared" si="193"/>
        <v>1916.62</v>
      </c>
    </row>
    <row r="1330" spans="1:24" ht="15" customHeight="1" x14ac:dyDescent="0.35">
      <c r="A1330" s="56" t="s">
        <v>3570</v>
      </c>
      <c r="B1330" s="2">
        <v>1267</v>
      </c>
      <c r="C1330" s="77">
        <v>10118716</v>
      </c>
      <c r="D1330" s="74" t="s">
        <v>1624</v>
      </c>
      <c r="E1330" s="59" t="s">
        <v>2167</v>
      </c>
      <c r="F1330" s="75">
        <v>6</v>
      </c>
      <c r="G1330" s="64" t="s">
        <v>0</v>
      </c>
      <c r="H1330" s="78">
        <v>41621</v>
      </c>
      <c r="I1330" s="4" t="s">
        <v>957</v>
      </c>
      <c r="J1330" s="63" t="s">
        <v>1917</v>
      </c>
      <c r="K1330" s="63" t="s">
        <v>961</v>
      </c>
      <c r="L1330" s="69" t="s">
        <v>950</v>
      </c>
      <c r="M1330" s="70">
        <f t="shared" si="199"/>
        <v>42.31</v>
      </c>
      <c r="N1330" s="70">
        <f t="shared" si="200"/>
        <v>7.05</v>
      </c>
      <c r="O1330" s="70">
        <v>42.31</v>
      </c>
      <c r="P1330" s="65">
        <v>60</v>
      </c>
      <c r="Q1330" s="65">
        <f t="shared" si="201"/>
        <v>13.2</v>
      </c>
      <c r="R1330" s="65">
        <f t="shared" si="202"/>
        <v>73.2</v>
      </c>
      <c r="S1330" s="272"/>
      <c r="T1330" s="64">
        <v>60</v>
      </c>
      <c r="U1330" s="274"/>
      <c r="V1330" s="38">
        <v>72</v>
      </c>
      <c r="W1330" s="38">
        <f t="shared" si="203"/>
        <v>15.84</v>
      </c>
      <c r="X1330" s="38">
        <f t="shared" si="193"/>
        <v>87.84</v>
      </c>
    </row>
    <row r="1331" spans="1:24" ht="15" customHeight="1" x14ac:dyDescent="0.35">
      <c r="A1331" s="56" t="s">
        <v>4004</v>
      </c>
      <c r="B1331" s="2">
        <v>1268</v>
      </c>
      <c r="C1331" s="77">
        <v>10042937</v>
      </c>
      <c r="D1331" s="74" t="s">
        <v>1706</v>
      </c>
      <c r="E1331" s="74" t="s">
        <v>2167</v>
      </c>
      <c r="F1331" s="75">
        <f>3+17</f>
        <v>20</v>
      </c>
      <c r="G1331" s="64" t="s">
        <v>0</v>
      </c>
      <c r="H1331" s="78">
        <v>40949</v>
      </c>
      <c r="I1331" s="4" t="s">
        <v>957</v>
      </c>
      <c r="J1331" s="63" t="s">
        <v>1917</v>
      </c>
      <c r="K1331" s="63" t="s">
        <v>961</v>
      </c>
      <c r="L1331" s="69" t="s">
        <v>950</v>
      </c>
      <c r="M1331" s="70">
        <f t="shared" si="199"/>
        <v>8002.16</v>
      </c>
      <c r="N1331" s="70">
        <f t="shared" si="200"/>
        <v>400.11</v>
      </c>
      <c r="O1331" s="70">
        <v>8002.16</v>
      </c>
      <c r="P1331" s="65">
        <v>12880</v>
      </c>
      <c r="Q1331" s="65">
        <f t="shared" si="201"/>
        <v>2833.6</v>
      </c>
      <c r="R1331" s="65">
        <f t="shared" si="202"/>
        <v>15713.6</v>
      </c>
      <c r="S1331" s="272"/>
      <c r="T1331" s="64">
        <v>60</v>
      </c>
      <c r="U1331" s="274"/>
      <c r="V1331" s="38">
        <v>14392</v>
      </c>
      <c r="W1331" s="38">
        <f t="shared" si="203"/>
        <v>3166.24</v>
      </c>
      <c r="X1331" s="38">
        <f t="shared" ref="X1331:X1394" si="204">V1331+W1331</f>
        <v>17558.240000000002</v>
      </c>
    </row>
    <row r="1332" spans="1:24" ht="15" customHeight="1" x14ac:dyDescent="0.35">
      <c r="A1332" s="56" t="s">
        <v>3571</v>
      </c>
      <c r="B1332" s="2">
        <v>1269</v>
      </c>
      <c r="C1332" s="77">
        <v>10120621</v>
      </c>
      <c r="D1332" s="74" t="s">
        <v>1707</v>
      </c>
      <c r="E1332" s="74" t="s">
        <v>1978</v>
      </c>
      <c r="F1332" s="75">
        <f>7-6</f>
        <v>1</v>
      </c>
      <c r="G1332" s="64" t="s">
        <v>0</v>
      </c>
      <c r="H1332" s="78">
        <v>41577</v>
      </c>
      <c r="I1332" s="4" t="s">
        <v>957</v>
      </c>
      <c r="J1332" s="63" t="s">
        <v>1917</v>
      </c>
      <c r="K1332" s="63" t="s">
        <v>961</v>
      </c>
      <c r="L1332" s="69" t="s">
        <v>950</v>
      </c>
      <c r="M1332" s="70">
        <f t="shared" si="199"/>
        <v>110.46</v>
      </c>
      <c r="N1332" s="70">
        <f t="shared" si="200"/>
        <v>110.46</v>
      </c>
      <c r="O1332" s="70">
        <f>773.2/7*1</f>
        <v>110.46</v>
      </c>
      <c r="P1332" s="65">
        <v>170</v>
      </c>
      <c r="Q1332" s="65">
        <f t="shared" si="201"/>
        <v>37.4</v>
      </c>
      <c r="R1332" s="65">
        <f t="shared" si="202"/>
        <v>207.4</v>
      </c>
      <c r="S1332" s="272"/>
      <c r="T1332" s="64">
        <v>60</v>
      </c>
      <c r="U1332" s="274"/>
      <c r="V1332" s="38">
        <v>191</v>
      </c>
      <c r="W1332" s="38">
        <f t="shared" si="203"/>
        <v>42.02</v>
      </c>
      <c r="X1332" s="38">
        <f t="shared" si="204"/>
        <v>233.02</v>
      </c>
    </row>
    <row r="1333" spans="1:24" ht="15" customHeight="1" x14ac:dyDescent="0.35">
      <c r="A1333" s="56" t="s">
        <v>4002</v>
      </c>
      <c r="B1333" s="2">
        <v>1270</v>
      </c>
      <c r="C1333" s="77">
        <v>10120621</v>
      </c>
      <c r="D1333" s="74" t="s">
        <v>1707</v>
      </c>
      <c r="E1333" s="59" t="s">
        <v>2167</v>
      </c>
      <c r="F1333" s="75">
        <v>6</v>
      </c>
      <c r="G1333" s="64" t="s">
        <v>0</v>
      </c>
      <c r="H1333" s="78">
        <v>41577</v>
      </c>
      <c r="I1333" s="4" t="s">
        <v>957</v>
      </c>
      <c r="J1333" s="63" t="s">
        <v>1917</v>
      </c>
      <c r="K1333" s="63" t="s">
        <v>961</v>
      </c>
      <c r="L1333" s="69" t="s">
        <v>845</v>
      </c>
      <c r="M1333" s="70">
        <f t="shared" si="199"/>
        <v>662.74</v>
      </c>
      <c r="N1333" s="70">
        <f t="shared" si="200"/>
        <v>110.46</v>
      </c>
      <c r="O1333" s="70">
        <v>662.74</v>
      </c>
      <c r="P1333" s="65">
        <v>600</v>
      </c>
      <c r="Q1333" s="65">
        <f t="shared" si="201"/>
        <v>132</v>
      </c>
      <c r="R1333" s="65">
        <f t="shared" si="202"/>
        <v>732</v>
      </c>
      <c r="S1333" s="272"/>
      <c r="T1333" s="64">
        <v>60</v>
      </c>
      <c r="U1333" s="274"/>
      <c r="V1333" s="38">
        <v>673</v>
      </c>
      <c r="W1333" s="38">
        <f t="shared" si="203"/>
        <v>148.06</v>
      </c>
      <c r="X1333" s="38">
        <f t="shared" si="204"/>
        <v>821.06</v>
      </c>
    </row>
    <row r="1334" spans="1:24" ht="15" customHeight="1" x14ac:dyDescent="0.35">
      <c r="A1334" s="56" t="s">
        <v>3572</v>
      </c>
      <c r="B1334" s="2">
        <v>1271</v>
      </c>
      <c r="C1334" s="77">
        <v>10106300</v>
      </c>
      <c r="D1334" s="74" t="s">
        <v>1709</v>
      </c>
      <c r="E1334" s="59" t="s">
        <v>2167</v>
      </c>
      <c r="F1334" s="75">
        <f>40-24</f>
        <v>16</v>
      </c>
      <c r="G1334" s="64" t="s">
        <v>0</v>
      </c>
      <c r="H1334" s="78">
        <v>41431</v>
      </c>
      <c r="I1334" s="4" t="s">
        <v>957</v>
      </c>
      <c r="J1334" s="63" t="s">
        <v>1917</v>
      </c>
      <c r="K1334" s="63" t="s">
        <v>961</v>
      </c>
      <c r="L1334" s="69" t="s">
        <v>950</v>
      </c>
      <c r="M1334" s="70">
        <f t="shared" si="199"/>
        <v>1665.44</v>
      </c>
      <c r="N1334" s="70">
        <f t="shared" si="200"/>
        <v>104.09</v>
      </c>
      <c r="O1334" s="70">
        <f>4163.6/40*16</f>
        <v>1665.44</v>
      </c>
      <c r="P1334" s="65">
        <v>2650</v>
      </c>
      <c r="Q1334" s="65">
        <f t="shared" si="201"/>
        <v>583</v>
      </c>
      <c r="R1334" s="65">
        <f t="shared" si="202"/>
        <v>3233</v>
      </c>
      <c r="S1334" s="272"/>
      <c r="T1334" s="64">
        <v>60</v>
      </c>
      <c r="U1334" s="274"/>
      <c r="V1334" s="38">
        <v>2962</v>
      </c>
      <c r="W1334" s="38">
        <f t="shared" si="203"/>
        <v>651.64</v>
      </c>
      <c r="X1334" s="38">
        <f t="shared" si="204"/>
        <v>3613.64</v>
      </c>
    </row>
    <row r="1335" spans="1:24" ht="15" customHeight="1" x14ac:dyDescent="0.35">
      <c r="A1335" s="56" t="s">
        <v>3573</v>
      </c>
      <c r="B1335" s="2">
        <v>1272</v>
      </c>
      <c r="C1335" s="77">
        <v>10108297</v>
      </c>
      <c r="D1335" s="74" t="s">
        <v>1710</v>
      </c>
      <c r="E1335" s="74" t="s">
        <v>1978</v>
      </c>
      <c r="F1335" s="75">
        <f>22-15</f>
        <v>7</v>
      </c>
      <c r="G1335" s="64" t="s">
        <v>0</v>
      </c>
      <c r="H1335" s="78">
        <v>41577</v>
      </c>
      <c r="I1335" s="4" t="s">
        <v>957</v>
      </c>
      <c r="J1335" s="63" t="s">
        <v>1917</v>
      </c>
      <c r="K1335" s="63" t="s">
        <v>961</v>
      </c>
      <c r="L1335" s="69" t="s">
        <v>950</v>
      </c>
      <c r="M1335" s="70">
        <f t="shared" si="199"/>
        <v>1451.1</v>
      </c>
      <c r="N1335" s="70">
        <f t="shared" si="200"/>
        <v>207.3</v>
      </c>
      <c r="O1335" s="70">
        <f>4560.6/22*7</f>
        <v>1451.1</v>
      </c>
      <c r="P1335" s="65">
        <v>2330</v>
      </c>
      <c r="Q1335" s="65">
        <f t="shared" si="201"/>
        <v>512.6</v>
      </c>
      <c r="R1335" s="65">
        <f t="shared" si="202"/>
        <v>2842.6</v>
      </c>
      <c r="S1335" s="272"/>
      <c r="T1335" s="64">
        <v>60</v>
      </c>
      <c r="U1335" s="274"/>
      <c r="V1335" s="38">
        <v>2606</v>
      </c>
      <c r="W1335" s="38">
        <f t="shared" si="203"/>
        <v>573.32000000000005</v>
      </c>
      <c r="X1335" s="38">
        <f t="shared" si="204"/>
        <v>3179.32</v>
      </c>
    </row>
    <row r="1336" spans="1:24" ht="15" customHeight="1" x14ac:dyDescent="0.35">
      <c r="A1336" s="56" t="s">
        <v>3574</v>
      </c>
      <c r="B1336" s="2">
        <v>1273</v>
      </c>
      <c r="C1336" s="77">
        <v>10050441</v>
      </c>
      <c r="D1336" s="74" t="s">
        <v>1711</v>
      </c>
      <c r="E1336" s="59" t="s">
        <v>2167</v>
      </c>
      <c r="F1336" s="75">
        <v>1</v>
      </c>
      <c r="G1336" s="64" t="s">
        <v>0</v>
      </c>
      <c r="H1336" s="78">
        <v>41577</v>
      </c>
      <c r="I1336" s="4" t="s">
        <v>957</v>
      </c>
      <c r="J1336" s="63" t="s">
        <v>1917</v>
      </c>
      <c r="K1336" s="63" t="s">
        <v>961</v>
      </c>
      <c r="L1336" s="69" t="s">
        <v>950</v>
      </c>
      <c r="M1336" s="70">
        <f t="shared" si="199"/>
        <v>60.9</v>
      </c>
      <c r="N1336" s="70">
        <f t="shared" si="200"/>
        <v>60.9</v>
      </c>
      <c r="O1336" s="70">
        <v>60.9</v>
      </c>
      <c r="P1336" s="65">
        <v>100</v>
      </c>
      <c r="Q1336" s="65">
        <f t="shared" si="201"/>
        <v>22</v>
      </c>
      <c r="R1336" s="65">
        <f t="shared" si="202"/>
        <v>122</v>
      </c>
      <c r="S1336" s="272"/>
      <c r="T1336" s="64">
        <v>60</v>
      </c>
      <c r="U1336" s="274"/>
      <c r="V1336" s="38">
        <v>109</v>
      </c>
      <c r="W1336" s="38">
        <f t="shared" si="203"/>
        <v>23.98</v>
      </c>
      <c r="X1336" s="38">
        <f t="shared" si="204"/>
        <v>132.97999999999999</v>
      </c>
    </row>
    <row r="1337" spans="1:24" ht="15" customHeight="1" x14ac:dyDescent="0.35">
      <c r="A1337" s="56" t="s">
        <v>3575</v>
      </c>
      <c r="B1337" s="2">
        <v>1274</v>
      </c>
      <c r="C1337" s="77">
        <v>10108410</v>
      </c>
      <c r="D1337" s="74" t="s">
        <v>1712</v>
      </c>
      <c r="E1337" s="59" t="s">
        <v>2167</v>
      </c>
      <c r="F1337" s="75">
        <f>15-10</f>
        <v>5</v>
      </c>
      <c r="G1337" s="64" t="s">
        <v>0</v>
      </c>
      <c r="H1337" s="78">
        <v>41577</v>
      </c>
      <c r="I1337" s="4" t="s">
        <v>957</v>
      </c>
      <c r="J1337" s="63" t="s">
        <v>1917</v>
      </c>
      <c r="K1337" s="63" t="s">
        <v>961</v>
      </c>
      <c r="L1337" s="69" t="s">
        <v>950</v>
      </c>
      <c r="M1337" s="70">
        <f t="shared" si="199"/>
        <v>540.75</v>
      </c>
      <c r="N1337" s="70">
        <f t="shared" si="200"/>
        <v>108.15</v>
      </c>
      <c r="O1337" s="70">
        <f>1622.25/15*5</f>
        <v>540.75</v>
      </c>
      <c r="P1337" s="65">
        <v>870</v>
      </c>
      <c r="Q1337" s="65">
        <f t="shared" si="201"/>
        <v>191.4</v>
      </c>
      <c r="R1337" s="65">
        <f t="shared" si="202"/>
        <v>1061.4000000000001</v>
      </c>
      <c r="S1337" s="272"/>
      <c r="T1337" s="64">
        <v>60</v>
      </c>
      <c r="U1337" s="274"/>
      <c r="V1337" s="38">
        <v>969</v>
      </c>
      <c r="W1337" s="38">
        <f t="shared" si="203"/>
        <v>213.18</v>
      </c>
      <c r="X1337" s="38">
        <f t="shared" si="204"/>
        <v>1182.18</v>
      </c>
    </row>
    <row r="1338" spans="1:24" ht="22.5" customHeight="1" x14ac:dyDescent="0.35">
      <c r="A1338" s="56" t="s">
        <v>3576</v>
      </c>
      <c r="B1338" s="2">
        <v>1275</v>
      </c>
      <c r="C1338" s="77">
        <v>10125454</v>
      </c>
      <c r="D1338" s="74" t="s">
        <v>1821</v>
      </c>
      <c r="E1338" s="59" t="s">
        <v>2167</v>
      </c>
      <c r="F1338" s="75">
        <v>2</v>
      </c>
      <c r="G1338" s="64" t="s">
        <v>0</v>
      </c>
      <c r="H1338" s="78">
        <v>41621</v>
      </c>
      <c r="I1338" s="4" t="s">
        <v>957</v>
      </c>
      <c r="J1338" s="63" t="s">
        <v>1917</v>
      </c>
      <c r="K1338" s="63" t="s">
        <v>961</v>
      </c>
      <c r="L1338" s="69" t="s">
        <v>950</v>
      </c>
      <c r="M1338" s="70">
        <f t="shared" si="199"/>
        <v>8708.48</v>
      </c>
      <c r="N1338" s="70">
        <f t="shared" si="200"/>
        <v>4354.24</v>
      </c>
      <c r="O1338" s="70">
        <v>8708.48</v>
      </c>
      <c r="P1338" s="65">
        <v>9980</v>
      </c>
      <c r="Q1338" s="65">
        <f t="shared" si="201"/>
        <v>2195.6</v>
      </c>
      <c r="R1338" s="65">
        <f t="shared" si="202"/>
        <v>12175.6</v>
      </c>
      <c r="S1338" s="276"/>
      <c r="T1338" s="64">
        <v>60</v>
      </c>
      <c r="U1338" s="274"/>
      <c r="V1338" s="38">
        <v>11152</v>
      </c>
      <c r="W1338" s="38">
        <f t="shared" si="203"/>
        <v>2453.44</v>
      </c>
      <c r="X1338" s="38">
        <f t="shared" si="204"/>
        <v>13605.44</v>
      </c>
    </row>
    <row r="1339" spans="1:24" ht="15" customHeight="1" x14ac:dyDescent="0.35">
      <c r="A1339" s="56"/>
      <c r="B1339" s="15"/>
      <c r="C1339" s="77"/>
      <c r="D1339" s="74"/>
      <c r="E1339" s="74"/>
      <c r="F1339" s="75"/>
      <c r="G1339" s="64"/>
      <c r="H1339" s="78"/>
      <c r="I1339" s="4"/>
      <c r="J1339" s="63"/>
      <c r="K1339" s="63"/>
      <c r="L1339" s="69"/>
      <c r="M1339" s="70"/>
      <c r="N1339" s="70"/>
      <c r="O1339" s="138">
        <f>SUM(O1322:O1338)</f>
        <v>90012.55</v>
      </c>
      <c r="P1339" s="138">
        <f t="shared" ref="P1339:R1339" si="205">SUM(P1322:P1338)</f>
        <v>232900</v>
      </c>
      <c r="Q1339" s="138">
        <f t="shared" si="205"/>
        <v>51238</v>
      </c>
      <c r="R1339" s="138">
        <f t="shared" si="205"/>
        <v>284138</v>
      </c>
      <c r="S1339" s="72">
        <f>R1339/100*10</f>
        <v>28413.8</v>
      </c>
      <c r="T1339" s="73">
        <v>60</v>
      </c>
      <c r="U1339" s="275"/>
      <c r="V1339" s="38"/>
      <c r="W1339" s="38"/>
      <c r="X1339" s="38"/>
    </row>
    <row r="1340" spans="1:24" ht="15" customHeight="1" x14ac:dyDescent="0.35">
      <c r="A1340" s="56" t="s">
        <v>3577</v>
      </c>
      <c r="B1340" s="2">
        <v>1276</v>
      </c>
      <c r="C1340" s="77">
        <v>10134153</v>
      </c>
      <c r="D1340" s="74" t="s">
        <v>1518</v>
      </c>
      <c r="E1340" s="59" t="s">
        <v>2167</v>
      </c>
      <c r="F1340" s="75">
        <v>5</v>
      </c>
      <c r="G1340" s="64" t="s">
        <v>0</v>
      </c>
      <c r="H1340" s="78">
        <v>41267</v>
      </c>
      <c r="I1340" s="4" t="s">
        <v>957</v>
      </c>
      <c r="J1340" s="63" t="s">
        <v>1917</v>
      </c>
      <c r="K1340" s="63" t="s">
        <v>961</v>
      </c>
      <c r="L1340" s="69" t="s">
        <v>950</v>
      </c>
      <c r="M1340" s="70">
        <v>19970</v>
      </c>
      <c r="N1340" s="70">
        <v>3994</v>
      </c>
      <c r="O1340" s="70">
        <v>19970</v>
      </c>
      <c r="P1340" s="65">
        <v>34230</v>
      </c>
      <c r="Q1340" s="65">
        <f t="shared" si="201"/>
        <v>7530.6</v>
      </c>
      <c r="R1340" s="65">
        <f t="shared" si="202"/>
        <v>41760.6</v>
      </c>
      <c r="S1340" s="267"/>
      <c r="T1340" s="64">
        <v>61</v>
      </c>
      <c r="U1340" s="273" t="s">
        <v>2281</v>
      </c>
      <c r="V1340" s="38">
        <v>37329</v>
      </c>
      <c r="W1340" s="38">
        <f t="shared" si="203"/>
        <v>8212.3799999999992</v>
      </c>
      <c r="X1340" s="38">
        <f t="shared" si="204"/>
        <v>45541.38</v>
      </c>
    </row>
    <row r="1341" spans="1:24" ht="15" customHeight="1" x14ac:dyDescent="0.35">
      <c r="A1341" s="56" t="s">
        <v>3578</v>
      </c>
      <c r="B1341" s="2">
        <v>1277</v>
      </c>
      <c r="C1341" s="77">
        <v>10089607</v>
      </c>
      <c r="D1341" s="74" t="s">
        <v>1619</v>
      </c>
      <c r="E1341" s="59" t="s">
        <v>2167</v>
      </c>
      <c r="F1341" s="75">
        <v>96</v>
      </c>
      <c r="G1341" s="64" t="s">
        <v>0</v>
      </c>
      <c r="H1341" s="78">
        <v>41431</v>
      </c>
      <c r="I1341" s="4" t="s">
        <v>957</v>
      </c>
      <c r="J1341" s="63" t="s">
        <v>1917</v>
      </c>
      <c r="K1341" s="63" t="s">
        <v>961</v>
      </c>
      <c r="L1341" s="69" t="s">
        <v>950</v>
      </c>
      <c r="M1341" s="70">
        <f t="shared" ref="M1341:M1353" si="206">O1341</f>
        <v>4285.4399999999996</v>
      </c>
      <c r="N1341" s="70">
        <f>O1341/F1341</f>
        <v>44.64</v>
      </c>
      <c r="O1341" s="70">
        <v>4285.4399999999996</v>
      </c>
      <c r="P1341" s="65">
        <v>7900</v>
      </c>
      <c r="Q1341" s="65">
        <f t="shared" si="201"/>
        <v>1738</v>
      </c>
      <c r="R1341" s="65">
        <f t="shared" si="202"/>
        <v>9638</v>
      </c>
      <c r="S1341" s="272"/>
      <c r="T1341" s="64">
        <v>61</v>
      </c>
      <c r="U1341" s="274"/>
      <c r="V1341" s="38">
        <v>8611</v>
      </c>
      <c r="W1341" s="38">
        <f t="shared" si="203"/>
        <v>1894.42</v>
      </c>
      <c r="X1341" s="38">
        <f t="shared" si="204"/>
        <v>10505.42</v>
      </c>
    </row>
    <row r="1342" spans="1:24" ht="15" customHeight="1" x14ac:dyDescent="0.35">
      <c r="A1342" s="56" t="s">
        <v>3579</v>
      </c>
      <c r="B1342" s="2">
        <v>1278</v>
      </c>
      <c r="C1342" s="77">
        <v>10138875</v>
      </c>
      <c r="D1342" s="74" t="s">
        <v>1822</v>
      </c>
      <c r="E1342" s="59" t="s">
        <v>2167</v>
      </c>
      <c r="F1342" s="75">
        <v>10</v>
      </c>
      <c r="G1342" s="64" t="s">
        <v>17</v>
      </c>
      <c r="H1342" s="78">
        <v>41577</v>
      </c>
      <c r="I1342" s="4" t="s">
        <v>957</v>
      </c>
      <c r="J1342" s="63" t="s">
        <v>1917</v>
      </c>
      <c r="K1342" s="63" t="s">
        <v>961</v>
      </c>
      <c r="L1342" s="69" t="s">
        <v>950</v>
      </c>
      <c r="M1342" s="70">
        <f t="shared" si="206"/>
        <v>1440.68</v>
      </c>
      <c r="N1342" s="70">
        <f>O1342/F1342</f>
        <v>144.07</v>
      </c>
      <c r="O1342" s="70">
        <v>1440.68</v>
      </c>
      <c r="P1342" s="65">
        <v>2570</v>
      </c>
      <c r="Q1342" s="65">
        <f t="shared" si="201"/>
        <v>565.4</v>
      </c>
      <c r="R1342" s="65">
        <f t="shared" si="202"/>
        <v>3135.4</v>
      </c>
      <c r="S1342" s="272"/>
      <c r="T1342" s="64">
        <v>61</v>
      </c>
      <c r="U1342" s="274"/>
      <c r="V1342" s="38">
        <v>2803</v>
      </c>
      <c r="W1342" s="38">
        <f t="shared" si="203"/>
        <v>616.66</v>
      </c>
      <c r="X1342" s="38">
        <f t="shared" si="204"/>
        <v>3419.66</v>
      </c>
    </row>
    <row r="1343" spans="1:24" ht="15" customHeight="1" x14ac:dyDescent="0.35">
      <c r="A1343" s="56" t="s">
        <v>3580</v>
      </c>
      <c r="B1343" s="2">
        <v>1279</v>
      </c>
      <c r="C1343" s="77">
        <v>10013497</v>
      </c>
      <c r="D1343" s="74" t="s">
        <v>1874</v>
      </c>
      <c r="E1343" s="59" t="s">
        <v>2167</v>
      </c>
      <c r="F1343" s="75">
        <v>16</v>
      </c>
      <c r="G1343" s="64" t="s">
        <v>0</v>
      </c>
      <c r="H1343" s="78">
        <v>41431</v>
      </c>
      <c r="I1343" s="4" t="s">
        <v>957</v>
      </c>
      <c r="J1343" s="63" t="s">
        <v>1917</v>
      </c>
      <c r="K1343" s="63" t="s">
        <v>961</v>
      </c>
      <c r="L1343" s="69" t="s">
        <v>950</v>
      </c>
      <c r="M1343" s="70">
        <f t="shared" si="206"/>
        <v>953.9</v>
      </c>
      <c r="N1343" s="70">
        <f>O1343/F1343</f>
        <v>59.62</v>
      </c>
      <c r="O1343" s="70">
        <v>953.9</v>
      </c>
      <c r="P1343" s="65">
        <v>1760</v>
      </c>
      <c r="Q1343" s="65">
        <f t="shared" si="201"/>
        <v>387.2</v>
      </c>
      <c r="R1343" s="65">
        <f t="shared" si="202"/>
        <v>2147.1999999999998</v>
      </c>
      <c r="S1343" s="272"/>
      <c r="T1343" s="64">
        <v>61</v>
      </c>
      <c r="U1343" s="274"/>
      <c r="V1343" s="38">
        <v>1917</v>
      </c>
      <c r="W1343" s="38">
        <f t="shared" si="203"/>
        <v>421.74</v>
      </c>
      <c r="X1343" s="38">
        <f t="shared" si="204"/>
        <v>2338.7399999999998</v>
      </c>
    </row>
    <row r="1344" spans="1:24" ht="71.25" customHeight="1" x14ac:dyDescent="0.35">
      <c r="A1344" s="56" t="s">
        <v>3581</v>
      </c>
      <c r="B1344" s="2">
        <v>1280</v>
      </c>
      <c r="C1344" s="11">
        <v>10042414</v>
      </c>
      <c r="D1344" s="3" t="s">
        <v>1334</v>
      </c>
      <c r="E1344" s="59" t="s">
        <v>2167</v>
      </c>
      <c r="F1344" s="14">
        <v>10</v>
      </c>
      <c r="G1344" s="64" t="s">
        <v>0</v>
      </c>
      <c r="H1344" s="5">
        <v>41426</v>
      </c>
      <c r="I1344" s="4" t="s">
        <v>957</v>
      </c>
      <c r="J1344" s="6" t="s">
        <v>1366</v>
      </c>
      <c r="K1344" s="63" t="s">
        <v>961</v>
      </c>
      <c r="L1344" s="69" t="s">
        <v>950</v>
      </c>
      <c r="M1344" s="70">
        <f t="shared" si="206"/>
        <v>625.74</v>
      </c>
      <c r="N1344" s="70">
        <f>O1344/F1344</f>
        <v>62.57</v>
      </c>
      <c r="O1344" s="70">
        <v>625.74</v>
      </c>
      <c r="P1344" s="65">
        <v>1150</v>
      </c>
      <c r="Q1344" s="65">
        <f t="shared" si="201"/>
        <v>253</v>
      </c>
      <c r="R1344" s="65">
        <f t="shared" si="202"/>
        <v>1403</v>
      </c>
      <c r="S1344" s="272"/>
      <c r="T1344" s="64">
        <v>61</v>
      </c>
      <c r="U1344" s="274"/>
      <c r="V1344" s="38">
        <v>1257</v>
      </c>
      <c r="W1344" s="38">
        <f t="shared" si="203"/>
        <v>276.54000000000002</v>
      </c>
      <c r="X1344" s="38">
        <f t="shared" si="204"/>
        <v>1533.54</v>
      </c>
    </row>
    <row r="1345" spans="1:24" ht="15" customHeight="1" x14ac:dyDescent="0.35">
      <c r="A1345" s="56" t="s">
        <v>3582</v>
      </c>
      <c r="B1345" s="2">
        <v>1281</v>
      </c>
      <c r="C1345" s="11">
        <v>10106869</v>
      </c>
      <c r="D1345" s="3" t="s">
        <v>1335</v>
      </c>
      <c r="E1345" s="59" t="s">
        <v>2167</v>
      </c>
      <c r="F1345" s="14">
        <v>40</v>
      </c>
      <c r="G1345" s="64" t="s">
        <v>0</v>
      </c>
      <c r="H1345" s="5">
        <v>41487</v>
      </c>
      <c r="I1345" s="4" t="s">
        <v>957</v>
      </c>
      <c r="J1345" s="6" t="s">
        <v>1365</v>
      </c>
      <c r="K1345" s="63" t="s">
        <v>961</v>
      </c>
      <c r="L1345" s="69" t="s">
        <v>950</v>
      </c>
      <c r="M1345" s="70">
        <f t="shared" si="206"/>
        <v>2644.61</v>
      </c>
      <c r="N1345" s="70">
        <f>O1345/F1345</f>
        <v>66.12</v>
      </c>
      <c r="O1345" s="70">
        <v>2644.61</v>
      </c>
      <c r="P1345" s="65">
        <v>4180</v>
      </c>
      <c r="Q1345" s="65">
        <f t="shared" si="201"/>
        <v>919.6</v>
      </c>
      <c r="R1345" s="65">
        <f t="shared" si="202"/>
        <v>5099.6000000000004</v>
      </c>
      <c r="S1345" s="276"/>
      <c r="T1345" s="64">
        <v>61</v>
      </c>
      <c r="U1345" s="274"/>
      <c r="V1345" s="38">
        <v>4553</v>
      </c>
      <c r="W1345" s="38">
        <f t="shared" si="203"/>
        <v>1001.66</v>
      </c>
      <c r="X1345" s="38">
        <f t="shared" si="204"/>
        <v>5554.66</v>
      </c>
    </row>
    <row r="1346" spans="1:24" ht="15" customHeight="1" x14ac:dyDescent="0.35">
      <c r="A1346" s="56"/>
      <c r="B1346" s="15"/>
      <c r="C1346" s="11"/>
      <c r="D1346" s="3"/>
      <c r="E1346" s="59"/>
      <c r="F1346" s="14"/>
      <c r="G1346" s="64"/>
      <c r="H1346" s="5"/>
      <c r="I1346" s="4"/>
      <c r="J1346" s="6"/>
      <c r="K1346" s="63"/>
      <c r="L1346" s="69"/>
      <c r="M1346" s="70"/>
      <c r="N1346" s="70"/>
      <c r="O1346" s="71">
        <f>SUM(O1340:O1345)</f>
        <v>29920.37</v>
      </c>
      <c r="P1346" s="71">
        <f t="shared" ref="P1346:R1346" si="207">SUM(P1340:P1345)</f>
        <v>51790</v>
      </c>
      <c r="Q1346" s="71">
        <f t="shared" si="207"/>
        <v>11393.8</v>
      </c>
      <c r="R1346" s="71">
        <f t="shared" si="207"/>
        <v>63183.8</v>
      </c>
      <c r="S1346" s="72">
        <f>R1346/100*10</f>
        <v>6318.38</v>
      </c>
      <c r="T1346" s="73">
        <v>61</v>
      </c>
      <c r="U1346" s="275"/>
      <c r="V1346" s="38"/>
      <c r="W1346" s="38"/>
      <c r="X1346" s="38"/>
    </row>
    <row r="1347" spans="1:24" ht="15" customHeight="1" x14ac:dyDescent="0.35">
      <c r="A1347" s="56" t="s">
        <v>3583</v>
      </c>
      <c r="B1347" s="2">
        <v>1282</v>
      </c>
      <c r="C1347" s="77">
        <v>10111329</v>
      </c>
      <c r="D1347" s="74" t="s">
        <v>101</v>
      </c>
      <c r="E1347" s="59" t="s">
        <v>2167</v>
      </c>
      <c r="F1347" s="75">
        <v>39</v>
      </c>
      <c r="G1347" s="64" t="s">
        <v>0</v>
      </c>
      <c r="H1347" s="101">
        <v>2014</v>
      </c>
      <c r="I1347" s="4" t="s">
        <v>957</v>
      </c>
      <c r="J1347" s="61" t="s">
        <v>1917</v>
      </c>
      <c r="K1347" s="101" t="s">
        <v>961</v>
      </c>
      <c r="L1347" s="61" t="s">
        <v>2097</v>
      </c>
      <c r="M1347" s="65">
        <f t="shared" si="206"/>
        <v>14693.25</v>
      </c>
      <c r="N1347" s="65">
        <f>O1347/F1347</f>
        <v>376.75</v>
      </c>
      <c r="O1347" s="65">
        <v>14693.25</v>
      </c>
      <c r="P1347" s="65">
        <v>19130</v>
      </c>
      <c r="Q1347" s="65">
        <f t="shared" si="201"/>
        <v>4208.6000000000004</v>
      </c>
      <c r="R1347" s="65">
        <f t="shared" si="202"/>
        <v>23338.6</v>
      </c>
      <c r="S1347" s="267"/>
      <c r="T1347" s="64">
        <v>62</v>
      </c>
      <c r="U1347" s="273" t="s">
        <v>2281</v>
      </c>
      <c r="V1347" s="38">
        <v>20573</v>
      </c>
      <c r="W1347" s="38">
        <f t="shared" si="203"/>
        <v>4526.0600000000004</v>
      </c>
      <c r="X1347" s="38">
        <f t="shared" si="204"/>
        <v>25099.06</v>
      </c>
    </row>
    <row r="1348" spans="1:24" ht="15" customHeight="1" x14ac:dyDescent="0.35">
      <c r="A1348" s="56" t="s">
        <v>3584</v>
      </c>
      <c r="B1348" s="2">
        <v>1283</v>
      </c>
      <c r="C1348" s="77">
        <v>10111296</v>
      </c>
      <c r="D1348" s="74" t="s">
        <v>103</v>
      </c>
      <c r="E1348" s="59" t="s">
        <v>2167</v>
      </c>
      <c r="F1348" s="75">
        <v>46</v>
      </c>
      <c r="G1348" s="64" t="s">
        <v>0</v>
      </c>
      <c r="H1348" s="101">
        <v>2014</v>
      </c>
      <c r="I1348" s="4" t="s">
        <v>957</v>
      </c>
      <c r="J1348" s="61" t="s">
        <v>1917</v>
      </c>
      <c r="K1348" s="101" t="s">
        <v>961</v>
      </c>
      <c r="L1348" s="61" t="s">
        <v>2097</v>
      </c>
      <c r="M1348" s="65">
        <f t="shared" si="206"/>
        <v>18884.38</v>
      </c>
      <c r="N1348" s="65">
        <f>O1348/F1348</f>
        <v>410.53</v>
      </c>
      <c r="O1348" s="65">
        <v>18884.38</v>
      </c>
      <c r="P1348" s="65">
        <v>27180</v>
      </c>
      <c r="Q1348" s="65">
        <f t="shared" si="201"/>
        <v>5979.6</v>
      </c>
      <c r="R1348" s="65">
        <f t="shared" si="202"/>
        <v>33159.599999999999</v>
      </c>
      <c r="S1348" s="272"/>
      <c r="T1348" s="64">
        <v>62</v>
      </c>
      <c r="U1348" s="274"/>
      <c r="V1348" s="38">
        <v>29229</v>
      </c>
      <c r="W1348" s="38">
        <f t="shared" si="203"/>
        <v>6430.38</v>
      </c>
      <c r="X1348" s="38">
        <f t="shared" si="204"/>
        <v>35659.379999999997</v>
      </c>
    </row>
    <row r="1349" spans="1:24" ht="15" customHeight="1" x14ac:dyDescent="0.35">
      <c r="A1349" s="56" t="s">
        <v>3585</v>
      </c>
      <c r="B1349" s="2">
        <v>1284</v>
      </c>
      <c r="C1349" s="77">
        <v>10110292</v>
      </c>
      <c r="D1349" s="74" t="s">
        <v>108</v>
      </c>
      <c r="E1349" s="59" t="s">
        <v>2167</v>
      </c>
      <c r="F1349" s="75">
        <v>55</v>
      </c>
      <c r="G1349" s="64" t="s">
        <v>0</v>
      </c>
      <c r="H1349" s="101">
        <v>2014</v>
      </c>
      <c r="I1349" s="4" t="s">
        <v>957</v>
      </c>
      <c r="J1349" s="61" t="s">
        <v>1917</v>
      </c>
      <c r="K1349" s="101" t="s">
        <v>961</v>
      </c>
      <c r="L1349" s="61" t="s">
        <v>2097</v>
      </c>
      <c r="M1349" s="65">
        <f t="shared" si="206"/>
        <v>8065.67</v>
      </c>
      <c r="N1349" s="65">
        <f>O1349/F1349</f>
        <v>146.65</v>
      </c>
      <c r="O1349" s="65">
        <v>8065.67</v>
      </c>
      <c r="P1349" s="65">
        <v>11200</v>
      </c>
      <c r="Q1349" s="65">
        <f t="shared" si="201"/>
        <v>2464</v>
      </c>
      <c r="R1349" s="65">
        <f t="shared" si="202"/>
        <v>13664</v>
      </c>
      <c r="S1349" s="276"/>
      <c r="T1349" s="64">
        <v>62</v>
      </c>
      <c r="U1349" s="274"/>
      <c r="V1349" s="38">
        <v>12043</v>
      </c>
      <c r="W1349" s="38">
        <f t="shared" si="203"/>
        <v>2649.46</v>
      </c>
      <c r="X1349" s="38">
        <f t="shared" si="204"/>
        <v>14692.46</v>
      </c>
    </row>
    <row r="1350" spans="1:24" ht="15" customHeight="1" x14ac:dyDescent="0.35">
      <c r="A1350" s="56"/>
      <c r="B1350" s="15"/>
      <c r="C1350" s="77"/>
      <c r="D1350" s="74"/>
      <c r="E1350" s="74"/>
      <c r="F1350" s="75"/>
      <c r="G1350" s="64"/>
      <c r="H1350" s="101"/>
      <c r="I1350" s="4"/>
      <c r="J1350" s="61"/>
      <c r="K1350" s="101"/>
      <c r="L1350" s="61"/>
      <c r="M1350" s="65"/>
      <c r="N1350" s="65"/>
      <c r="O1350" s="126">
        <f>SUM(O1347:O1349)</f>
        <v>41643.300000000003</v>
      </c>
      <c r="P1350" s="126">
        <f t="shared" ref="P1350:R1350" si="208">SUM(P1347:P1349)</f>
        <v>57510</v>
      </c>
      <c r="Q1350" s="126">
        <f t="shared" si="208"/>
        <v>12652.2</v>
      </c>
      <c r="R1350" s="126">
        <f t="shared" si="208"/>
        <v>70162.2</v>
      </c>
      <c r="S1350" s="72">
        <f>R1350/100*10</f>
        <v>7016.22</v>
      </c>
      <c r="T1350" s="73">
        <v>62</v>
      </c>
      <c r="U1350" s="275"/>
      <c r="V1350" s="38"/>
      <c r="W1350" s="38"/>
      <c r="X1350" s="38"/>
    </row>
    <row r="1351" spans="1:24" ht="15" customHeight="1" x14ac:dyDescent="0.35">
      <c r="A1351" s="56" t="s">
        <v>3586</v>
      </c>
      <c r="B1351" s="2">
        <v>1285</v>
      </c>
      <c r="C1351" s="77">
        <v>10147669</v>
      </c>
      <c r="D1351" s="74" t="s">
        <v>1749</v>
      </c>
      <c r="E1351" s="59" t="s">
        <v>2167</v>
      </c>
      <c r="F1351" s="75">
        <v>8</v>
      </c>
      <c r="G1351" s="64" t="s">
        <v>0</v>
      </c>
      <c r="H1351" s="78">
        <v>41620</v>
      </c>
      <c r="I1351" s="4" t="s">
        <v>957</v>
      </c>
      <c r="J1351" s="63" t="s">
        <v>1917</v>
      </c>
      <c r="K1351" s="63" t="s">
        <v>961</v>
      </c>
      <c r="L1351" s="69" t="s">
        <v>950</v>
      </c>
      <c r="M1351" s="70">
        <f t="shared" si="206"/>
        <v>9040</v>
      </c>
      <c r="N1351" s="70">
        <f>O1351/F1351</f>
        <v>1130</v>
      </c>
      <c r="O1351" s="70">
        <v>9040</v>
      </c>
      <c r="P1351" s="65">
        <v>15170</v>
      </c>
      <c r="Q1351" s="65">
        <f t="shared" si="201"/>
        <v>3337.4</v>
      </c>
      <c r="R1351" s="65">
        <f t="shared" si="202"/>
        <v>18507.400000000001</v>
      </c>
      <c r="S1351" s="267"/>
      <c r="T1351" s="64">
        <v>63</v>
      </c>
      <c r="U1351" s="274" t="s">
        <v>2282</v>
      </c>
      <c r="V1351" s="38">
        <v>16314</v>
      </c>
      <c r="W1351" s="38">
        <f t="shared" si="203"/>
        <v>3589.08</v>
      </c>
      <c r="X1351" s="38">
        <f t="shared" si="204"/>
        <v>19903.080000000002</v>
      </c>
    </row>
    <row r="1352" spans="1:24" ht="15" customHeight="1" x14ac:dyDescent="0.35">
      <c r="A1352" s="56" t="s">
        <v>3587</v>
      </c>
      <c r="B1352" s="2">
        <v>1286</v>
      </c>
      <c r="C1352" s="77">
        <v>10147668</v>
      </c>
      <c r="D1352" s="74" t="s">
        <v>1750</v>
      </c>
      <c r="E1352" s="59" t="s">
        <v>2167</v>
      </c>
      <c r="F1352" s="75">
        <f>4-1</f>
        <v>3</v>
      </c>
      <c r="G1352" s="64" t="s">
        <v>0</v>
      </c>
      <c r="H1352" s="78">
        <v>41620</v>
      </c>
      <c r="I1352" s="4" t="s">
        <v>957</v>
      </c>
      <c r="J1352" s="63" t="s">
        <v>1917</v>
      </c>
      <c r="K1352" s="63" t="s">
        <v>961</v>
      </c>
      <c r="L1352" s="69" t="s">
        <v>950</v>
      </c>
      <c r="M1352" s="70">
        <f t="shared" si="206"/>
        <v>8010</v>
      </c>
      <c r="N1352" s="70">
        <f>O1352/F1352</f>
        <v>2670</v>
      </c>
      <c r="O1352" s="70">
        <f>10680/4*3</f>
        <v>8010</v>
      </c>
      <c r="P1352" s="65">
        <v>13440</v>
      </c>
      <c r="Q1352" s="65">
        <f t="shared" si="201"/>
        <v>2956.8</v>
      </c>
      <c r="R1352" s="65">
        <f t="shared" si="202"/>
        <v>16396.8</v>
      </c>
      <c r="S1352" s="272"/>
      <c r="T1352" s="64">
        <v>63</v>
      </c>
      <c r="U1352" s="274"/>
      <c r="V1352" s="38">
        <v>14455</v>
      </c>
      <c r="W1352" s="38">
        <f t="shared" si="203"/>
        <v>3180.1</v>
      </c>
      <c r="X1352" s="38">
        <f t="shared" si="204"/>
        <v>17635.099999999999</v>
      </c>
    </row>
    <row r="1353" spans="1:24" ht="15" customHeight="1" x14ac:dyDescent="0.35">
      <c r="A1353" s="56" t="s">
        <v>3588</v>
      </c>
      <c r="B1353" s="2">
        <v>1287</v>
      </c>
      <c r="C1353" s="77">
        <v>10147741</v>
      </c>
      <c r="D1353" s="74" t="s">
        <v>1751</v>
      </c>
      <c r="E1353" s="59" t="s">
        <v>2167</v>
      </c>
      <c r="F1353" s="75">
        <v>2</v>
      </c>
      <c r="G1353" s="64" t="s">
        <v>0</v>
      </c>
      <c r="H1353" s="78">
        <v>41620</v>
      </c>
      <c r="I1353" s="4" t="s">
        <v>957</v>
      </c>
      <c r="J1353" s="63" t="s">
        <v>1917</v>
      </c>
      <c r="K1353" s="63" t="s">
        <v>961</v>
      </c>
      <c r="L1353" s="69" t="s">
        <v>950</v>
      </c>
      <c r="M1353" s="70">
        <f t="shared" si="206"/>
        <v>9912</v>
      </c>
      <c r="N1353" s="70">
        <f>O1353/F1353</f>
        <v>4956</v>
      </c>
      <c r="O1353" s="70">
        <v>9912</v>
      </c>
      <c r="P1353" s="65">
        <v>16640</v>
      </c>
      <c r="Q1353" s="65">
        <f t="shared" si="201"/>
        <v>3660.8</v>
      </c>
      <c r="R1353" s="65">
        <f t="shared" si="202"/>
        <v>20300.8</v>
      </c>
      <c r="S1353" s="276"/>
      <c r="T1353" s="64">
        <v>63</v>
      </c>
      <c r="U1353" s="274"/>
      <c r="V1353" s="38">
        <v>17888</v>
      </c>
      <c r="W1353" s="38">
        <f t="shared" si="203"/>
        <v>3935.36</v>
      </c>
      <c r="X1353" s="38">
        <f t="shared" si="204"/>
        <v>21823.360000000001</v>
      </c>
    </row>
    <row r="1354" spans="1:24" ht="15" customHeight="1" x14ac:dyDescent="0.35">
      <c r="A1354" s="56"/>
      <c r="B1354" s="15"/>
      <c r="C1354" s="77"/>
      <c r="D1354" s="74"/>
      <c r="E1354" s="74"/>
      <c r="F1354" s="75"/>
      <c r="G1354" s="64"/>
      <c r="H1354" s="78"/>
      <c r="I1354" s="4"/>
      <c r="J1354" s="63"/>
      <c r="K1354" s="63"/>
      <c r="L1354" s="69"/>
      <c r="M1354" s="70"/>
      <c r="N1354" s="70"/>
      <c r="O1354" s="138">
        <f>SUM(O1351:O1353)</f>
        <v>26962</v>
      </c>
      <c r="P1354" s="138">
        <f t="shared" ref="P1354:R1354" si="209">SUM(P1351:P1353)</f>
        <v>45250</v>
      </c>
      <c r="Q1354" s="138">
        <f t="shared" si="209"/>
        <v>9955</v>
      </c>
      <c r="R1354" s="138">
        <f t="shared" si="209"/>
        <v>55205</v>
      </c>
      <c r="S1354" s="72">
        <f>R1354/100*10</f>
        <v>5520.5</v>
      </c>
      <c r="T1354" s="73">
        <v>63</v>
      </c>
      <c r="U1354" s="271"/>
      <c r="V1354" s="38"/>
      <c r="W1354" s="38"/>
      <c r="X1354" s="38"/>
    </row>
    <row r="1355" spans="1:24" ht="15" customHeight="1" x14ac:dyDescent="0.35">
      <c r="A1355" s="56" t="s">
        <v>3589</v>
      </c>
      <c r="B1355" s="2">
        <v>1288</v>
      </c>
      <c r="C1355" s="11">
        <v>10100493</v>
      </c>
      <c r="D1355" s="3" t="s">
        <v>2246</v>
      </c>
      <c r="E1355" s="59" t="s">
        <v>2167</v>
      </c>
      <c r="F1355" s="14">
        <v>2</v>
      </c>
      <c r="G1355" s="64" t="s">
        <v>0</v>
      </c>
      <c r="H1355" s="5">
        <v>41620</v>
      </c>
      <c r="I1355" s="4" t="s">
        <v>957</v>
      </c>
      <c r="J1355" s="63" t="s">
        <v>1917</v>
      </c>
      <c r="K1355" s="63" t="s">
        <v>961</v>
      </c>
      <c r="L1355" s="69" t="s">
        <v>2093</v>
      </c>
      <c r="M1355" s="70">
        <v>1171.17</v>
      </c>
      <c r="N1355" s="70">
        <v>585.59</v>
      </c>
      <c r="O1355" s="70">
        <v>1171.17</v>
      </c>
      <c r="P1355" s="65">
        <v>1200</v>
      </c>
      <c r="Q1355" s="65">
        <f t="shared" si="201"/>
        <v>264</v>
      </c>
      <c r="R1355" s="65">
        <f t="shared" si="202"/>
        <v>1464</v>
      </c>
      <c r="S1355" s="194"/>
      <c r="T1355" s="64">
        <v>64</v>
      </c>
      <c r="U1355" s="282" t="s">
        <v>2282</v>
      </c>
      <c r="V1355" s="38">
        <v>1201</v>
      </c>
      <c r="W1355" s="38">
        <f t="shared" si="203"/>
        <v>264.22000000000003</v>
      </c>
      <c r="X1355" s="38">
        <f t="shared" si="204"/>
        <v>1465.22</v>
      </c>
    </row>
    <row r="1356" spans="1:24" ht="15" customHeight="1" x14ac:dyDescent="0.35">
      <c r="A1356" s="56"/>
      <c r="B1356" s="15"/>
      <c r="C1356" s="11"/>
      <c r="D1356" s="3"/>
      <c r="E1356" s="59"/>
      <c r="F1356" s="14"/>
      <c r="G1356" s="64"/>
      <c r="H1356" s="5"/>
      <c r="I1356" s="4"/>
      <c r="J1356" s="63"/>
      <c r="K1356" s="63"/>
      <c r="L1356" s="69"/>
      <c r="M1356" s="70"/>
      <c r="N1356" s="70"/>
      <c r="O1356" s="71">
        <f>O1355</f>
        <v>1171.17</v>
      </c>
      <c r="P1356" s="71">
        <f t="shared" ref="P1356:R1356" si="210">P1355</f>
        <v>1200</v>
      </c>
      <c r="Q1356" s="71">
        <f t="shared" si="210"/>
        <v>264</v>
      </c>
      <c r="R1356" s="71">
        <f t="shared" si="210"/>
        <v>1464</v>
      </c>
      <c r="S1356" s="72">
        <f>R1356/100*10</f>
        <v>146.4</v>
      </c>
      <c r="T1356" s="73">
        <v>64</v>
      </c>
      <c r="U1356" s="283"/>
      <c r="V1356" s="38"/>
      <c r="W1356" s="38"/>
      <c r="X1356" s="38"/>
    </row>
    <row r="1357" spans="1:24" ht="43" customHeight="1" x14ac:dyDescent="0.35">
      <c r="A1357" s="56" t="s">
        <v>3590</v>
      </c>
      <c r="B1357" s="2">
        <v>1289</v>
      </c>
      <c r="C1357" s="77">
        <v>102001162</v>
      </c>
      <c r="D1357" s="74" t="s">
        <v>236</v>
      </c>
      <c r="E1357" s="59" t="s">
        <v>2138</v>
      </c>
      <c r="F1357" s="75">
        <v>1</v>
      </c>
      <c r="G1357" s="64" t="s">
        <v>0</v>
      </c>
      <c r="H1357" s="61" t="s">
        <v>503</v>
      </c>
      <c r="I1357" s="92" t="s">
        <v>1318</v>
      </c>
      <c r="J1357" s="61" t="s">
        <v>1917</v>
      </c>
      <c r="K1357" s="108" t="s">
        <v>2140</v>
      </c>
      <c r="L1357" s="61" t="s">
        <v>950</v>
      </c>
      <c r="M1357" s="65">
        <f t="shared" ref="M1357:M1419" si="211">O1357</f>
        <v>243128.38</v>
      </c>
      <c r="N1357" s="65">
        <f t="shared" ref="N1357:N1365" si="212">O1357/F1357</f>
        <v>243128.38</v>
      </c>
      <c r="O1357" s="65">
        <v>243128.38</v>
      </c>
      <c r="P1357" s="65">
        <v>396170</v>
      </c>
      <c r="Q1357" s="65">
        <f t="shared" si="201"/>
        <v>87157.4</v>
      </c>
      <c r="R1357" s="65">
        <f t="shared" si="202"/>
        <v>483327.4</v>
      </c>
      <c r="S1357" s="267"/>
      <c r="T1357" s="64">
        <v>65</v>
      </c>
      <c r="U1357" s="273" t="s">
        <v>4166</v>
      </c>
      <c r="V1357" s="38">
        <v>432031</v>
      </c>
      <c r="W1357" s="38">
        <f t="shared" si="203"/>
        <v>95046.82</v>
      </c>
      <c r="X1357" s="38">
        <f t="shared" si="204"/>
        <v>527077.81999999995</v>
      </c>
    </row>
    <row r="1358" spans="1:24" ht="31.5" customHeight="1" x14ac:dyDescent="0.35">
      <c r="A1358" s="56" t="s">
        <v>3591</v>
      </c>
      <c r="B1358" s="2">
        <v>1290</v>
      </c>
      <c r="C1358" s="77">
        <v>102002369</v>
      </c>
      <c r="D1358" s="74" t="s">
        <v>237</v>
      </c>
      <c r="E1358" s="59" t="s">
        <v>2139</v>
      </c>
      <c r="F1358" s="75">
        <v>6</v>
      </c>
      <c r="G1358" s="64" t="s">
        <v>0</v>
      </c>
      <c r="H1358" s="61" t="s">
        <v>504</v>
      </c>
      <c r="I1358" s="92" t="s">
        <v>1318</v>
      </c>
      <c r="J1358" s="61" t="s">
        <v>1917</v>
      </c>
      <c r="K1358" s="93" t="s">
        <v>2141</v>
      </c>
      <c r="L1358" s="61" t="s">
        <v>950</v>
      </c>
      <c r="M1358" s="65">
        <f t="shared" si="211"/>
        <v>2676603.83</v>
      </c>
      <c r="N1358" s="65">
        <f t="shared" si="212"/>
        <v>446100.64</v>
      </c>
      <c r="O1358" s="65">
        <v>2676603.83</v>
      </c>
      <c r="P1358" s="65">
        <v>3736520</v>
      </c>
      <c r="Q1358" s="65">
        <f t="shared" si="201"/>
        <v>822034.4</v>
      </c>
      <c r="R1358" s="65">
        <f t="shared" si="202"/>
        <v>4558554.4000000004</v>
      </c>
      <c r="S1358" s="272"/>
      <c r="T1358" s="64">
        <v>65</v>
      </c>
      <c r="U1358" s="274"/>
      <c r="V1358" s="38">
        <v>4074716</v>
      </c>
      <c r="W1358" s="38">
        <f t="shared" si="203"/>
        <v>896437.52</v>
      </c>
      <c r="X1358" s="38">
        <f t="shared" si="204"/>
        <v>4971153.5199999996</v>
      </c>
    </row>
    <row r="1359" spans="1:24" ht="32.15" customHeight="1" x14ac:dyDescent="0.35">
      <c r="A1359" s="56" t="s">
        <v>3592</v>
      </c>
      <c r="B1359" s="2">
        <v>1291</v>
      </c>
      <c r="C1359" s="77">
        <v>102002370</v>
      </c>
      <c r="D1359" s="74" t="s">
        <v>238</v>
      </c>
      <c r="E1359" s="59" t="s">
        <v>2139</v>
      </c>
      <c r="F1359" s="75">
        <v>8</v>
      </c>
      <c r="G1359" s="64" t="s">
        <v>0</v>
      </c>
      <c r="H1359" s="61" t="s">
        <v>504</v>
      </c>
      <c r="I1359" s="92" t="s">
        <v>1318</v>
      </c>
      <c r="J1359" s="61" t="s">
        <v>1917</v>
      </c>
      <c r="K1359" s="93" t="s">
        <v>2142</v>
      </c>
      <c r="L1359" s="61" t="s">
        <v>950</v>
      </c>
      <c r="M1359" s="65">
        <f t="shared" si="211"/>
        <v>4310248.6900000004</v>
      </c>
      <c r="N1359" s="65">
        <f t="shared" si="212"/>
        <v>538781.09</v>
      </c>
      <c r="O1359" s="65">
        <v>4310248.6900000004</v>
      </c>
      <c r="P1359" s="65">
        <v>6017070</v>
      </c>
      <c r="Q1359" s="65">
        <f t="shared" si="201"/>
        <v>1323755.3999999999</v>
      </c>
      <c r="R1359" s="65">
        <f t="shared" si="202"/>
        <v>7340825.4000000004</v>
      </c>
      <c r="S1359" s="272"/>
      <c r="T1359" s="64">
        <v>65</v>
      </c>
      <c r="U1359" s="274"/>
      <c r="V1359" s="38">
        <v>6561689</v>
      </c>
      <c r="W1359" s="38">
        <f t="shared" si="203"/>
        <v>1443571.58</v>
      </c>
      <c r="X1359" s="38">
        <f t="shared" si="204"/>
        <v>8005260.5800000001</v>
      </c>
    </row>
    <row r="1360" spans="1:24" ht="15" customHeight="1" x14ac:dyDescent="0.35">
      <c r="A1360" s="56" t="s">
        <v>3593</v>
      </c>
      <c r="B1360" s="2">
        <v>1292</v>
      </c>
      <c r="C1360" s="77">
        <v>10119324</v>
      </c>
      <c r="D1360" s="74" t="s">
        <v>1731</v>
      </c>
      <c r="E1360" s="59" t="s">
        <v>2167</v>
      </c>
      <c r="F1360" s="75">
        <v>1</v>
      </c>
      <c r="G1360" s="64" t="s">
        <v>0</v>
      </c>
      <c r="H1360" s="78">
        <v>41320</v>
      </c>
      <c r="I1360" s="4" t="s">
        <v>957</v>
      </c>
      <c r="J1360" s="63" t="s">
        <v>1917</v>
      </c>
      <c r="K1360" s="63" t="s">
        <v>961</v>
      </c>
      <c r="L1360" s="69" t="s">
        <v>950</v>
      </c>
      <c r="M1360" s="70">
        <f t="shared" si="211"/>
        <v>19048</v>
      </c>
      <c r="N1360" s="70">
        <f t="shared" si="212"/>
        <v>19048</v>
      </c>
      <c r="O1360" s="70">
        <v>19048</v>
      </c>
      <c r="P1360" s="65">
        <v>30310</v>
      </c>
      <c r="Q1360" s="65">
        <f t="shared" si="201"/>
        <v>6668.2</v>
      </c>
      <c r="R1360" s="65">
        <f t="shared" si="202"/>
        <v>36978.199999999997</v>
      </c>
      <c r="S1360" s="272"/>
      <c r="T1360" s="64">
        <v>65</v>
      </c>
      <c r="U1360" s="274"/>
      <c r="V1360" s="38">
        <v>33056</v>
      </c>
      <c r="W1360" s="38">
        <f t="shared" si="203"/>
        <v>7272.32</v>
      </c>
      <c r="X1360" s="38">
        <f t="shared" si="204"/>
        <v>40328.32</v>
      </c>
    </row>
    <row r="1361" spans="1:24" ht="15" customHeight="1" x14ac:dyDescent="0.35">
      <c r="A1361" s="56" t="s">
        <v>3594</v>
      </c>
      <c r="B1361" s="2">
        <v>1293</v>
      </c>
      <c r="C1361" s="77">
        <v>10131624</v>
      </c>
      <c r="D1361" s="74" t="s">
        <v>1732</v>
      </c>
      <c r="E1361" s="59" t="s">
        <v>2167</v>
      </c>
      <c r="F1361" s="75">
        <v>1</v>
      </c>
      <c r="G1361" s="64" t="s">
        <v>0</v>
      </c>
      <c r="H1361" s="78">
        <v>41431</v>
      </c>
      <c r="I1361" s="4" t="s">
        <v>957</v>
      </c>
      <c r="J1361" s="63" t="s">
        <v>1917</v>
      </c>
      <c r="K1361" s="63" t="s">
        <v>961</v>
      </c>
      <c r="L1361" s="69" t="s">
        <v>950</v>
      </c>
      <c r="M1361" s="70">
        <f t="shared" si="211"/>
        <v>34775.03</v>
      </c>
      <c r="N1361" s="70">
        <f t="shared" si="212"/>
        <v>34775.03</v>
      </c>
      <c r="O1361" s="70">
        <v>34775.03</v>
      </c>
      <c r="P1361" s="65">
        <v>55290</v>
      </c>
      <c r="Q1361" s="65">
        <f t="shared" si="201"/>
        <v>12163.8</v>
      </c>
      <c r="R1361" s="65">
        <f t="shared" si="202"/>
        <v>67453.8</v>
      </c>
      <c r="S1361" s="272"/>
      <c r="T1361" s="64">
        <v>65</v>
      </c>
      <c r="U1361" s="274"/>
      <c r="V1361" s="38">
        <v>60296</v>
      </c>
      <c r="W1361" s="38">
        <f t="shared" si="203"/>
        <v>13265.12</v>
      </c>
      <c r="X1361" s="38">
        <f t="shared" si="204"/>
        <v>73561.119999999995</v>
      </c>
    </row>
    <row r="1362" spans="1:24" ht="15" customHeight="1" x14ac:dyDescent="0.35">
      <c r="A1362" s="56" t="s">
        <v>3595</v>
      </c>
      <c r="B1362" s="2">
        <v>1294</v>
      </c>
      <c r="C1362" s="77">
        <v>10134023</v>
      </c>
      <c r="D1362" s="74" t="s">
        <v>1739</v>
      </c>
      <c r="E1362" s="59" t="s">
        <v>2167</v>
      </c>
      <c r="F1362" s="75">
        <v>6</v>
      </c>
      <c r="G1362" s="64" t="s">
        <v>0</v>
      </c>
      <c r="H1362" s="78">
        <v>41239</v>
      </c>
      <c r="I1362" s="4" t="s">
        <v>957</v>
      </c>
      <c r="J1362" s="63" t="s">
        <v>1917</v>
      </c>
      <c r="K1362" s="63" t="s">
        <v>961</v>
      </c>
      <c r="L1362" s="69" t="s">
        <v>950</v>
      </c>
      <c r="M1362" s="70">
        <f t="shared" si="211"/>
        <v>41592</v>
      </c>
      <c r="N1362" s="70">
        <f t="shared" si="212"/>
        <v>6932</v>
      </c>
      <c r="O1362" s="70">
        <v>41592</v>
      </c>
      <c r="P1362" s="65">
        <v>67630</v>
      </c>
      <c r="Q1362" s="65">
        <f t="shared" si="201"/>
        <v>14878.6</v>
      </c>
      <c r="R1362" s="65">
        <f t="shared" si="202"/>
        <v>82508.600000000006</v>
      </c>
      <c r="S1362" s="272"/>
      <c r="T1362" s="64">
        <v>65</v>
      </c>
      <c r="U1362" s="274"/>
      <c r="V1362" s="38">
        <v>73748</v>
      </c>
      <c r="W1362" s="38">
        <f t="shared" si="203"/>
        <v>16224.56</v>
      </c>
      <c r="X1362" s="38">
        <f t="shared" si="204"/>
        <v>89972.56</v>
      </c>
    </row>
    <row r="1363" spans="1:24" ht="15" customHeight="1" x14ac:dyDescent="0.35">
      <c r="A1363" s="56" t="s">
        <v>3596</v>
      </c>
      <c r="B1363" s="2">
        <v>1295</v>
      </c>
      <c r="C1363" s="11">
        <v>10145073</v>
      </c>
      <c r="D1363" s="3" t="s">
        <v>1359</v>
      </c>
      <c r="E1363" s="59" t="s">
        <v>2167</v>
      </c>
      <c r="F1363" s="14">
        <v>1</v>
      </c>
      <c r="G1363" s="64" t="s">
        <v>0</v>
      </c>
      <c r="H1363" s="5">
        <v>41426</v>
      </c>
      <c r="I1363" s="4" t="s">
        <v>957</v>
      </c>
      <c r="J1363" s="6" t="s">
        <v>1362</v>
      </c>
      <c r="K1363" s="63" t="s">
        <v>961</v>
      </c>
      <c r="L1363" s="69" t="s">
        <v>950</v>
      </c>
      <c r="M1363" s="70">
        <f t="shared" si="211"/>
        <v>5873.48</v>
      </c>
      <c r="N1363" s="70">
        <f t="shared" si="212"/>
        <v>5873.48</v>
      </c>
      <c r="O1363" s="70">
        <v>5873.48</v>
      </c>
      <c r="P1363" s="65">
        <v>9340</v>
      </c>
      <c r="Q1363" s="65">
        <f t="shared" si="201"/>
        <v>2054.8000000000002</v>
      </c>
      <c r="R1363" s="65">
        <f t="shared" si="202"/>
        <v>11394.8</v>
      </c>
      <c r="S1363" s="272"/>
      <c r="T1363" s="64">
        <v>65</v>
      </c>
      <c r="U1363" s="274"/>
      <c r="V1363" s="38">
        <v>10184</v>
      </c>
      <c r="W1363" s="38">
        <f t="shared" si="203"/>
        <v>2240.48</v>
      </c>
      <c r="X1363" s="38">
        <f t="shared" si="204"/>
        <v>12424.48</v>
      </c>
    </row>
    <row r="1364" spans="1:24" ht="15" customHeight="1" x14ac:dyDescent="0.35">
      <c r="A1364" s="56" t="s">
        <v>3597</v>
      </c>
      <c r="B1364" s="2">
        <v>1296</v>
      </c>
      <c r="C1364" s="11">
        <v>10138873</v>
      </c>
      <c r="D1364" s="3" t="s">
        <v>1360</v>
      </c>
      <c r="E1364" s="59" t="s">
        <v>2167</v>
      </c>
      <c r="F1364" s="14">
        <v>1</v>
      </c>
      <c r="G1364" s="64" t="s">
        <v>0</v>
      </c>
      <c r="H1364" s="5">
        <v>41365</v>
      </c>
      <c r="I1364" s="4" t="s">
        <v>957</v>
      </c>
      <c r="J1364" s="6" t="s">
        <v>1362</v>
      </c>
      <c r="K1364" s="63" t="s">
        <v>961</v>
      </c>
      <c r="L1364" s="69" t="s">
        <v>950</v>
      </c>
      <c r="M1364" s="70">
        <f t="shared" si="211"/>
        <v>2709.3</v>
      </c>
      <c r="N1364" s="70">
        <f t="shared" si="212"/>
        <v>2709.3</v>
      </c>
      <c r="O1364" s="70">
        <v>2709.3</v>
      </c>
      <c r="P1364" s="65">
        <v>4330</v>
      </c>
      <c r="Q1364" s="65">
        <f t="shared" si="201"/>
        <v>952.6</v>
      </c>
      <c r="R1364" s="65">
        <f t="shared" si="202"/>
        <v>5282.6</v>
      </c>
      <c r="S1364" s="272"/>
      <c r="T1364" s="64">
        <v>65</v>
      </c>
      <c r="U1364" s="274"/>
      <c r="V1364" s="38">
        <v>4727</v>
      </c>
      <c r="W1364" s="38">
        <f t="shared" si="203"/>
        <v>1039.94</v>
      </c>
      <c r="X1364" s="38">
        <f t="shared" si="204"/>
        <v>5766.94</v>
      </c>
    </row>
    <row r="1365" spans="1:24" ht="15" customHeight="1" x14ac:dyDescent="0.35">
      <c r="A1365" s="56" t="s">
        <v>3598</v>
      </c>
      <c r="B1365" s="2">
        <v>1297</v>
      </c>
      <c r="C1365" s="11">
        <v>102001598</v>
      </c>
      <c r="D1365" s="3" t="s">
        <v>1361</v>
      </c>
      <c r="E1365" s="59" t="s">
        <v>2167</v>
      </c>
      <c r="F1365" s="14">
        <v>1</v>
      </c>
      <c r="G1365" s="64" t="s">
        <v>0</v>
      </c>
      <c r="H1365" s="5">
        <v>41456</v>
      </c>
      <c r="I1365" s="4" t="s">
        <v>957</v>
      </c>
      <c r="J1365" s="6" t="s">
        <v>1362</v>
      </c>
      <c r="K1365" s="63" t="s">
        <v>961</v>
      </c>
      <c r="L1365" s="69" t="s">
        <v>950</v>
      </c>
      <c r="M1365" s="70">
        <f t="shared" si="211"/>
        <v>112968.15</v>
      </c>
      <c r="N1365" s="70">
        <f t="shared" si="212"/>
        <v>112968.15</v>
      </c>
      <c r="O1365" s="70">
        <v>112968.15</v>
      </c>
      <c r="P1365" s="65">
        <v>180650</v>
      </c>
      <c r="Q1365" s="65">
        <f t="shared" si="201"/>
        <v>39743</v>
      </c>
      <c r="R1365" s="65">
        <f t="shared" si="202"/>
        <v>220393</v>
      </c>
      <c r="S1365" s="276"/>
      <c r="T1365" s="64">
        <v>65</v>
      </c>
      <c r="U1365" s="274"/>
      <c r="V1365" s="38">
        <v>197004</v>
      </c>
      <c r="W1365" s="38">
        <f t="shared" si="203"/>
        <v>43340.88</v>
      </c>
      <c r="X1365" s="38">
        <f t="shared" si="204"/>
        <v>240344.88</v>
      </c>
    </row>
    <row r="1366" spans="1:24" ht="15" customHeight="1" x14ac:dyDescent="0.35">
      <c r="A1366" s="56"/>
      <c r="B1366" s="15"/>
      <c r="C1366" s="11"/>
      <c r="D1366" s="3"/>
      <c r="E1366" s="59"/>
      <c r="F1366" s="14"/>
      <c r="G1366" s="64"/>
      <c r="H1366" s="5"/>
      <c r="I1366" s="4"/>
      <c r="J1366" s="6"/>
      <c r="K1366" s="63"/>
      <c r="L1366" s="69"/>
      <c r="M1366" s="70"/>
      <c r="N1366" s="70"/>
      <c r="O1366" s="71">
        <f>SUM(O1357:O1365)</f>
        <v>7446946.8600000003</v>
      </c>
      <c r="P1366" s="71">
        <f t="shared" ref="P1366:R1366" si="213">SUM(P1357:P1365)</f>
        <v>10497310</v>
      </c>
      <c r="Q1366" s="71">
        <f t="shared" si="213"/>
        <v>2309408.2000000002</v>
      </c>
      <c r="R1366" s="71">
        <f t="shared" si="213"/>
        <v>12806718.199999999</v>
      </c>
      <c r="S1366" s="72">
        <f>R1366/100*10</f>
        <v>1280671.82</v>
      </c>
      <c r="T1366" s="73">
        <v>65</v>
      </c>
      <c r="U1366" s="275"/>
      <c r="V1366" s="38"/>
      <c r="W1366" s="38"/>
      <c r="X1366" s="38"/>
    </row>
    <row r="1367" spans="1:24" ht="15.75" customHeight="1" x14ac:dyDescent="0.35">
      <c r="A1367" s="56" t="s">
        <v>3599</v>
      </c>
      <c r="B1367" s="2">
        <v>1298</v>
      </c>
      <c r="C1367" s="109">
        <v>102000401</v>
      </c>
      <c r="D1367" s="110" t="s">
        <v>945</v>
      </c>
      <c r="E1367" s="74" t="s">
        <v>3986</v>
      </c>
      <c r="F1367" s="91">
        <v>1</v>
      </c>
      <c r="G1367" s="64" t="s">
        <v>0</v>
      </c>
      <c r="H1367" s="124">
        <v>42277</v>
      </c>
      <c r="I1367" s="63" t="s">
        <v>972</v>
      </c>
      <c r="J1367" s="63" t="s">
        <v>1917</v>
      </c>
      <c r="K1367" s="63" t="s">
        <v>961</v>
      </c>
      <c r="L1367" s="61" t="s">
        <v>845</v>
      </c>
      <c r="M1367" s="65">
        <f t="shared" si="211"/>
        <v>71004.05</v>
      </c>
      <c r="N1367" s="65">
        <f>O1367/F1367</f>
        <v>71004.05</v>
      </c>
      <c r="O1367" s="65">
        <v>71004.05</v>
      </c>
      <c r="P1367" s="65">
        <v>63200</v>
      </c>
      <c r="Q1367" s="65">
        <f t="shared" si="201"/>
        <v>13904</v>
      </c>
      <c r="R1367" s="65">
        <f t="shared" si="202"/>
        <v>77104</v>
      </c>
      <c r="S1367" s="267"/>
      <c r="T1367" s="64">
        <v>66</v>
      </c>
      <c r="U1367" s="270" t="s">
        <v>4166</v>
      </c>
      <c r="V1367" s="38">
        <v>63198</v>
      </c>
      <c r="W1367" s="38">
        <f t="shared" si="203"/>
        <v>13903.56</v>
      </c>
      <c r="X1367" s="38">
        <f t="shared" si="204"/>
        <v>77101.56</v>
      </c>
    </row>
    <row r="1368" spans="1:24" ht="22.5" customHeight="1" x14ac:dyDescent="0.35">
      <c r="A1368" s="56" t="s">
        <v>3600</v>
      </c>
      <c r="B1368" s="2">
        <v>1299</v>
      </c>
      <c r="C1368" s="109">
        <v>10106493</v>
      </c>
      <c r="D1368" s="110" t="s">
        <v>944</v>
      </c>
      <c r="E1368" s="74" t="s">
        <v>2151</v>
      </c>
      <c r="F1368" s="91">
        <v>1</v>
      </c>
      <c r="G1368" s="64" t="s">
        <v>0</v>
      </c>
      <c r="H1368" s="124">
        <v>42307</v>
      </c>
      <c r="I1368" s="63" t="s">
        <v>972</v>
      </c>
      <c r="J1368" s="63" t="s">
        <v>1917</v>
      </c>
      <c r="K1368" s="63" t="s">
        <v>961</v>
      </c>
      <c r="L1368" s="61" t="s">
        <v>845</v>
      </c>
      <c r="M1368" s="65">
        <f t="shared" si="211"/>
        <v>14597.07</v>
      </c>
      <c r="N1368" s="65">
        <f>O1368/F1368</f>
        <v>14597.07</v>
      </c>
      <c r="O1368" s="65">
        <v>14597.07</v>
      </c>
      <c r="P1368" s="65">
        <v>22710</v>
      </c>
      <c r="Q1368" s="65">
        <f t="shared" si="201"/>
        <v>4996.2</v>
      </c>
      <c r="R1368" s="65">
        <f t="shared" si="202"/>
        <v>27706.2</v>
      </c>
      <c r="S1368" s="276"/>
      <c r="T1368" s="64">
        <v>66</v>
      </c>
      <c r="U1368" s="270"/>
      <c r="V1368" s="38">
        <v>22709</v>
      </c>
      <c r="W1368" s="38">
        <f t="shared" si="203"/>
        <v>4995.9799999999996</v>
      </c>
      <c r="X1368" s="38">
        <f t="shared" si="204"/>
        <v>27704.98</v>
      </c>
    </row>
    <row r="1369" spans="1:24" ht="15.65" customHeight="1" x14ac:dyDescent="0.35">
      <c r="A1369" s="56"/>
      <c r="B1369" s="15"/>
      <c r="C1369" s="109"/>
      <c r="D1369" s="110"/>
      <c r="E1369" s="74"/>
      <c r="F1369" s="91"/>
      <c r="G1369" s="64"/>
      <c r="H1369" s="124"/>
      <c r="I1369" s="63"/>
      <c r="J1369" s="63"/>
      <c r="K1369" s="63"/>
      <c r="L1369" s="61"/>
      <c r="M1369" s="65"/>
      <c r="N1369" s="65"/>
      <c r="O1369" s="126">
        <f>SUM(O1367:O1368)</f>
        <v>85601.12</v>
      </c>
      <c r="P1369" s="126">
        <f t="shared" ref="P1369:R1369" si="214">SUM(P1367:P1368)</f>
        <v>85910</v>
      </c>
      <c r="Q1369" s="126">
        <f t="shared" si="214"/>
        <v>18900.2</v>
      </c>
      <c r="R1369" s="126">
        <f t="shared" si="214"/>
        <v>104810.2</v>
      </c>
      <c r="S1369" s="72">
        <f>R1369/100*10</f>
        <v>10481.02</v>
      </c>
      <c r="T1369" s="73">
        <v>66</v>
      </c>
      <c r="U1369" s="271"/>
      <c r="V1369" s="38"/>
      <c r="W1369" s="38"/>
      <c r="X1369" s="38"/>
    </row>
    <row r="1370" spans="1:24" ht="15" customHeight="1" x14ac:dyDescent="0.35">
      <c r="A1370" s="56" t="s">
        <v>3601</v>
      </c>
      <c r="B1370" s="2">
        <v>1300</v>
      </c>
      <c r="C1370" s="77">
        <v>10019982</v>
      </c>
      <c r="D1370" s="74" t="s">
        <v>1868</v>
      </c>
      <c r="E1370" s="59" t="s">
        <v>2167</v>
      </c>
      <c r="F1370" s="75">
        <v>4</v>
      </c>
      <c r="G1370" s="64" t="s">
        <v>0</v>
      </c>
      <c r="H1370" s="78">
        <v>42004</v>
      </c>
      <c r="I1370" s="4" t="s">
        <v>957</v>
      </c>
      <c r="J1370" s="63" t="s">
        <v>1917</v>
      </c>
      <c r="K1370" s="63" t="s">
        <v>961</v>
      </c>
      <c r="L1370" s="69" t="s">
        <v>950</v>
      </c>
      <c r="M1370" s="70">
        <f t="shared" si="211"/>
        <v>31960.68</v>
      </c>
      <c r="N1370" s="70">
        <f t="shared" ref="N1370:N1375" si="215">O1370/F1370</f>
        <v>7990.17</v>
      </c>
      <c r="O1370" s="70">
        <v>31960.68</v>
      </c>
      <c r="P1370" s="65">
        <v>82580</v>
      </c>
      <c r="Q1370" s="65">
        <f t="shared" si="201"/>
        <v>18167.599999999999</v>
      </c>
      <c r="R1370" s="65">
        <f t="shared" si="202"/>
        <v>100747.6</v>
      </c>
      <c r="S1370" s="267"/>
      <c r="T1370" s="64">
        <v>67</v>
      </c>
      <c r="U1370" s="270" t="s">
        <v>2283</v>
      </c>
      <c r="V1370" s="38">
        <v>90058</v>
      </c>
      <c r="W1370" s="38">
        <f t="shared" si="203"/>
        <v>19812.759999999998</v>
      </c>
      <c r="X1370" s="38">
        <f t="shared" si="204"/>
        <v>109870.76</v>
      </c>
    </row>
    <row r="1371" spans="1:24" ht="15" customHeight="1" x14ac:dyDescent="0.35">
      <c r="A1371" s="56" t="s">
        <v>3602</v>
      </c>
      <c r="B1371" s="2">
        <v>1301</v>
      </c>
      <c r="C1371" s="77">
        <v>10005574</v>
      </c>
      <c r="D1371" s="74" t="s">
        <v>1869</v>
      </c>
      <c r="E1371" s="59" t="s">
        <v>2167</v>
      </c>
      <c r="F1371" s="75">
        <v>10</v>
      </c>
      <c r="G1371" s="64" t="s">
        <v>0</v>
      </c>
      <c r="H1371" s="78">
        <v>42004</v>
      </c>
      <c r="I1371" s="4" t="s">
        <v>957</v>
      </c>
      <c r="J1371" s="63" t="s">
        <v>1917</v>
      </c>
      <c r="K1371" s="63" t="s">
        <v>961</v>
      </c>
      <c r="L1371" s="69" t="s">
        <v>950</v>
      </c>
      <c r="M1371" s="70">
        <f t="shared" si="211"/>
        <v>2175.58</v>
      </c>
      <c r="N1371" s="70">
        <f t="shared" si="215"/>
        <v>217.56</v>
      </c>
      <c r="O1371" s="70">
        <v>2175.58</v>
      </c>
      <c r="P1371" s="65">
        <v>5620</v>
      </c>
      <c r="Q1371" s="65">
        <f t="shared" si="201"/>
        <v>1236.4000000000001</v>
      </c>
      <c r="R1371" s="65">
        <f t="shared" si="202"/>
        <v>6856.4</v>
      </c>
      <c r="S1371" s="272"/>
      <c r="T1371" s="64">
        <v>67</v>
      </c>
      <c r="U1371" s="270"/>
      <c r="V1371" s="38">
        <v>6130</v>
      </c>
      <c r="W1371" s="38">
        <f t="shared" si="203"/>
        <v>1348.6</v>
      </c>
      <c r="X1371" s="38">
        <f t="shared" si="204"/>
        <v>7478.6</v>
      </c>
    </row>
    <row r="1372" spans="1:24" ht="15" customHeight="1" x14ac:dyDescent="0.35">
      <c r="A1372" s="56" t="s">
        <v>3603</v>
      </c>
      <c r="B1372" s="2">
        <v>1302</v>
      </c>
      <c r="C1372" s="77">
        <v>10005579</v>
      </c>
      <c r="D1372" s="74" t="s">
        <v>1870</v>
      </c>
      <c r="E1372" s="59" t="s">
        <v>2167</v>
      </c>
      <c r="F1372" s="75">
        <v>4</v>
      </c>
      <c r="G1372" s="64" t="s">
        <v>0</v>
      </c>
      <c r="H1372" s="78">
        <v>42004</v>
      </c>
      <c r="I1372" s="4" t="s">
        <v>957</v>
      </c>
      <c r="J1372" s="63" t="s">
        <v>1917</v>
      </c>
      <c r="K1372" s="63" t="s">
        <v>961</v>
      </c>
      <c r="L1372" s="69" t="s">
        <v>950</v>
      </c>
      <c r="M1372" s="70">
        <f t="shared" si="211"/>
        <v>5215.8</v>
      </c>
      <c r="N1372" s="70">
        <f t="shared" si="215"/>
        <v>1303.95</v>
      </c>
      <c r="O1372" s="70">
        <v>5215.8</v>
      </c>
      <c r="P1372" s="65">
        <v>13480</v>
      </c>
      <c r="Q1372" s="65">
        <f t="shared" si="201"/>
        <v>2965.6</v>
      </c>
      <c r="R1372" s="65">
        <f t="shared" si="202"/>
        <v>16445.599999999999</v>
      </c>
      <c r="S1372" s="272"/>
      <c r="T1372" s="64">
        <v>67</v>
      </c>
      <c r="U1372" s="270"/>
      <c r="V1372" s="38">
        <v>14697</v>
      </c>
      <c r="W1372" s="38">
        <f t="shared" si="203"/>
        <v>3233.34</v>
      </c>
      <c r="X1372" s="38">
        <f t="shared" si="204"/>
        <v>17930.34</v>
      </c>
    </row>
    <row r="1373" spans="1:24" ht="15" customHeight="1" x14ac:dyDescent="0.35">
      <c r="A1373" s="56" t="s">
        <v>3604</v>
      </c>
      <c r="B1373" s="2">
        <v>1303</v>
      </c>
      <c r="C1373" s="77">
        <v>10017090</v>
      </c>
      <c r="D1373" s="74" t="s">
        <v>1871</v>
      </c>
      <c r="E1373" s="59" t="s">
        <v>2167</v>
      </c>
      <c r="F1373" s="75">
        <v>10</v>
      </c>
      <c r="G1373" s="64" t="s">
        <v>0</v>
      </c>
      <c r="H1373" s="78">
        <v>42004</v>
      </c>
      <c r="I1373" s="4" t="s">
        <v>957</v>
      </c>
      <c r="J1373" s="63" t="s">
        <v>1917</v>
      </c>
      <c r="K1373" s="63" t="s">
        <v>961</v>
      </c>
      <c r="L1373" s="69" t="s">
        <v>950</v>
      </c>
      <c r="M1373" s="70">
        <f t="shared" si="211"/>
        <v>12196.1</v>
      </c>
      <c r="N1373" s="70">
        <f t="shared" si="215"/>
        <v>1219.6099999999999</v>
      </c>
      <c r="O1373" s="70">
        <v>12196.1</v>
      </c>
      <c r="P1373" s="65">
        <v>31510</v>
      </c>
      <c r="Q1373" s="65">
        <f t="shared" si="201"/>
        <v>6932.2</v>
      </c>
      <c r="R1373" s="65">
        <f t="shared" si="202"/>
        <v>38442.199999999997</v>
      </c>
      <c r="S1373" s="272"/>
      <c r="T1373" s="64">
        <v>67</v>
      </c>
      <c r="U1373" s="270"/>
      <c r="V1373" s="38">
        <v>34366</v>
      </c>
      <c r="W1373" s="38">
        <f t="shared" si="203"/>
        <v>7560.52</v>
      </c>
      <c r="X1373" s="38">
        <f t="shared" si="204"/>
        <v>41926.519999999997</v>
      </c>
    </row>
    <row r="1374" spans="1:24" ht="15" customHeight="1" x14ac:dyDescent="0.35">
      <c r="A1374" s="56" t="s">
        <v>3605</v>
      </c>
      <c r="B1374" s="2">
        <v>1304</v>
      </c>
      <c r="C1374" s="11">
        <v>10008314</v>
      </c>
      <c r="D1374" s="3" t="s">
        <v>1400</v>
      </c>
      <c r="E1374" s="59" t="s">
        <v>2167</v>
      </c>
      <c r="F1374" s="14">
        <v>3</v>
      </c>
      <c r="G1374" s="64" t="s">
        <v>0</v>
      </c>
      <c r="H1374" s="5">
        <v>41426</v>
      </c>
      <c r="I1374" s="4" t="s">
        <v>957</v>
      </c>
      <c r="J1374" s="6" t="s">
        <v>1365</v>
      </c>
      <c r="K1374" s="63" t="s">
        <v>961</v>
      </c>
      <c r="L1374" s="69" t="s">
        <v>950</v>
      </c>
      <c r="M1374" s="70">
        <f t="shared" si="211"/>
        <v>1583.91</v>
      </c>
      <c r="N1374" s="70">
        <f t="shared" si="215"/>
        <v>527.97</v>
      </c>
      <c r="O1374" s="70">
        <v>1583.91</v>
      </c>
      <c r="P1374" s="65">
        <v>4410</v>
      </c>
      <c r="Q1374" s="65">
        <f t="shared" si="201"/>
        <v>970.2</v>
      </c>
      <c r="R1374" s="65">
        <f t="shared" si="202"/>
        <v>5380.2</v>
      </c>
      <c r="S1374" s="272"/>
      <c r="T1374" s="64">
        <v>67</v>
      </c>
      <c r="U1374" s="270"/>
      <c r="V1374" s="38">
        <v>4805</v>
      </c>
      <c r="W1374" s="38">
        <f t="shared" si="203"/>
        <v>1057.0999999999999</v>
      </c>
      <c r="X1374" s="38">
        <f t="shared" si="204"/>
        <v>5862.1</v>
      </c>
    </row>
    <row r="1375" spans="1:24" ht="15" customHeight="1" x14ac:dyDescent="0.35">
      <c r="A1375" s="56" t="s">
        <v>3606</v>
      </c>
      <c r="B1375" s="2">
        <v>1305</v>
      </c>
      <c r="C1375" s="11">
        <v>10142991</v>
      </c>
      <c r="D1375" s="3" t="s">
        <v>1401</v>
      </c>
      <c r="E1375" s="59" t="s">
        <v>2167</v>
      </c>
      <c r="F1375" s="14">
        <v>5</v>
      </c>
      <c r="G1375" s="64" t="s">
        <v>0</v>
      </c>
      <c r="H1375" s="5">
        <v>41061</v>
      </c>
      <c r="I1375" s="4" t="s">
        <v>957</v>
      </c>
      <c r="J1375" s="63" t="s">
        <v>1917</v>
      </c>
      <c r="K1375" s="63" t="s">
        <v>961</v>
      </c>
      <c r="L1375" s="69" t="s">
        <v>950</v>
      </c>
      <c r="M1375" s="70">
        <f t="shared" si="211"/>
        <v>8100</v>
      </c>
      <c r="N1375" s="70">
        <f t="shared" si="215"/>
        <v>1620</v>
      </c>
      <c r="O1375" s="70">
        <v>8100</v>
      </c>
      <c r="P1375" s="65">
        <v>23470</v>
      </c>
      <c r="Q1375" s="65">
        <f t="shared" si="201"/>
        <v>5163.3999999999996</v>
      </c>
      <c r="R1375" s="65">
        <f t="shared" si="202"/>
        <v>28633.4</v>
      </c>
      <c r="S1375" s="276"/>
      <c r="T1375" s="64">
        <v>67</v>
      </c>
      <c r="U1375" s="270"/>
      <c r="V1375" s="38">
        <v>25590</v>
      </c>
      <c r="W1375" s="38">
        <f t="shared" si="203"/>
        <v>5629.8</v>
      </c>
      <c r="X1375" s="38">
        <f t="shared" si="204"/>
        <v>31219.8</v>
      </c>
    </row>
    <row r="1376" spans="1:24" ht="15" customHeight="1" x14ac:dyDescent="0.35">
      <c r="A1376" s="56"/>
      <c r="B1376" s="15"/>
      <c r="C1376" s="11"/>
      <c r="D1376" s="3"/>
      <c r="E1376" s="59"/>
      <c r="F1376" s="14"/>
      <c r="G1376" s="64"/>
      <c r="H1376" s="5"/>
      <c r="I1376" s="4"/>
      <c r="J1376" s="63"/>
      <c r="K1376" s="63"/>
      <c r="L1376" s="69"/>
      <c r="M1376" s="70"/>
      <c r="N1376" s="70"/>
      <c r="O1376" s="71">
        <f>SUM(O1370:O1375)</f>
        <v>61232.07</v>
      </c>
      <c r="P1376" s="71">
        <f t="shared" ref="P1376:R1376" si="216">SUM(P1370:P1375)</f>
        <v>161070</v>
      </c>
      <c r="Q1376" s="71">
        <f t="shared" si="216"/>
        <v>35435.4</v>
      </c>
      <c r="R1376" s="71">
        <f t="shared" si="216"/>
        <v>196505.4</v>
      </c>
      <c r="S1376" s="72">
        <f>R1376/100*10</f>
        <v>19650.54</v>
      </c>
      <c r="T1376" s="73">
        <v>67</v>
      </c>
      <c r="U1376" s="271"/>
      <c r="V1376" s="38"/>
      <c r="W1376" s="38"/>
      <c r="X1376" s="38"/>
    </row>
    <row r="1377" spans="1:24" ht="26.15" customHeight="1" x14ac:dyDescent="0.35">
      <c r="A1377" s="56" t="s">
        <v>3607</v>
      </c>
      <c r="B1377" s="2">
        <v>1306</v>
      </c>
      <c r="C1377" s="77">
        <v>10005508</v>
      </c>
      <c r="D1377" s="74" t="s">
        <v>143</v>
      </c>
      <c r="E1377" s="74" t="s">
        <v>4175</v>
      </c>
      <c r="F1377" s="75">
        <v>2</v>
      </c>
      <c r="G1377" s="64" t="s">
        <v>0</v>
      </c>
      <c r="H1377" s="61">
        <v>42004</v>
      </c>
      <c r="I1377" s="61" t="s">
        <v>958</v>
      </c>
      <c r="J1377" s="63" t="s">
        <v>1917</v>
      </c>
      <c r="K1377" s="88" t="s">
        <v>143</v>
      </c>
      <c r="L1377" s="88" t="s">
        <v>845</v>
      </c>
      <c r="M1377" s="76">
        <f t="shared" si="211"/>
        <v>628.29999999999995</v>
      </c>
      <c r="N1377" s="76">
        <f t="shared" ref="N1377:N1417" si="217">O1377/F1377</f>
        <v>314.14999999999998</v>
      </c>
      <c r="O1377" s="76">
        <v>628.29999999999995</v>
      </c>
      <c r="P1377" s="65">
        <v>930</v>
      </c>
      <c r="Q1377" s="65">
        <f t="shared" si="201"/>
        <v>204.6</v>
      </c>
      <c r="R1377" s="65">
        <f t="shared" si="202"/>
        <v>1134.5999999999999</v>
      </c>
      <c r="S1377" s="267"/>
      <c r="T1377" s="64">
        <v>68</v>
      </c>
      <c r="U1377" s="273" t="s">
        <v>2283</v>
      </c>
      <c r="V1377" s="38">
        <v>1041</v>
      </c>
      <c r="W1377" s="38">
        <f t="shared" si="203"/>
        <v>229.02</v>
      </c>
      <c r="X1377" s="38">
        <f t="shared" si="204"/>
        <v>1270.02</v>
      </c>
    </row>
    <row r="1378" spans="1:24" ht="32.5" customHeight="1" x14ac:dyDescent="0.35">
      <c r="A1378" s="56" t="s">
        <v>3608</v>
      </c>
      <c r="B1378" s="2">
        <v>1307</v>
      </c>
      <c r="C1378" s="77">
        <v>10005556</v>
      </c>
      <c r="D1378" s="74" t="s">
        <v>148</v>
      </c>
      <c r="E1378" s="74" t="s">
        <v>4175</v>
      </c>
      <c r="F1378" s="75">
        <v>6</v>
      </c>
      <c r="G1378" s="64" t="s">
        <v>0</v>
      </c>
      <c r="H1378" s="61">
        <v>42004</v>
      </c>
      <c r="I1378" s="61" t="s">
        <v>958</v>
      </c>
      <c r="J1378" s="63" t="s">
        <v>1917</v>
      </c>
      <c r="K1378" s="88" t="s">
        <v>148</v>
      </c>
      <c r="L1378" s="88" t="s">
        <v>845</v>
      </c>
      <c r="M1378" s="76">
        <f t="shared" si="211"/>
        <v>2932.91</v>
      </c>
      <c r="N1378" s="76">
        <f t="shared" si="217"/>
        <v>488.82</v>
      </c>
      <c r="O1378" s="76">
        <v>2932.91</v>
      </c>
      <c r="P1378" s="65">
        <v>4350</v>
      </c>
      <c r="Q1378" s="65">
        <f t="shared" si="201"/>
        <v>957</v>
      </c>
      <c r="R1378" s="65">
        <f t="shared" si="202"/>
        <v>5307</v>
      </c>
      <c r="S1378" s="272"/>
      <c r="T1378" s="64">
        <v>68</v>
      </c>
      <c r="U1378" s="274"/>
      <c r="V1378" s="38">
        <v>4861</v>
      </c>
      <c r="W1378" s="38">
        <f t="shared" si="203"/>
        <v>1069.42</v>
      </c>
      <c r="X1378" s="38">
        <f t="shared" si="204"/>
        <v>5930.42</v>
      </c>
    </row>
    <row r="1379" spans="1:24" ht="22" customHeight="1" x14ac:dyDescent="0.35">
      <c r="A1379" s="56" t="s">
        <v>3609</v>
      </c>
      <c r="B1379" s="2">
        <v>1308</v>
      </c>
      <c r="C1379" s="77">
        <v>10005499</v>
      </c>
      <c r="D1379" s="74" t="s">
        <v>183</v>
      </c>
      <c r="E1379" s="74" t="s">
        <v>4175</v>
      </c>
      <c r="F1379" s="75">
        <v>2</v>
      </c>
      <c r="G1379" s="64" t="s">
        <v>0</v>
      </c>
      <c r="H1379" s="61">
        <v>39763</v>
      </c>
      <c r="I1379" s="61" t="s">
        <v>958</v>
      </c>
      <c r="J1379" s="63" t="s">
        <v>1917</v>
      </c>
      <c r="K1379" s="88" t="s">
        <v>183</v>
      </c>
      <c r="L1379" s="88" t="s">
        <v>845</v>
      </c>
      <c r="M1379" s="76">
        <f t="shared" si="211"/>
        <v>1074.28</v>
      </c>
      <c r="N1379" s="76">
        <f t="shared" si="217"/>
        <v>537.14</v>
      </c>
      <c r="O1379" s="76">
        <v>1074.28</v>
      </c>
      <c r="P1379" s="65">
        <v>2210</v>
      </c>
      <c r="Q1379" s="65">
        <f t="shared" si="201"/>
        <v>486.2</v>
      </c>
      <c r="R1379" s="65">
        <f t="shared" si="202"/>
        <v>2696.2</v>
      </c>
      <c r="S1379" s="272"/>
      <c r="T1379" s="64">
        <v>68</v>
      </c>
      <c r="U1379" s="274"/>
      <c r="V1379" s="38">
        <v>2471</v>
      </c>
      <c r="W1379" s="38">
        <f t="shared" si="203"/>
        <v>543.62</v>
      </c>
      <c r="X1379" s="38">
        <f t="shared" si="204"/>
        <v>3014.62</v>
      </c>
    </row>
    <row r="1380" spans="1:24" ht="24" customHeight="1" x14ac:dyDescent="0.35">
      <c r="A1380" s="56" t="s">
        <v>3610</v>
      </c>
      <c r="B1380" s="2">
        <v>1309</v>
      </c>
      <c r="C1380" s="77">
        <v>10005504</v>
      </c>
      <c r="D1380" s="74" t="s">
        <v>184</v>
      </c>
      <c r="E1380" s="74" t="s">
        <v>2180</v>
      </c>
      <c r="F1380" s="75">
        <v>2</v>
      </c>
      <c r="G1380" s="64" t="s">
        <v>0</v>
      </c>
      <c r="H1380" s="61">
        <v>39763</v>
      </c>
      <c r="I1380" s="62" t="s">
        <v>958</v>
      </c>
      <c r="J1380" s="63" t="s">
        <v>1917</v>
      </c>
      <c r="K1380" s="88" t="s">
        <v>184</v>
      </c>
      <c r="L1380" s="88" t="s">
        <v>845</v>
      </c>
      <c r="M1380" s="76">
        <f t="shared" si="211"/>
        <v>221.67</v>
      </c>
      <c r="N1380" s="76">
        <f t="shared" si="217"/>
        <v>110.84</v>
      </c>
      <c r="O1380" s="76">
        <v>221.67</v>
      </c>
      <c r="P1380" s="65">
        <v>460</v>
      </c>
      <c r="Q1380" s="65">
        <f t="shared" si="201"/>
        <v>101.2</v>
      </c>
      <c r="R1380" s="65">
        <f t="shared" si="202"/>
        <v>561.20000000000005</v>
      </c>
      <c r="S1380" s="272"/>
      <c r="T1380" s="64">
        <v>68</v>
      </c>
      <c r="U1380" s="274"/>
      <c r="V1380" s="38">
        <v>510</v>
      </c>
      <c r="W1380" s="38">
        <f t="shared" si="203"/>
        <v>112.2</v>
      </c>
      <c r="X1380" s="38">
        <f t="shared" si="204"/>
        <v>622.20000000000005</v>
      </c>
    </row>
    <row r="1381" spans="1:24" ht="28.5" customHeight="1" x14ac:dyDescent="0.35">
      <c r="A1381" s="56" t="s">
        <v>3611</v>
      </c>
      <c r="B1381" s="2">
        <v>1310</v>
      </c>
      <c r="C1381" s="77">
        <v>10005535</v>
      </c>
      <c r="D1381" s="74" t="s">
        <v>185</v>
      </c>
      <c r="E1381" s="74" t="s">
        <v>4175</v>
      </c>
      <c r="F1381" s="75">
        <v>2</v>
      </c>
      <c r="G1381" s="64" t="s">
        <v>0</v>
      </c>
      <c r="H1381" s="61">
        <v>39763</v>
      </c>
      <c r="I1381" s="61" t="s">
        <v>958</v>
      </c>
      <c r="J1381" s="63" t="s">
        <v>1917</v>
      </c>
      <c r="K1381" s="88" t="s">
        <v>185</v>
      </c>
      <c r="L1381" s="88" t="s">
        <v>845</v>
      </c>
      <c r="M1381" s="76">
        <f t="shared" si="211"/>
        <v>2550.23</v>
      </c>
      <c r="N1381" s="76">
        <f t="shared" si="217"/>
        <v>1275.1199999999999</v>
      </c>
      <c r="O1381" s="76">
        <v>2550.23</v>
      </c>
      <c r="P1381" s="65">
        <v>5250</v>
      </c>
      <c r="Q1381" s="65">
        <f t="shared" si="201"/>
        <v>1155</v>
      </c>
      <c r="R1381" s="65">
        <f t="shared" si="202"/>
        <v>6405</v>
      </c>
      <c r="S1381" s="272"/>
      <c r="T1381" s="64">
        <v>68</v>
      </c>
      <c r="U1381" s="274"/>
      <c r="V1381" s="38">
        <v>5866</v>
      </c>
      <c r="W1381" s="38">
        <f t="shared" si="203"/>
        <v>1290.52</v>
      </c>
      <c r="X1381" s="38">
        <f t="shared" si="204"/>
        <v>7156.52</v>
      </c>
    </row>
    <row r="1382" spans="1:24" ht="15" customHeight="1" x14ac:dyDescent="0.35">
      <c r="A1382" s="56" t="s">
        <v>3612</v>
      </c>
      <c r="B1382" s="2">
        <v>1311</v>
      </c>
      <c r="C1382" s="77">
        <v>10005572</v>
      </c>
      <c r="D1382" s="74" t="s">
        <v>186</v>
      </c>
      <c r="E1382" s="74" t="s">
        <v>4175</v>
      </c>
      <c r="F1382" s="75">
        <v>2</v>
      </c>
      <c r="G1382" s="64" t="s">
        <v>0</v>
      </c>
      <c r="H1382" s="61">
        <v>39763</v>
      </c>
      <c r="I1382" s="61" t="s">
        <v>958</v>
      </c>
      <c r="J1382" s="63" t="s">
        <v>1917</v>
      </c>
      <c r="K1382" s="88" t="s">
        <v>186</v>
      </c>
      <c r="L1382" s="88" t="s">
        <v>845</v>
      </c>
      <c r="M1382" s="76">
        <f t="shared" si="211"/>
        <v>5232.0200000000004</v>
      </c>
      <c r="N1382" s="76">
        <f t="shared" si="217"/>
        <v>2616.0100000000002</v>
      </c>
      <c r="O1382" s="76">
        <v>5232.0200000000004</v>
      </c>
      <c r="P1382" s="65">
        <v>10770</v>
      </c>
      <c r="Q1382" s="65">
        <f t="shared" si="201"/>
        <v>2369.4</v>
      </c>
      <c r="R1382" s="65">
        <f t="shared" si="202"/>
        <v>13139.4</v>
      </c>
      <c r="S1382" s="272"/>
      <c r="T1382" s="64">
        <v>68</v>
      </c>
      <c r="U1382" s="274"/>
      <c r="V1382" s="38">
        <v>12034</v>
      </c>
      <c r="W1382" s="38">
        <f t="shared" si="203"/>
        <v>2647.48</v>
      </c>
      <c r="X1382" s="38">
        <f t="shared" si="204"/>
        <v>14681.48</v>
      </c>
    </row>
    <row r="1383" spans="1:24" ht="32.25" customHeight="1" x14ac:dyDescent="0.35">
      <c r="A1383" s="56" t="s">
        <v>3613</v>
      </c>
      <c r="B1383" s="2">
        <v>1312</v>
      </c>
      <c r="C1383" s="77">
        <v>10005627</v>
      </c>
      <c r="D1383" s="74" t="s">
        <v>187</v>
      </c>
      <c r="E1383" s="74" t="s">
        <v>4175</v>
      </c>
      <c r="F1383" s="75">
        <v>2</v>
      </c>
      <c r="G1383" s="64" t="s">
        <v>0</v>
      </c>
      <c r="H1383" s="61">
        <v>39763</v>
      </c>
      <c r="I1383" s="61" t="s">
        <v>958</v>
      </c>
      <c r="J1383" s="63" t="s">
        <v>1917</v>
      </c>
      <c r="K1383" s="88" t="s">
        <v>187</v>
      </c>
      <c r="L1383" s="88" t="s">
        <v>845</v>
      </c>
      <c r="M1383" s="76">
        <f t="shared" si="211"/>
        <v>4603.68</v>
      </c>
      <c r="N1383" s="76">
        <f t="shared" si="217"/>
        <v>2301.84</v>
      </c>
      <c r="O1383" s="76">
        <v>4603.68</v>
      </c>
      <c r="P1383" s="65">
        <v>9480</v>
      </c>
      <c r="Q1383" s="65">
        <f t="shared" si="201"/>
        <v>2085.6</v>
      </c>
      <c r="R1383" s="65">
        <f t="shared" si="202"/>
        <v>11565.6</v>
      </c>
      <c r="S1383" s="272"/>
      <c r="T1383" s="64">
        <v>68</v>
      </c>
      <c r="U1383" s="274"/>
      <c r="V1383" s="38">
        <v>10589</v>
      </c>
      <c r="W1383" s="38">
        <f t="shared" si="203"/>
        <v>2329.58</v>
      </c>
      <c r="X1383" s="38">
        <f t="shared" si="204"/>
        <v>12918.58</v>
      </c>
    </row>
    <row r="1384" spans="1:24" ht="30.75" customHeight="1" x14ac:dyDescent="0.35">
      <c r="A1384" s="56" t="s">
        <v>3614</v>
      </c>
      <c r="B1384" s="2">
        <v>1313</v>
      </c>
      <c r="C1384" s="77">
        <v>10019436</v>
      </c>
      <c r="D1384" s="74" t="s">
        <v>188</v>
      </c>
      <c r="E1384" s="74" t="s">
        <v>4175</v>
      </c>
      <c r="F1384" s="75">
        <v>2</v>
      </c>
      <c r="G1384" s="64" t="s">
        <v>0</v>
      </c>
      <c r="H1384" s="61">
        <v>39763</v>
      </c>
      <c r="I1384" s="61" t="s">
        <v>958</v>
      </c>
      <c r="J1384" s="63" t="s">
        <v>1917</v>
      </c>
      <c r="K1384" s="88" t="s">
        <v>188</v>
      </c>
      <c r="L1384" s="88" t="s">
        <v>845</v>
      </c>
      <c r="M1384" s="76">
        <f t="shared" si="211"/>
        <v>3531.11</v>
      </c>
      <c r="N1384" s="76">
        <f t="shared" si="217"/>
        <v>1765.56</v>
      </c>
      <c r="O1384" s="76">
        <v>3531.11</v>
      </c>
      <c r="P1384" s="65">
        <v>7270</v>
      </c>
      <c r="Q1384" s="65">
        <f t="shared" si="201"/>
        <v>1599.4</v>
      </c>
      <c r="R1384" s="65">
        <f t="shared" si="202"/>
        <v>8869.4</v>
      </c>
      <c r="S1384" s="272"/>
      <c r="T1384" s="64">
        <v>68</v>
      </c>
      <c r="U1384" s="274"/>
      <c r="V1384" s="38">
        <v>8122</v>
      </c>
      <c r="W1384" s="38">
        <f t="shared" si="203"/>
        <v>1786.84</v>
      </c>
      <c r="X1384" s="38">
        <f t="shared" si="204"/>
        <v>9908.84</v>
      </c>
    </row>
    <row r="1385" spans="1:24" ht="29.25" customHeight="1" x14ac:dyDescent="0.35">
      <c r="A1385" s="56" t="s">
        <v>3615</v>
      </c>
      <c r="B1385" s="2">
        <v>1314</v>
      </c>
      <c r="C1385" s="77">
        <v>10019965</v>
      </c>
      <c r="D1385" s="74" t="s">
        <v>189</v>
      </c>
      <c r="E1385" s="74" t="s">
        <v>4175</v>
      </c>
      <c r="F1385" s="75">
        <v>2</v>
      </c>
      <c r="G1385" s="64" t="s">
        <v>0</v>
      </c>
      <c r="H1385" s="61">
        <v>39763</v>
      </c>
      <c r="I1385" s="61" t="s">
        <v>958</v>
      </c>
      <c r="J1385" s="63" t="s">
        <v>1917</v>
      </c>
      <c r="K1385" s="88" t="s">
        <v>189</v>
      </c>
      <c r="L1385" s="88" t="s">
        <v>845</v>
      </c>
      <c r="M1385" s="76">
        <f t="shared" si="211"/>
        <v>191.69</v>
      </c>
      <c r="N1385" s="76">
        <f t="shared" si="217"/>
        <v>95.85</v>
      </c>
      <c r="O1385" s="76">
        <v>191.69</v>
      </c>
      <c r="P1385" s="65">
        <v>390</v>
      </c>
      <c r="Q1385" s="65">
        <f t="shared" si="201"/>
        <v>85.8</v>
      </c>
      <c r="R1385" s="65">
        <f t="shared" si="202"/>
        <v>475.8</v>
      </c>
      <c r="S1385" s="272"/>
      <c r="T1385" s="64">
        <v>68</v>
      </c>
      <c r="U1385" s="274"/>
      <c r="V1385" s="38">
        <v>441</v>
      </c>
      <c r="W1385" s="38">
        <f t="shared" si="203"/>
        <v>97.02</v>
      </c>
      <c r="X1385" s="38">
        <f t="shared" si="204"/>
        <v>538.02</v>
      </c>
    </row>
    <row r="1386" spans="1:24" ht="33.75" customHeight="1" x14ac:dyDescent="0.35">
      <c r="A1386" s="56" t="s">
        <v>3616</v>
      </c>
      <c r="B1386" s="2">
        <v>1315</v>
      </c>
      <c r="C1386" s="77">
        <v>10020991</v>
      </c>
      <c r="D1386" s="74" t="s">
        <v>190</v>
      </c>
      <c r="E1386" s="74" t="s">
        <v>4175</v>
      </c>
      <c r="F1386" s="75">
        <v>2</v>
      </c>
      <c r="G1386" s="64" t="s">
        <v>0</v>
      </c>
      <c r="H1386" s="61">
        <v>39763</v>
      </c>
      <c r="I1386" s="61" t="s">
        <v>958</v>
      </c>
      <c r="J1386" s="63" t="s">
        <v>1917</v>
      </c>
      <c r="K1386" s="88" t="s">
        <v>190</v>
      </c>
      <c r="L1386" s="88" t="s">
        <v>845</v>
      </c>
      <c r="M1386" s="76">
        <f t="shared" si="211"/>
        <v>1115.72</v>
      </c>
      <c r="N1386" s="76">
        <f t="shared" si="217"/>
        <v>557.86</v>
      </c>
      <c r="O1386" s="76">
        <v>1115.72</v>
      </c>
      <c r="P1386" s="65">
        <v>2300</v>
      </c>
      <c r="Q1386" s="65">
        <f t="shared" si="201"/>
        <v>506</v>
      </c>
      <c r="R1386" s="65">
        <f t="shared" si="202"/>
        <v>2806</v>
      </c>
      <c r="S1386" s="272"/>
      <c r="T1386" s="64">
        <v>68</v>
      </c>
      <c r="U1386" s="274"/>
      <c r="V1386" s="38">
        <v>2566</v>
      </c>
      <c r="W1386" s="38">
        <f t="shared" si="203"/>
        <v>564.52</v>
      </c>
      <c r="X1386" s="38">
        <f t="shared" si="204"/>
        <v>3130.52</v>
      </c>
    </row>
    <row r="1387" spans="1:24" ht="27.65" customHeight="1" x14ac:dyDescent="0.35">
      <c r="A1387" s="56" t="s">
        <v>3617</v>
      </c>
      <c r="B1387" s="2">
        <v>1316</v>
      </c>
      <c r="C1387" s="77">
        <v>10023393</v>
      </c>
      <c r="D1387" s="74" t="s">
        <v>191</v>
      </c>
      <c r="E1387" s="74" t="s">
        <v>4175</v>
      </c>
      <c r="F1387" s="75">
        <v>2</v>
      </c>
      <c r="G1387" s="64" t="s">
        <v>0</v>
      </c>
      <c r="H1387" s="61">
        <v>39763</v>
      </c>
      <c r="I1387" s="61" t="s">
        <v>958</v>
      </c>
      <c r="J1387" s="63" t="s">
        <v>1917</v>
      </c>
      <c r="K1387" s="88" t="s">
        <v>191</v>
      </c>
      <c r="L1387" s="88" t="s">
        <v>845</v>
      </c>
      <c r="M1387" s="76">
        <f t="shared" si="211"/>
        <v>1593.98</v>
      </c>
      <c r="N1387" s="76">
        <f t="shared" si="217"/>
        <v>796.99</v>
      </c>
      <c r="O1387" s="76">
        <v>1593.98</v>
      </c>
      <c r="P1387" s="65">
        <v>3280</v>
      </c>
      <c r="Q1387" s="65">
        <f t="shared" si="201"/>
        <v>721.6</v>
      </c>
      <c r="R1387" s="65">
        <f t="shared" si="202"/>
        <v>4001.6</v>
      </c>
      <c r="S1387" s="272"/>
      <c r="T1387" s="64">
        <v>68</v>
      </c>
      <c r="U1387" s="274"/>
      <c r="V1387" s="38">
        <v>3666</v>
      </c>
      <c r="W1387" s="38">
        <f t="shared" si="203"/>
        <v>806.52</v>
      </c>
      <c r="X1387" s="38">
        <f t="shared" si="204"/>
        <v>4472.5200000000004</v>
      </c>
    </row>
    <row r="1388" spans="1:24" ht="15" customHeight="1" x14ac:dyDescent="0.35">
      <c r="A1388" s="56" t="s">
        <v>3618</v>
      </c>
      <c r="B1388" s="2">
        <v>1317</v>
      </c>
      <c r="C1388" s="77">
        <v>10047745</v>
      </c>
      <c r="D1388" s="74" t="s">
        <v>192</v>
      </c>
      <c r="E1388" s="74" t="s">
        <v>4175</v>
      </c>
      <c r="F1388" s="75">
        <v>2</v>
      </c>
      <c r="G1388" s="64" t="s">
        <v>0</v>
      </c>
      <c r="H1388" s="61">
        <v>39763</v>
      </c>
      <c r="I1388" s="61" t="s">
        <v>958</v>
      </c>
      <c r="J1388" s="63" t="s">
        <v>1917</v>
      </c>
      <c r="K1388" s="88" t="s">
        <v>192</v>
      </c>
      <c r="L1388" s="88" t="s">
        <v>845</v>
      </c>
      <c r="M1388" s="76">
        <f t="shared" si="211"/>
        <v>66.739999999999995</v>
      </c>
      <c r="N1388" s="76">
        <f t="shared" si="217"/>
        <v>33.369999999999997</v>
      </c>
      <c r="O1388" s="76">
        <v>66.739999999999995</v>
      </c>
      <c r="P1388" s="65">
        <v>140</v>
      </c>
      <c r="Q1388" s="65">
        <f t="shared" si="201"/>
        <v>30.8</v>
      </c>
      <c r="R1388" s="65">
        <f t="shared" si="202"/>
        <v>170.8</v>
      </c>
      <c r="S1388" s="272"/>
      <c r="T1388" s="64">
        <v>68</v>
      </c>
      <c r="U1388" s="274"/>
      <c r="V1388" s="38">
        <v>154</v>
      </c>
      <c r="W1388" s="38">
        <f t="shared" si="203"/>
        <v>33.880000000000003</v>
      </c>
      <c r="X1388" s="38">
        <f t="shared" si="204"/>
        <v>187.88</v>
      </c>
    </row>
    <row r="1389" spans="1:24" ht="15" customHeight="1" x14ac:dyDescent="0.35">
      <c r="A1389" s="56" t="s">
        <v>3619</v>
      </c>
      <c r="B1389" s="2">
        <v>1318</v>
      </c>
      <c r="C1389" s="77">
        <v>10047763</v>
      </c>
      <c r="D1389" s="74" t="s">
        <v>193</v>
      </c>
      <c r="E1389" s="74" t="s">
        <v>4175</v>
      </c>
      <c r="F1389" s="75">
        <v>2</v>
      </c>
      <c r="G1389" s="64" t="s">
        <v>0</v>
      </c>
      <c r="H1389" s="61">
        <v>39763</v>
      </c>
      <c r="I1389" s="61" t="s">
        <v>958</v>
      </c>
      <c r="J1389" s="63" t="s">
        <v>1917</v>
      </c>
      <c r="K1389" s="88" t="s">
        <v>193</v>
      </c>
      <c r="L1389" s="88" t="s">
        <v>845</v>
      </c>
      <c r="M1389" s="76">
        <f t="shared" si="211"/>
        <v>94</v>
      </c>
      <c r="N1389" s="76">
        <f t="shared" si="217"/>
        <v>47</v>
      </c>
      <c r="O1389" s="76">
        <v>94</v>
      </c>
      <c r="P1389" s="65">
        <v>190</v>
      </c>
      <c r="Q1389" s="65">
        <f t="shared" si="201"/>
        <v>41.8</v>
      </c>
      <c r="R1389" s="65">
        <f t="shared" si="202"/>
        <v>231.8</v>
      </c>
      <c r="S1389" s="272"/>
      <c r="T1389" s="64">
        <v>68</v>
      </c>
      <c r="U1389" s="274"/>
      <c r="V1389" s="38">
        <v>216</v>
      </c>
      <c r="W1389" s="38">
        <f t="shared" si="203"/>
        <v>47.52</v>
      </c>
      <c r="X1389" s="38">
        <f t="shared" si="204"/>
        <v>263.52</v>
      </c>
    </row>
    <row r="1390" spans="1:24" ht="15" customHeight="1" x14ac:dyDescent="0.35">
      <c r="A1390" s="56" t="s">
        <v>3620</v>
      </c>
      <c r="B1390" s="2">
        <v>1319</v>
      </c>
      <c r="C1390" s="77">
        <v>10099104</v>
      </c>
      <c r="D1390" s="74" t="s">
        <v>197</v>
      </c>
      <c r="E1390" s="74" t="s">
        <v>4175</v>
      </c>
      <c r="F1390" s="75">
        <v>2</v>
      </c>
      <c r="G1390" s="64" t="s">
        <v>0</v>
      </c>
      <c r="H1390" s="61">
        <v>39763</v>
      </c>
      <c r="I1390" s="61" t="s">
        <v>958</v>
      </c>
      <c r="J1390" s="63" t="s">
        <v>1917</v>
      </c>
      <c r="K1390" s="88" t="s">
        <v>197</v>
      </c>
      <c r="L1390" s="88" t="s">
        <v>845</v>
      </c>
      <c r="M1390" s="76">
        <f t="shared" si="211"/>
        <v>7203.92</v>
      </c>
      <c r="N1390" s="76">
        <f t="shared" si="217"/>
        <v>3601.96</v>
      </c>
      <c r="O1390" s="76">
        <v>7203.92</v>
      </c>
      <c r="P1390" s="65">
        <v>14830</v>
      </c>
      <c r="Q1390" s="65">
        <f t="shared" si="201"/>
        <v>3262.6</v>
      </c>
      <c r="R1390" s="65">
        <f t="shared" si="202"/>
        <v>18092.599999999999</v>
      </c>
      <c r="S1390" s="272"/>
      <c r="T1390" s="64">
        <v>68</v>
      </c>
      <c r="U1390" s="274"/>
      <c r="V1390" s="38">
        <v>16569</v>
      </c>
      <c r="W1390" s="38">
        <f t="shared" si="203"/>
        <v>3645.18</v>
      </c>
      <c r="X1390" s="38">
        <f t="shared" si="204"/>
        <v>20214.18</v>
      </c>
    </row>
    <row r="1391" spans="1:24" ht="15" customHeight="1" x14ac:dyDescent="0.35">
      <c r="A1391" s="56" t="s">
        <v>3621</v>
      </c>
      <c r="B1391" s="2">
        <v>1320</v>
      </c>
      <c r="C1391" s="77">
        <v>10106207</v>
      </c>
      <c r="D1391" s="74" t="s">
        <v>199</v>
      </c>
      <c r="E1391" s="74" t="s">
        <v>4175</v>
      </c>
      <c r="F1391" s="75">
        <v>2</v>
      </c>
      <c r="G1391" s="64" t="s">
        <v>0</v>
      </c>
      <c r="H1391" s="61">
        <v>39763</v>
      </c>
      <c r="I1391" s="61" t="s">
        <v>958</v>
      </c>
      <c r="J1391" s="63" t="s">
        <v>1917</v>
      </c>
      <c r="K1391" s="88" t="s">
        <v>199</v>
      </c>
      <c r="L1391" s="88" t="s">
        <v>845</v>
      </c>
      <c r="M1391" s="76">
        <f t="shared" si="211"/>
        <v>1844.06</v>
      </c>
      <c r="N1391" s="76">
        <f t="shared" si="217"/>
        <v>922.03</v>
      </c>
      <c r="O1391" s="76">
        <v>1844.06</v>
      </c>
      <c r="P1391" s="65">
        <v>3800</v>
      </c>
      <c r="Q1391" s="65">
        <f t="shared" si="201"/>
        <v>836</v>
      </c>
      <c r="R1391" s="65">
        <f t="shared" si="202"/>
        <v>4636</v>
      </c>
      <c r="S1391" s="272"/>
      <c r="T1391" s="64">
        <v>68</v>
      </c>
      <c r="U1391" s="274"/>
      <c r="V1391" s="38">
        <v>4241</v>
      </c>
      <c r="W1391" s="38">
        <f t="shared" si="203"/>
        <v>933.02</v>
      </c>
      <c r="X1391" s="38">
        <f t="shared" si="204"/>
        <v>5174.0200000000004</v>
      </c>
    </row>
    <row r="1392" spans="1:24" ht="15" customHeight="1" x14ac:dyDescent="0.35">
      <c r="A1392" s="56" t="s">
        <v>3622</v>
      </c>
      <c r="B1392" s="2">
        <v>1321</v>
      </c>
      <c r="C1392" s="77">
        <v>10005552</v>
      </c>
      <c r="D1392" s="74" t="s">
        <v>201</v>
      </c>
      <c r="E1392" s="74" t="s">
        <v>4175</v>
      </c>
      <c r="F1392" s="75">
        <v>3</v>
      </c>
      <c r="G1392" s="64" t="s">
        <v>0</v>
      </c>
      <c r="H1392" s="61">
        <v>39763</v>
      </c>
      <c r="I1392" s="61" t="s">
        <v>958</v>
      </c>
      <c r="J1392" s="63" t="s">
        <v>1917</v>
      </c>
      <c r="K1392" s="88" t="s">
        <v>201</v>
      </c>
      <c r="L1392" s="88" t="s">
        <v>845</v>
      </c>
      <c r="M1392" s="76">
        <f t="shared" si="211"/>
        <v>600.12</v>
      </c>
      <c r="N1392" s="76">
        <f t="shared" si="217"/>
        <v>200.04</v>
      </c>
      <c r="O1392" s="76">
        <v>600.12</v>
      </c>
      <c r="P1392" s="65">
        <v>1240</v>
      </c>
      <c r="Q1392" s="65">
        <f t="shared" si="201"/>
        <v>272.8</v>
      </c>
      <c r="R1392" s="65">
        <f t="shared" si="202"/>
        <v>1512.8</v>
      </c>
      <c r="S1392" s="272"/>
      <c r="T1392" s="64">
        <v>68</v>
      </c>
      <c r="U1392" s="274"/>
      <c r="V1392" s="38">
        <v>1380</v>
      </c>
      <c r="W1392" s="38">
        <f t="shared" si="203"/>
        <v>303.60000000000002</v>
      </c>
      <c r="X1392" s="38">
        <f t="shared" si="204"/>
        <v>1683.6</v>
      </c>
    </row>
    <row r="1393" spans="1:24" ht="30" customHeight="1" x14ac:dyDescent="0.35">
      <c r="A1393" s="56" t="s">
        <v>3623</v>
      </c>
      <c r="B1393" s="2">
        <v>1322</v>
      </c>
      <c r="C1393" s="77">
        <v>10019560</v>
      </c>
      <c r="D1393" s="74" t="s">
        <v>202</v>
      </c>
      <c r="E1393" s="74" t="s">
        <v>4175</v>
      </c>
      <c r="F1393" s="75">
        <v>3</v>
      </c>
      <c r="G1393" s="64" t="s">
        <v>0</v>
      </c>
      <c r="H1393" s="61">
        <v>39763</v>
      </c>
      <c r="I1393" s="61" t="s">
        <v>958</v>
      </c>
      <c r="J1393" s="63" t="s">
        <v>1917</v>
      </c>
      <c r="K1393" s="88" t="s">
        <v>202</v>
      </c>
      <c r="L1393" s="88" t="s">
        <v>845</v>
      </c>
      <c r="M1393" s="76">
        <f t="shared" si="211"/>
        <v>731.37</v>
      </c>
      <c r="N1393" s="76">
        <f t="shared" si="217"/>
        <v>243.79</v>
      </c>
      <c r="O1393" s="76">
        <v>731.37</v>
      </c>
      <c r="P1393" s="65">
        <v>1510</v>
      </c>
      <c r="Q1393" s="65">
        <f t="shared" ref="Q1393:Q1455" si="218">P1393*0.22</f>
        <v>332.2</v>
      </c>
      <c r="R1393" s="65">
        <f t="shared" ref="R1393:R1455" si="219">P1393+Q1393</f>
        <v>1842.2</v>
      </c>
      <c r="S1393" s="272"/>
      <c r="T1393" s="64">
        <v>68</v>
      </c>
      <c r="U1393" s="274"/>
      <c r="V1393" s="38">
        <v>1682</v>
      </c>
      <c r="W1393" s="38">
        <f t="shared" ref="W1393:W1455" si="220">V1393*0.22</f>
        <v>370.04</v>
      </c>
      <c r="X1393" s="38">
        <f t="shared" si="204"/>
        <v>2052.04</v>
      </c>
    </row>
    <row r="1394" spans="1:24" ht="27" customHeight="1" x14ac:dyDescent="0.35">
      <c r="A1394" s="56" t="s">
        <v>3624</v>
      </c>
      <c r="B1394" s="2">
        <v>1323</v>
      </c>
      <c r="C1394" s="77">
        <v>10005509</v>
      </c>
      <c r="D1394" s="74" t="s">
        <v>203</v>
      </c>
      <c r="E1394" s="74" t="s">
        <v>4175</v>
      </c>
      <c r="F1394" s="75">
        <v>4</v>
      </c>
      <c r="G1394" s="64" t="s">
        <v>0</v>
      </c>
      <c r="H1394" s="61">
        <v>39763</v>
      </c>
      <c r="I1394" s="61" t="s">
        <v>958</v>
      </c>
      <c r="J1394" s="63" t="s">
        <v>1917</v>
      </c>
      <c r="K1394" s="88" t="s">
        <v>203</v>
      </c>
      <c r="L1394" s="88" t="s">
        <v>845</v>
      </c>
      <c r="M1394" s="76">
        <f t="shared" si="211"/>
        <v>1711.03</v>
      </c>
      <c r="N1394" s="76">
        <f t="shared" si="217"/>
        <v>427.76</v>
      </c>
      <c r="O1394" s="76">
        <v>1711.03</v>
      </c>
      <c r="P1394" s="65">
        <v>3520</v>
      </c>
      <c r="Q1394" s="65">
        <f t="shared" si="218"/>
        <v>774.4</v>
      </c>
      <c r="R1394" s="65">
        <f t="shared" si="219"/>
        <v>4294.3999999999996</v>
      </c>
      <c r="S1394" s="272"/>
      <c r="T1394" s="64">
        <v>68</v>
      </c>
      <c r="U1394" s="274"/>
      <c r="V1394" s="38">
        <v>3935</v>
      </c>
      <c r="W1394" s="38">
        <f t="shared" si="220"/>
        <v>865.7</v>
      </c>
      <c r="X1394" s="38">
        <f t="shared" si="204"/>
        <v>4800.7</v>
      </c>
    </row>
    <row r="1395" spans="1:24" ht="23.15" customHeight="1" x14ac:dyDescent="0.35">
      <c r="A1395" s="56" t="s">
        <v>3625</v>
      </c>
      <c r="B1395" s="2">
        <v>1324</v>
      </c>
      <c r="C1395" s="77">
        <v>10005511</v>
      </c>
      <c r="D1395" s="74" t="s">
        <v>204</v>
      </c>
      <c r="E1395" s="74" t="s">
        <v>4175</v>
      </c>
      <c r="F1395" s="75">
        <v>4</v>
      </c>
      <c r="G1395" s="64" t="s">
        <v>0</v>
      </c>
      <c r="H1395" s="61">
        <v>39763</v>
      </c>
      <c r="I1395" s="61" t="s">
        <v>958</v>
      </c>
      <c r="J1395" s="63" t="s">
        <v>1917</v>
      </c>
      <c r="K1395" s="88" t="s">
        <v>204</v>
      </c>
      <c r="L1395" s="88" t="s">
        <v>845</v>
      </c>
      <c r="M1395" s="76">
        <f t="shared" si="211"/>
        <v>2068.9299999999998</v>
      </c>
      <c r="N1395" s="76">
        <f t="shared" si="217"/>
        <v>517.23</v>
      </c>
      <c r="O1395" s="76">
        <v>2068.9299999999998</v>
      </c>
      <c r="P1395" s="65">
        <v>4260</v>
      </c>
      <c r="Q1395" s="65">
        <f t="shared" si="218"/>
        <v>937.2</v>
      </c>
      <c r="R1395" s="65">
        <f t="shared" si="219"/>
        <v>5197.2</v>
      </c>
      <c r="S1395" s="272"/>
      <c r="T1395" s="64">
        <v>68</v>
      </c>
      <c r="U1395" s="274"/>
      <c r="V1395" s="38">
        <v>4759</v>
      </c>
      <c r="W1395" s="38">
        <f t="shared" si="220"/>
        <v>1046.98</v>
      </c>
      <c r="X1395" s="38">
        <f t="shared" ref="X1395:X1457" si="221">V1395+W1395</f>
        <v>5805.98</v>
      </c>
    </row>
    <row r="1396" spans="1:24" ht="15" customHeight="1" x14ac:dyDescent="0.35">
      <c r="A1396" s="56" t="s">
        <v>3626</v>
      </c>
      <c r="B1396" s="2">
        <v>1325</v>
      </c>
      <c r="C1396" s="77">
        <v>10005530</v>
      </c>
      <c r="D1396" s="74" t="s">
        <v>205</v>
      </c>
      <c r="E1396" s="74" t="s">
        <v>4175</v>
      </c>
      <c r="F1396" s="75">
        <v>4</v>
      </c>
      <c r="G1396" s="64" t="s">
        <v>0</v>
      </c>
      <c r="H1396" s="61">
        <v>39763</v>
      </c>
      <c r="I1396" s="61" t="s">
        <v>958</v>
      </c>
      <c r="J1396" s="63" t="s">
        <v>1917</v>
      </c>
      <c r="K1396" s="88" t="s">
        <v>205</v>
      </c>
      <c r="L1396" s="88" t="s">
        <v>845</v>
      </c>
      <c r="M1396" s="76">
        <f t="shared" si="211"/>
        <v>3560.72</v>
      </c>
      <c r="N1396" s="76">
        <f t="shared" si="217"/>
        <v>890.18</v>
      </c>
      <c r="O1396" s="76">
        <v>3560.72</v>
      </c>
      <c r="P1396" s="65">
        <v>7330</v>
      </c>
      <c r="Q1396" s="65">
        <f t="shared" si="218"/>
        <v>1612.6</v>
      </c>
      <c r="R1396" s="65">
        <f t="shared" si="219"/>
        <v>8942.6</v>
      </c>
      <c r="S1396" s="272"/>
      <c r="T1396" s="64">
        <v>68</v>
      </c>
      <c r="U1396" s="274"/>
      <c r="V1396" s="38">
        <v>8190</v>
      </c>
      <c r="W1396" s="38">
        <f t="shared" si="220"/>
        <v>1801.8</v>
      </c>
      <c r="X1396" s="38">
        <f t="shared" si="221"/>
        <v>9991.7999999999993</v>
      </c>
    </row>
    <row r="1397" spans="1:24" ht="25.5" customHeight="1" x14ac:dyDescent="0.35">
      <c r="A1397" s="56" t="s">
        <v>3627</v>
      </c>
      <c r="B1397" s="2">
        <v>1326</v>
      </c>
      <c r="C1397" s="77">
        <v>10005570</v>
      </c>
      <c r="D1397" s="74" t="s">
        <v>206</v>
      </c>
      <c r="E1397" s="74" t="s">
        <v>4175</v>
      </c>
      <c r="F1397" s="75">
        <v>5</v>
      </c>
      <c r="G1397" s="64" t="s">
        <v>0</v>
      </c>
      <c r="H1397" s="61">
        <v>39763</v>
      </c>
      <c r="I1397" s="61" t="s">
        <v>958</v>
      </c>
      <c r="J1397" s="63" t="s">
        <v>1917</v>
      </c>
      <c r="K1397" s="88" t="s">
        <v>206</v>
      </c>
      <c r="L1397" s="88" t="s">
        <v>845</v>
      </c>
      <c r="M1397" s="76">
        <f t="shared" si="211"/>
        <v>15692.8</v>
      </c>
      <c r="N1397" s="76">
        <f t="shared" si="217"/>
        <v>3138.56</v>
      </c>
      <c r="O1397" s="76">
        <v>15692.8</v>
      </c>
      <c r="P1397" s="65">
        <v>32300</v>
      </c>
      <c r="Q1397" s="65">
        <f t="shared" si="218"/>
        <v>7106</v>
      </c>
      <c r="R1397" s="65">
        <f t="shared" si="219"/>
        <v>39406</v>
      </c>
      <c r="S1397" s="272"/>
      <c r="T1397" s="64">
        <v>68</v>
      </c>
      <c r="U1397" s="274"/>
      <c r="V1397" s="38">
        <v>36094</v>
      </c>
      <c r="W1397" s="38">
        <f t="shared" si="220"/>
        <v>7940.68</v>
      </c>
      <c r="X1397" s="38">
        <f t="shared" si="221"/>
        <v>44034.68</v>
      </c>
    </row>
    <row r="1398" spans="1:24" ht="19.5" customHeight="1" x14ac:dyDescent="0.35">
      <c r="A1398" s="56" t="s">
        <v>3628</v>
      </c>
      <c r="B1398" s="2">
        <v>1327</v>
      </c>
      <c r="C1398" s="77">
        <v>10005558</v>
      </c>
      <c r="D1398" s="74" t="s">
        <v>207</v>
      </c>
      <c r="E1398" s="74" t="s">
        <v>4175</v>
      </c>
      <c r="F1398" s="75">
        <f>6-1</f>
        <v>5</v>
      </c>
      <c r="G1398" s="64" t="s">
        <v>0</v>
      </c>
      <c r="H1398" s="61">
        <v>39763</v>
      </c>
      <c r="I1398" s="61" t="s">
        <v>958</v>
      </c>
      <c r="J1398" s="63" t="s">
        <v>1917</v>
      </c>
      <c r="K1398" s="88" t="s">
        <v>207</v>
      </c>
      <c r="L1398" s="88" t="s">
        <v>845</v>
      </c>
      <c r="M1398" s="76">
        <f t="shared" si="211"/>
        <v>3316.53</v>
      </c>
      <c r="N1398" s="76">
        <f t="shared" si="217"/>
        <v>663.31</v>
      </c>
      <c r="O1398" s="76">
        <f>3979.84/6*5</f>
        <v>3316.53</v>
      </c>
      <c r="P1398" s="65">
        <v>6830</v>
      </c>
      <c r="Q1398" s="65">
        <f t="shared" si="218"/>
        <v>1502.6</v>
      </c>
      <c r="R1398" s="65">
        <f t="shared" si="219"/>
        <v>8332.6</v>
      </c>
      <c r="S1398" s="272"/>
      <c r="T1398" s="64">
        <v>68</v>
      </c>
      <c r="U1398" s="274"/>
      <c r="V1398" s="38">
        <v>7628</v>
      </c>
      <c r="W1398" s="38">
        <f t="shared" si="220"/>
        <v>1678.16</v>
      </c>
      <c r="X1398" s="38">
        <f t="shared" si="221"/>
        <v>9306.16</v>
      </c>
    </row>
    <row r="1399" spans="1:24" ht="25" customHeight="1" x14ac:dyDescent="0.35">
      <c r="A1399" s="56" t="s">
        <v>3629</v>
      </c>
      <c r="B1399" s="2">
        <v>1328</v>
      </c>
      <c r="C1399" s="77">
        <v>10005509</v>
      </c>
      <c r="D1399" s="74" t="s">
        <v>203</v>
      </c>
      <c r="E1399" s="74" t="s">
        <v>2180</v>
      </c>
      <c r="F1399" s="75">
        <v>8</v>
      </c>
      <c r="G1399" s="64" t="s">
        <v>0</v>
      </c>
      <c r="H1399" s="61">
        <v>39763</v>
      </c>
      <c r="I1399" s="61" t="s">
        <v>958</v>
      </c>
      <c r="J1399" s="63" t="s">
        <v>1917</v>
      </c>
      <c r="K1399" s="88" t="s">
        <v>203</v>
      </c>
      <c r="L1399" s="88" t="s">
        <v>845</v>
      </c>
      <c r="M1399" s="76">
        <f t="shared" si="211"/>
        <v>3422.07</v>
      </c>
      <c r="N1399" s="76">
        <f t="shared" si="217"/>
        <v>427.76</v>
      </c>
      <c r="O1399" s="76">
        <v>3422.07</v>
      </c>
      <c r="P1399" s="65">
        <v>7040</v>
      </c>
      <c r="Q1399" s="65">
        <f t="shared" si="218"/>
        <v>1548.8</v>
      </c>
      <c r="R1399" s="65">
        <f t="shared" si="219"/>
        <v>8588.7999999999993</v>
      </c>
      <c r="S1399" s="272"/>
      <c r="T1399" s="64">
        <v>68</v>
      </c>
      <c r="U1399" s="274"/>
      <c r="V1399" s="38">
        <v>7871</v>
      </c>
      <c r="W1399" s="38">
        <f t="shared" si="220"/>
        <v>1731.62</v>
      </c>
      <c r="X1399" s="38">
        <f t="shared" si="221"/>
        <v>9602.6200000000008</v>
      </c>
    </row>
    <row r="1400" spans="1:24" ht="24.65" customHeight="1" x14ac:dyDescent="0.35">
      <c r="A1400" s="56" t="s">
        <v>3630</v>
      </c>
      <c r="B1400" s="2">
        <v>1329</v>
      </c>
      <c r="C1400" s="77">
        <v>10005498</v>
      </c>
      <c r="D1400" s="74" t="s">
        <v>210</v>
      </c>
      <c r="E1400" s="74" t="s">
        <v>2180</v>
      </c>
      <c r="F1400" s="75">
        <f>10-4</f>
        <v>6</v>
      </c>
      <c r="G1400" s="64" t="s">
        <v>0</v>
      </c>
      <c r="H1400" s="61">
        <v>39763</v>
      </c>
      <c r="I1400" s="61" t="s">
        <v>958</v>
      </c>
      <c r="J1400" s="63" t="s">
        <v>1917</v>
      </c>
      <c r="K1400" s="88" t="s">
        <v>210</v>
      </c>
      <c r="L1400" s="88" t="s">
        <v>845</v>
      </c>
      <c r="M1400" s="148">
        <f t="shared" si="211"/>
        <v>3397.74</v>
      </c>
      <c r="N1400" s="148">
        <f t="shared" si="217"/>
        <v>566.29</v>
      </c>
      <c r="O1400" s="76">
        <f>5662.9/10*6</f>
        <v>3397.74</v>
      </c>
      <c r="P1400" s="65">
        <v>6990</v>
      </c>
      <c r="Q1400" s="65">
        <f t="shared" si="218"/>
        <v>1537.8</v>
      </c>
      <c r="R1400" s="65">
        <f t="shared" si="219"/>
        <v>8527.7999999999993</v>
      </c>
      <c r="S1400" s="272"/>
      <c r="T1400" s="64">
        <v>68</v>
      </c>
      <c r="U1400" s="274"/>
      <c r="V1400" s="38">
        <v>7815</v>
      </c>
      <c r="W1400" s="38">
        <f t="shared" si="220"/>
        <v>1719.3</v>
      </c>
      <c r="X1400" s="38">
        <f t="shared" si="221"/>
        <v>9534.2999999999993</v>
      </c>
    </row>
    <row r="1401" spans="1:24" ht="15" customHeight="1" x14ac:dyDescent="0.35">
      <c r="A1401" s="56" t="s">
        <v>3631</v>
      </c>
      <c r="B1401" s="2">
        <v>1330</v>
      </c>
      <c r="C1401" s="77">
        <v>102005589</v>
      </c>
      <c r="D1401" s="74" t="s">
        <v>359</v>
      </c>
      <c r="E1401" s="74" t="s">
        <v>2147</v>
      </c>
      <c r="F1401" s="75">
        <v>4</v>
      </c>
      <c r="G1401" s="64" t="s">
        <v>0</v>
      </c>
      <c r="H1401" s="101" t="s">
        <v>2145</v>
      </c>
      <c r="I1401" s="101" t="s">
        <v>972</v>
      </c>
      <c r="J1401" s="63" t="s">
        <v>1917</v>
      </c>
      <c r="K1401" s="61" t="s">
        <v>961</v>
      </c>
      <c r="L1401" s="61" t="s">
        <v>845</v>
      </c>
      <c r="M1401" s="65">
        <f t="shared" si="211"/>
        <v>92461.96</v>
      </c>
      <c r="N1401" s="65">
        <f t="shared" si="217"/>
        <v>23115.49</v>
      </c>
      <c r="O1401" s="65">
        <v>92461.96</v>
      </c>
      <c r="P1401" s="65">
        <v>178170</v>
      </c>
      <c r="Q1401" s="65">
        <f t="shared" si="218"/>
        <v>39197.4</v>
      </c>
      <c r="R1401" s="65">
        <f t="shared" si="219"/>
        <v>217367.4</v>
      </c>
      <c r="S1401" s="272"/>
      <c r="T1401" s="64">
        <v>68</v>
      </c>
      <c r="U1401" s="274"/>
      <c r="V1401" s="38">
        <v>199070</v>
      </c>
      <c r="W1401" s="38">
        <f t="shared" si="220"/>
        <v>43795.4</v>
      </c>
      <c r="X1401" s="38">
        <f t="shared" si="221"/>
        <v>242865.4</v>
      </c>
    </row>
    <row r="1402" spans="1:24" ht="15" customHeight="1" x14ac:dyDescent="0.35">
      <c r="A1402" s="56" t="s">
        <v>3632</v>
      </c>
      <c r="B1402" s="2">
        <v>1331</v>
      </c>
      <c r="C1402" s="89">
        <v>10017092</v>
      </c>
      <c r="D1402" s="90" t="s">
        <v>640</v>
      </c>
      <c r="E1402" s="74" t="s">
        <v>2184</v>
      </c>
      <c r="F1402" s="75">
        <v>1</v>
      </c>
      <c r="G1402" s="64" t="s">
        <v>0</v>
      </c>
      <c r="H1402" s="61">
        <v>42004</v>
      </c>
      <c r="I1402" s="107" t="s">
        <v>976</v>
      </c>
      <c r="J1402" s="63" t="s">
        <v>1917</v>
      </c>
      <c r="K1402" s="108" t="s">
        <v>771</v>
      </c>
      <c r="L1402" s="64" t="s">
        <v>845</v>
      </c>
      <c r="M1402" s="65">
        <f t="shared" si="211"/>
        <v>12375.36</v>
      </c>
      <c r="N1402" s="65">
        <f t="shared" si="217"/>
        <v>12375.36</v>
      </c>
      <c r="O1402" s="65">
        <v>12375.36</v>
      </c>
      <c r="P1402" s="65">
        <v>18360</v>
      </c>
      <c r="Q1402" s="65">
        <f t="shared" si="218"/>
        <v>4039.2</v>
      </c>
      <c r="R1402" s="65">
        <f t="shared" si="219"/>
        <v>22399.200000000001</v>
      </c>
      <c r="S1402" s="272"/>
      <c r="T1402" s="64">
        <v>68</v>
      </c>
      <c r="U1402" s="274"/>
      <c r="V1402" s="38">
        <v>20512</v>
      </c>
      <c r="W1402" s="38">
        <f t="shared" si="220"/>
        <v>4512.6400000000003</v>
      </c>
      <c r="X1402" s="38">
        <f t="shared" si="221"/>
        <v>25024.639999999999</v>
      </c>
    </row>
    <row r="1403" spans="1:24" ht="15" customHeight="1" x14ac:dyDescent="0.35">
      <c r="A1403" s="56" t="s">
        <v>3633</v>
      </c>
      <c r="B1403" s="2">
        <v>1332</v>
      </c>
      <c r="C1403" s="77">
        <v>10017092</v>
      </c>
      <c r="D1403" s="74" t="s">
        <v>640</v>
      </c>
      <c r="E1403" s="74" t="s">
        <v>2156</v>
      </c>
      <c r="F1403" s="75">
        <v>2</v>
      </c>
      <c r="G1403" s="64" t="s">
        <v>0</v>
      </c>
      <c r="H1403" s="146">
        <v>42036</v>
      </c>
      <c r="I1403" s="64" t="s">
        <v>2094</v>
      </c>
      <c r="J1403" s="63" t="s">
        <v>1917</v>
      </c>
      <c r="K1403" s="108" t="s">
        <v>771</v>
      </c>
      <c r="L1403" s="64" t="s">
        <v>845</v>
      </c>
      <c r="M1403" s="65">
        <f t="shared" si="211"/>
        <v>26748.62</v>
      </c>
      <c r="N1403" s="65">
        <f t="shared" si="217"/>
        <v>13374.31</v>
      </c>
      <c r="O1403" s="65">
        <v>26748.62</v>
      </c>
      <c r="P1403" s="65">
        <v>39680</v>
      </c>
      <c r="Q1403" s="65">
        <f t="shared" si="218"/>
        <v>8729.6</v>
      </c>
      <c r="R1403" s="65">
        <f t="shared" si="219"/>
        <v>48409.599999999999</v>
      </c>
      <c r="S1403" s="272"/>
      <c r="T1403" s="64">
        <v>68</v>
      </c>
      <c r="U1403" s="274"/>
      <c r="V1403" s="38">
        <v>44336</v>
      </c>
      <c r="W1403" s="38">
        <f t="shared" si="220"/>
        <v>9753.92</v>
      </c>
      <c r="X1403" s="38">
        <f t="shared" si="221"/>
        <v>54089.919999999998</v>
      </c>
    </row>
    <row r="1404" spans="1:24" ht="15" customHeight="1" x14ac:dyDescent="0.35">
      <c r="A1404" s="56" t="s">
        <v>3634</v>
      </c>
      <c r="B1404" s="2">
        <v>1333</v>
      </c>
      <c r="C1404" s="77">
        <v>10005508</v>
      </c>
      <c r="D1404" s="74" t="s">
        <v>143</v>
      </c>
      <c r="E1404" s="74" t="s">
        <v>2161</v>
      </c>
      <c r="F1404" s="75">
        <v>1</v>
      </c>
      <c r="G1404" s="64" t="s">
        <v>0</v>
      </c>
      <c r="H1404" s="61">
        <v>42004</v>
      </c>
      <c r="I1404" s="61" t="s">
        <v>2158</v>
      </c>
      <c r="J1404" s="63" t="s">
        <v>1917</v>
      </c>
      <c r="K1404" s="101" t="s">
        <v>961</v>
      </c>
      <c r="L1404" s="88" t="s">
        <v>845</v>
      </c>
      <c r="M1404" s="76">
        <f t="shared" si="211"/>
        <v>292.95</v>
      </c>
      <c r="N1404" s="76">
        <f t="shared" si="217"/>
        <v>292.95</v>
      </c>
      <c r="O1404" s="76">
        <v>292.95</v>
      </c>
      <c r="P1404" s="65">
        <v>430</v>
      </c>
      <c r="Q1404" s="65">
        <f t="shared" si="218"/>
        <v>94.6</v>
      </c>
      <c r="R1404" s="65">
        <f t="shared" si="219"/>
        <v>524.6</v>
      </c>
      <c r="S1404" s="272"/>
      <c r="T1404" s="64">
        <v>68</v>
      </c>
      <c r="U1404" s="274"/>
      <c r="V1404" s="38">
        <v>486</v>
      </c>
      <c r="W1404" s="38">
        <f t="shared" si="220"/>
        <v>106.92</v>
      </c>
      <c r="X1404" s="38">
        <f t="shared" si="221"/>
        <v>592.91999999999996</v>
      </c>
    </row>
    <row r="1405" spans="1:24" ht="15" customHeight="1" x14ac:dyDescent="0.35">
      <c r="A1405" s="56" t="s">
        <v>3635</v>
      </c>
      <c r="B1405" s="2">
        <v>1334</v>
      </c>
      <c r="C1405" s="77">
        <v>10090828</v>
      </c>
      <c r="D1405" s="74" t="s">
        <v>1267</v>
      </c>
      <c r="E1405" s="74" t="s">
        <v>2161</v>
      </c>
      <c r="F1405" s="75">
        <v>2</v>
      </c>
      <c r="G1405" s="64" t="s">
        <v>0</v>
      </c>
      <c r="H1405" s="61">
        <v>42004</v>
      </c>
      <c r="I1405" s="61" t="s">
        <v>2158</v>
      </c>
      <c r="J1405" s="63" t="s">
        <v>1917</v>
      </c>
      <c r="K1405" s="101" t="s">
        <v>961</v>
      </c>
      <c r="L1405" s="88" t="s">
        <v>845</v>
      </c>
      <c r="M1405" s="76">
        <f t="shared" si="211"/>
        <v>2093.2199999999998</v>
      </c>
      <c r="N1405" s="76">
        <f t="shared" si="217"/>
        <v>1046.6099999999999</v>
      </c>
      <c r="O1405" s="76">
        <v>2093.2199999999998</v>
      </c>
      <c r="P1405" s="65">
        <v>3110</v>
      </c>
      <c r="Q1405" s="65">
        <f t="shared" si="218"/>
        <v>684.2</v>
      </c>
      <c r="R1405" s="65">
        <f t="shared" si="219"/>
        <v>3794.2</v>
      </c>
      <c r="S1405" s="272"/>
      <c r="T1405" s="64">
        <v>68</v>
      </c>
      <c r="U1405" s="274"/>
      <c r="V1405" s="38">
        <v>3470</v>
      </c>
      <c r="W1405" s="38">
        <f t="shared" si="220"/>
        <v>763.4</v>
      </c>
      <c r="X1405" s="38">
        <f t="shared" si="221"/>
        <v>4233.3999999999996</v>
      </c>
    </row>
    <row r="1406" spans="1:24" ht="15" customHeight="1" x14ac:dyDescent="0.35">
      <c r="A1406" s="56" t="s">
        <v>3636</v>
      </c>
      <c r="B1406" s="2">
        <v>1335</v>
      </c>
      <c r="C1406" s="77">
        <v>10090871</v>
      </c>
      <c r="D1406" s="74" t="s">
        <v>1268</v>
      </c>
      <c r="E1406" s="74" t="s">
        <v>2161</v>
      </c>
      <c r="F1406" s="75">
        <v>2</v>
      </c>
      <c r="G1406" s="64" t="s">
        <v>0</v>
      </c>
      <c r="H1406" s="61">
        <v>42004</v>
      </c>
      <c r="I1406" s="61" t="s">
        <v>2158</v>
      </c>
      <c r="J1406" s="63" t="s">
        <v>1917</v>
      </c>
      <c r="K1406" s="101" t="s">
        <v>961</v>
      </c>
      <c r="L1406" s="88" t="s">
        <v>845</v>
      </c>
      <c r="M1406" s="76">
        <f t="shared" si="211"/>
        <v>126.1</v>
      </c>
      <c r="N1406" s="76">
        <f t="shared" si="217"/>
        <v>63.05</v>
      </c>
      <c r="O1406" s="76">
        <v>126.1</v>
      </c>
      <c r="P1406" s="65">
        <v>190</v>
      </c>
      <c r="Q1406" s="65">
        <f t="shared" si="218"/>
        <v>41.8</v>
      </c>
      <c r="R1406" s="65">
        <f t="shared" si="219"/>
        <v>231.8</v>
      </c>
      <c r="S1406" s="272"/>
      <c r="T1406" s="64">
        <v>68</v>
      </c>
      <c r="U1406" s="274"/>
      <c r="V1406" s="38">
        <v>209</v>
      </c>
      <c r="W1406" s="38">
        <f t="shared" si="220"/>
        <v>45.98</v>
      </c>
      <c r="X1406" s="38">
        <f t="shared" si="221"/>
        <v>254.98</v>
      </c>
    </row>
    <row r="1407" spans="1:24" ht="15" customHeight="1" x14ac:dyDescent="0.35">
      <c r="A1407" s="56" t="s">
        <v>3637</v>
      </c>
      <c r="B1407" s="2">
        <v>1336</v>
      </c>
      <c r="C1407" s="77">
        <v>10090866</v>
      </c>
      <c r="D1407" s="74" t="s">
        <v>1269</v>
      </c>
      <c r="E1407" s="74" t="s">
        <v>2161</v>
      </c>
      <c r="F1407" s="75">
        <v>3</v>
      </c>
      <c r="G1407" s="64" t="s">
        <v>0</v>
      </c>
      <c r="H1407" s="61">
        <v>42004</v>
      </c>
      <c r="I1407" s="61" t="s">
        <v>2158</v>
      </c>
      <c r="J1407" s="63" t="s">
        <v>1917</v>
      </c>
      <c r="K1407" s="101" t="s">
        <v>961</v>
      </c>
      <c r="L1407" s="88" t="s">
        <v>845</v>
      </c>
      <c r="M1407" s="76">
        <f t="shared" si="211"/>
        <v>859.32</v>
      </c>
      <c r="N1407" s="76">
        <f t="shared" si="217"/>
        <v>286.44</v>
      </c>
      <c r="O1407" s="76">
        <v>859.32</v>
      </c>
      <c r="P1407" s="65">
        <v>1270</v>
      </c>
      <c r="Q1407" s="65">
        <f t="shared" si="218"/>
        <v>279.39999999999998</v>
      </c>
      <c r="R1407" s="65">
        <f t="shared" si="219"/>
        <v>1549.4</v>
      </c>
      <c r="S1407" s="272"/>
      <c r="T1407" s="64">
        <v>68</v>
      </c>
      <c r="U1407" s="274"/>
      <c r="V1407" s="38">
        <v>1424</v>
      </c>
      <c r="W1407" s="38">
        <f t="shared" si="220"/>
        <v>313.27999999999997</v>
      </c>
      <c r="X1407" s="38">
        <f t="shared" si="221"/>
        <v>1737.28</v>
      </c>
    </row>
    <row r="1408" spans="1:24" ht="15" customHeight="1" x14ac:dyDescent="0.35">
      <c r="A1408" s="56" t="s">
        <v>3638</v>
      </c>
      <c r="B1408" s="2">
        <v>1337</v>
      </c>
      <c r="C1408" s="77">
        <v>10005556</v>
      </c>
      <c r="D1408" s="74" t="s">
        <v>148</v>
      </c>
      <c r="E1408" s="74" t="s">
        <v>2161</v>
      </c>
      <c r="F1408" s="75">
        <v>4</v>
      </c>
      <c r="G1408" s="64" t="s">
        <v>0</v>
      </c>
      <c r="H1408" s="61">
        <v>42004</v>
      </c>
      <c r="I1408" s="61" t="s">
        <v>2158</v>
      </c>
      <c r="J1408" s="63" t="s">
        <v>1917</v>
      </c>
      <c r="K1408" s="101" t="s">
        <v>961</v>
      </c>
      <c r="L1408" s="88" t="s">
        <v>845</v>
      </c>
      <c r="M1408" s="76">
        <f t="shared" si="211"/>
        <v>2082.08</v>
      </c>
      <c r="N1408" s="76">
        <f t="shared" si="217"/>
        <v>520.52</v>
      </c>
      <c r="O1408" s="76">
        <v>2082.08</v>
      </c>
      <c r="P1408" s="65">
        <v>3090</v>
      </c>
      <c r="Q1408" s="65">
        <f t="shared" si="218"/>
        <v>679.8</v>
      </c>
      <c r="R1408" s="65">
        <f t="shared" si="219"/>
        <v>3769.8</v>
      </c>
      <c r="S1408" s="272"/>
      <c r="T1408" s="64">
        <v>68</v>
      </c>
      <c r="U1408" s="274"/>
      <c r="V1408" s="38">
        <v>3451</v>
      </c>
      <c r="W1408" s="38">
        <f t="shared" si="220"/>
        <v>759.22</v>
      </c>
      <c r="X1408" s="38">
        <f t="shared" si="221"/>
        <v>4210.22</v>
      </c>
    </row>
    <row r="1409" spans="1:24" ht="15" customHeight="1" x14ac:dyDescent="0.35">
      <c r="A1409" s="56" t="s">
        <v>3639</v>
      </c>
      <c r="B1409" s="2">
        <v>1338</v>
      </c>
      <c r="C1409" s="77">
        <v>10017405</v>
      </c>
      <c r="D1409" s="74" t="s">
        <v>1270</v>
      </c>
      <c r="E1409" s="74" t="s">
        <v>2161</v>
      </c>
      <c r="F1409" s="75">
        <f>4-1</f>
        <v>3</v>
      </c>
      <c r="G1409" s="64" t="s">
        <v>0</v>
      </c>
      <c r="H1409" s="61">
        <v>42004</v>
      </c>
      <c r="I1409" s="61" t="s">
        <v>2158</v>
      </c>
      <c r="J1409" s="63" t="s">
        <v>1917</v>
      </c>
      <c r="K1409" s="101" t="s">
        <v>961</v>
      </c>
      <c r="L1409" s="88" t="s">
        <v>845</v>
      </c>
      <c r="M1409" s="76">
        <f t="shared" si="211"/>
        <v>18025.41</v>
      </c>
      <c r="N1409" s="76">
        <f t="shared" si="217"/>
        <v>6008.47</v>
      </c>
      <c r="O1409" s="76">
        <f>24033.88/4*3</f>
        <v>18025.41</v>
      </c>
      <c r="P1409" s="65">
        <v>26740</v>
      </c>
      <c r="Q1409" s="65">
        <f t="shared" si="218"/>
        <v>5882.8</v>
      </c>
      <c r="R1409" s="65">
        <f t="shared" si="219"/>
        <v>32622.799999999999</v>
      </c>
      <c r="S1409" s="272"/>
      <c r="T1409" s="64">
        <v>68</v>
      </c>
      <c r="U1409" s="274"/>
      <c r="V1409" s="38">
        <v>29877</v>
      </c>
      <c r="W1409" s="38">
        <f t="shared" si="220"/>
        <v>6572.94</v>
      </c>
      <c r="X1409" s="38">
        <f t="shared" si="221"/>
        <v>36449.94</v>
      </c>
    </row>
    <row r="1410" spans="1:24" ht="15" customHeight="1" x14ac:dyDescent="0.35">
      <c r="A1410" s="56" t="s">
        <v>3640</v>
      </c>
      <c r="B1410" s="2">
        <v>1339</v>
      </c>
      <c r="C1410" s="77">
        <v>10019969</v>
      </c>
      <c r="D1410" s="74" t="s">
        <v>1271</v>
      </c>
      <c r="E1410" s="74" t="s">
        <v>2161</v>
      </c>
      <c r="F1410" s="75">
        <v>4</v>
      </c>
      <c r="G1410" s="64" t="s">
        <v>0</v>
      </c>
      <c r="H1410" s="61">
        <v>42004</v>
      </c>
      <c r="I1410" s="61" t="s">
        <v>2158</v>
      </c>
      <c r="J1410" s="63" t="s">
        <v>1917</v>
      </c>
      <c r="K1410" s="101" t="s">
        <v>961</v>
      </c>
      <c r="L1410" s="88" t="s">
        <v>845</v>
      </c>
      <c r="M1410" s="76">
        <f t="shared" si="211"/>
        <v>4789.92</v>
      </c>
      <c r="N1410" s="76">
        <f t="shared" si="217"/>
        <v>1197.48</v>
      </c>
      <c r="O1410" s="76">
        <v>4789.92</v>
      </c>
      <c r="P1410" s="65">
        <v>7110</v>
      </c>
      <c r="Q1410" s="65">
        <f t="shared" si="218"/>
        <v>1564.2</v>
      </c>
      <c r="R1410" s="65">
        <f t="shared" si="219"/>
        <v>8674.2000000000007</v>
      </c>
      <c r="S1410" s="272"/>
      <c r="T1410" s="64">
        <v>68</v>
      </c>
      <c r="U1410" s="274"/>
      <c r="V1410" s="38">
        <v>7939</v>
      </c>
      <c r="W1410" s="38">
        <f t="shared" si="220"/>
        <v>1746.58</v>
      </c>
      <c r="X1410" s="38">
        <f t="shared" si="221"/>
        <v>9685.58</v>
      </c>
    </row>
    <row r="1411" spans="1:24" ht="15" customHeight="1" x14ac:dyDescent="0.35">
      <c r="A1411" s="56" t="s">
        <v>3641</v>
      </c>
      <c r="B1411" s="2">
        <v>1340</v>
      </c>
      <c r="C1411" s="77">
        <v>10025502</v>
      </c>
      <c r="D1411" s="74" t="s">
        <v>1272</v>
      </c>
      <c r="E1411" s="74" t="s">
        <v>2161</v>
      </c>
      <c r="F1411" s="75">
        <v>4</v>
      </c>
      <c r="G1411" s="64" t="s">
        <v>0</v>
      </c>
      <c r="H1411" s="61">
        <v>42004</v>
      </c>
      <c r="I1411" s="61" t="s">
        <v>2158</v>
      </c>
      <c r="J1411" s="63" t="s">
        <v>1917</v>
      </c>
      <c r="K1411" s="101" t="s">
        <v>961</v>
      </c>
      <c r="L1411" s="88" t="s">
        <v>845</v>
      </c>
      <c r="M1411" s="76">
        <f t="shared" si="211"/>
        <v>10920.88</v>
      </c>
      <c r="N1411" s="76">
        <f t="shared" si="217"/>
        <v>2730.22</v>
      </c>
      <c r="O1411" s="76">
        <v>10920.88</v>
      </c>
      <c r="P1411" s="65">
        <v>16200</v>
      </c>
      <c r="Q1411" s="65">
        <f t="shared" si="218"/>
        <v>3564</v>
      </c>
      <c r="R1411" s="65">
        <f t="shared" si="219"/>
        <v>19764</v>
      </c>
      <c r="S1411" s="272"/>
      <c r="T1411" s="64">
        <v>68</v>
      </c>
      <c r="U1411" s="274"/>
      <c r="V1411" s="38">
        <v>18101</v>
      </c>
      <c r="W1411" s="38">
        <f t="shared" si="220"/>
        <v>3982.22</v>
      </c>
      <c r="X1411" s="38">
        <f t="shared" si="221"/>
        <v>22083.22</v>
      </c>
    </row>
    <row r="1412" spans="1:24" ht="15" customHeight="1" x14ac:dyDescent="0.35">
      <c r="A1412" s="56" t="s">
        <v>3642</v>
      </c>
      <c r="B1412" s="2">
        <v>1341</v>
      </c>
      <c r="C1412" s="77">
        <v>10090863</v>
      </c>
      <c r="D1412" s="74" t="s">
        <v>1273</v>
      </c>
      <c r="E1412" s="74" t="s">
        <v>2161</v>
      </c>
      <c r="F1412" s="75">
        <v>4</v>
      </c>
      <c r="G1412" s="64" t="s">
        <v>0</v>
      </c>
      <c r="H1412" s="61">
        <v>42004</v>
      </c>
      <c r="I1412" s="61" t="s">
        <v>2158</v>
      </c>
      <c r="J1412" s="63" t="s">
        <v>1917</v>
      </c>
      <c r="K1412" s="101" t="s">
        <v>961</v>
      </c>
      <c r="L1412" s="88" t="s">
        <v>845</v>
      </c>
      <c r="M1412" s="76">
        <f t="shared" si="211"/>
        <v>142.28</v>
      </c>
      <c r="N1412" s="76">
        <f t="shared" si="217"/>
        <v>35.57</v>
      </c>
      <c r="O1412" s="76">
        <v>142.28</v>
      </c>
      <c r="P1412" s="65">
        <v>210</v>
      </c>
      <c r="Q1412" s="65">
        <f t="shared" si="218"/>
        <v>46.2</v>
      </c>
      <c r="R1412" s="65">
        <f t="shared" si="219"/>
        <v>256.2</v>
      </c>
      <c r="S1412" s="272"/>
      <c r="T1412" s="64">
        <v>68</v>
      </c>
      <c r="U1412" s="274"/>
      <c r="V1412" s="38">
        <v>236</v>
      </c>
      <c r="W1412" s="38">
        <f t="shared" si="220"/>
        <v>51.92</v>
      </c>
      <c r="X1412" s="38">
        <f t="shared" si="221"/>
        <v>287.92</v>
      </c>
    </row>
    <row r="1413" spans="1:24" ht="15" customHeight="1" x14ac:dyDescent="0.35">
      <c r="A1413" s="56" t="s">
        <v>3643</v>
      </c>
      <c r="B1413" s="2">
        <v>1342</v>
      </c>
      <c r="C1413" s="77">
        <v>10090867</v>
      </c>
      <c r="D1413" s="74" t="s">
        <v>1274</v>
      </c>
      <c r="E1413" s="74" t="s">
        <v>2161</v>
      </c>
      <c r="F1413" s="75">
        <v>5</v>
      </c>
      <c r="G1413" s="64" t="s">
        <v>0</v>
      </c>
      <c r="H1413" s="61">
        <v>42004</v>
      </c>
      <c r="I1413" s="61" t="s">
        <v>2158</v>
      </c>
      <c r="J1413" s="63" t="s">
        <v>1917</v>
      </c>
      <c r="K1413" s="101" t="s">
        <v>961</v>
      </c>
      <c r="L1413" s="88" t="s">
        <v>845</v>
      </c>
      <c r="M1413" s="76">
        <f t="shared" si="211"/>
        <v>2030.5</v>
      </c>
      <c r="N1413" s="76">
        <f t="shared" si="217"/>
        <v>406.1</v>
      </c>
      <c r="O1413" s="76">
        <v>2030.5</v>
      </c>
      <c r="P1413" s="65">
        <v>3010</v>
      </c>
      <c r="Q1413" s="65">
        <f t="shared" si="218"/>
        <v>662.2</v>
      </c>
      <c r="R1413" s="65">
        <f t="shared" si="219"/>
        <v>3672.2</v>
      </c>
      <c r="S1413" s="272"/>
      <c r="T1413" s="64">
        <v>68</v>
      </c>
      <c r="U1413" s="274"/>
      <c r="V1413" s="38">
        <v>3366</v>
      </c>
      <c r="W1413" s="38">
        <f t="shared" si="220"/>
        <v>740.52</v>
      </c>
      <c r="X1413" s="38">
        <f t="shared" si="221"/>
        <v>4106.5200000000004</v>
      </c>
    </row>
    <row r="1414" spans="1:24" ht="15" customHeight="1" x14ac:dyDescent="0.35">
      <c r="A1414" s="56" t="s">
        <v>3644</v>
      </c>
      <c r="B1414" s="2">
        <v>1343</v>
      </c>
      <c r="C1414" s="77">
        <v>10008275</v>
      </c>
      <c r="D1414" s="74" t="s">
        <v>1275</v>
      </c>
      <c r="E1414" s="74" t="s">
        <v>2161</v>
      </c>
      <c r="F1414" s="75">
        <v>10</v>
      </c>
      <c r="G1414" s="64" t="s">
        <v>0</v>
      </c>
      <c r="H1414" s="61">
        <v>42004</v>
      </c>
      <c r="I1414" s="61" t="s">
        <v>2158</v>
      </c>
      <c r="J1414" s="63" t="s">
        <v>1917</v>
      </c>
      <c r="K1414" s="101" t="s">
        <v>961</v>
      </c>
      <c r="L1414" s="88" t="s">
        <v>845</v>
      </c>
      <c r="M1414" s="76">
        <f t="shared" si="211"/>
        <v>1444.4</v>
      </c>
      <c r="N1414" s="76">
        <f t="shared" si="217"/>
        <v>144.44</v>
      </c>
      <c r="O1414" s="76">
        <v>1444.4</v>
      </c>
      <c r="P1414" s="65">
        <v>2140</v>
      </c>
      <c r="Q1414" s="65">
        <f t="shared" si="218"/>
        <v>470.8</v>
      </c>
      <c r="R1414" s="65">
        <f t="shared" si="219"/>
        <v>2610.8000000000002</v>
      </c>
      <c r="S1414" s="272"/>
      <c r="T1414" s="64">
        <v>68</v>
      </c>
      <c r="U1414" s="274"/>
      <c r="V1414" s="38">
        <v>2394</v>
      </c>
      <c r="W1414" s="38">
        <f t="shared" si="220"/>
        <v>526.67999999999995</v>
      </c>
      <c r="X1414" s="38">
        <f t="shared" si="221"/>
        <v>2920.68</v>
      </c>
    </row>
    <row r="1415" spans="1:24" ht="15" customHeight="1" x14ac:dyDescent="0.35">
      <c r="A1415" s="56" t="s">
        <v>3645</v>
      </c>
      <c r="B1415" s="2">
        <v>1344</v>
      </c>
      <c r="C1415" s="74">
        <v>10102860</v>
      </c>
      <c r="D1415" s="74" t="s">
        <v>2128</v>
      </c>
      <c r="E1415" s="74" t="s">
        <v>2147</v>
      </c>
      <c r="F1415" s="75">
        <v>13</v>
      </c>
      <c r="G1415" s="64" t="s">
        <v>0</v>
      </c>
      <c r="H1415" s="64">
        <v>2006</v>
      </c>
      <c r="I1415" s="105" t="s">
        <v>972</v>
      </c>
      <c r="J1415" s="63" t="s">
        <v>1917</v>
      </c>
      <c r="K1415" s="63" t="s">
        <v>961</v>
      </c>
      <c r="L1415" s="61" t="s">
        <v>845</v>
      </c>
      <c r="M1415" s="65">
        <f t="shared" si="211"/>
        <v>311406.28999999998</v>
      </c>
      <c r="N1415" s="65">
        <f t="shared" si="217"/>
        <v>23954.33</v>
      </c>
      <c r="O1415" s="65">
        <v>311406.28999999998</v>
      </c>
      <c r="P1415" s="65">
        <v>955330</v>
      </c>
      <c r="Q1415" s="65">
        <f t="shared" si="218"/>
        <v>210172.6</v>
      </c>
      <c r="R1415" s="65">
        <f t="shared" si="219"/>
        <v>1165502.6000000001</v>
      </c>
      <c r="S1415" s="272"/>
      <c r="T1415" s="64">
        <v>68</v>
      </c>
      <c r="U1415" s="274"/>
      <c r="V1415" s="38">
        <v>1067403</v>
      </c>
      <c r="W1415" s="38">
        <f t="shared" si="220"/>
        <v>234828.66</v>
      </c>
      <c r="X1415" s="38">
        <f t="shared" si="221"/>
        <v>1302231.6599999999</v>
      </c>
    </row>
    <row r="1416" spans="1:24" ht="18" customHeight="1" x14ac:dyDescent="0.35">
      <c r="A1416" s="56" t="s">
        <v>3646</v>
      </c>
      <c r="B1416" s="2">
        <v>1345</v>
      </c>
      <c r="C1416" s="74">
        <v>102005631</v>
      </c>
      <c r="D1416" s="74" t="s">
        <v>2129</v>
      </c>
      <c r="E1416" s="74" t="s">
        <v>2147</v>
      </c>
      <c r="F1416" s="75">
        <v>2</v>
      </c>
      <c r="G1416" s="64" t="s">
        <v>0</v>
      </c>
      <c r="H1416" s="64">
        <v>2006</v>
      </c>
      <c r="I1416" s="105" t="s">
        <v>972</v>
      </c>
      <c r="J1416" s="63" t="s">
        <v>1917</v>
      </c>
      <c r="K1416" s="63" t="s">
        <v>961</v>
      </c>
      <c r="L1416" s="61" t="s">
        <v>845</v>
      </c>
      <c r="M1416" s="65">
        <f t="shared" si="211"/>
        <v>45880.68</v>
      </c>
      <c r="N1416" s="65">
        <f t="shared" si="217"/>
        <v>22940.34</v>
      </c>
      <c r="O1416" s="65">
        <v>45880.68</v>
      </c>
      <c r="P1416" s="65">
        <v>101360</v>
      </c>
      <c r="Q1416" s="65">
        <f t="shared" si="218"/>
        <v>22299.200000000001</v>
      </c>
      <c r="R1416" s="65">
        <f t="shared" si="219"/>
        <v>123659.2</v>
      </c>
      <c r="S1416" s="272"/>
      <c r="T1416" s="64">
        <v>68</v>
      </c>
      <c r="U1416" s="274"/>
      <c r="V1416" s="38">
        <v>113251</v>
      </c>
      <c r="W1416" s="38">
        <f t="shared" si="220"/>
        <v>24915.22</v>
      </c>
      <c r="X1416" s="38">
        <f t="shared" si="221"/>
        <v>138166.22</v>
      </c>
    </row>
    <row r="1417" spans="1:24" ht="15" customHeight="1" x14ac:dyDescent="0.35">
      <c r="A1417" s="56" t="s">
        <v>3647</v>
      </c>
      <c r="B1417" s="2">
        <v>1346</v>
      </c>
      <c r="C1417" s="74">
        <v>102029198</v>
      </c>
      <c r="D1417" s="74" t="s">
        <v>2130</v>
      </c>
      <c r="E1417" s="74" t="s">
        <v>2147</v>
      </c>
      <c r="F1417" s="75">
        <v>3</v>
      </c>
      <c r="G1417" s="64" t="s">
        <v>0</v>
      </c>
      <c r="H1417" s="64">
        <v>2008</v>
      </c>
      <c r="I1417" s="105" t="s">
        <v>972</v>
      </c>
      <c r="J1417" s="63" t="s">
        <v>1917</v>
      </c>
      <c r="K1417" s="63" t="s">
        <v>961</v>
      </c>
      <c r="L1417" s="61" t="s">
        <v>845</v>
      </c>
      <c r="M1417" s="65">
        <f t="shared" si="211"/>
        <v>97240.29</v>
      </c>
      <c r="N1417" s="65">
        <f t="shared" si="217"/>
        <v>32413.43</v>
      </c>
      <c r="O1417" s="65">
        <v>97240.29</v>
      </c>
      <c r="P1417" s="65">
        <v>150950</v>
      </c>
      <c r="Q1417" s="65">
        <f t="shared" si="218"/>
        <v>33209</v>
      </c>
      <c r="R1417" s="65">
        <f t="shared" si="219"/>
        <v>184159</v>
      </c>
      <c r="S1417" s="276"/>
      <c r="T1417" s="64">
        <v>68</v>
      </c>
      <c r="U1417" s="274"/>
      <c r="V1417" s="38">
        <v>168657</v>
      </c>
      <c r="W1417" s="38">
        <f t="shared" si="220"/>
        <v>37104.54</v>
      </c>
      <c r="X1417" s="38">
        <f t="shared" si="221"/>
        <v>205761.54</v>
      </c>
    </row>
    <row r="1418" spans="1:24" ht="15" customHeight="1" x14ac:dyDescent="0.35">
      <c r="A1418" s="56"/>
      <c r="B1418" s="15"/>
      <c r="C1418" s="74"/>
      <c r="D1418" s="74"/>
      <c r="E1418" s="74"/>
      <c r="F1418" s="75"/>
      <c r="G1418" s="64"/>
      <c r="H1418" s="78"/>
      <c r="I1418" s="105"/>
      <c r="J1418" s="63"/>
      <c r="K1418" s="63"/>
      <c r="L1418" s="61"/>
      <c r="M1418" s="65"/>
      <c r="N1418" s="65"/>
      <c r="O1418" s="126">
        <f>SUM(O1377:O1417)</f>
        <v>696305.88</v>
      </c>
      <c r="P1418" s="126">
        <f>SUM(P1377:P1417)</f>
        <v>1644020</v>
      </c>
      <c r="Q1418" s="126">
        <f>SUM(Q1377:Q1417)</f>
        <v>361684.4</v>
      </c>
      <c r="R1418" s="126">
        <f>SUM(R1377:R1417)</f>
        <v>2005704.4</v>
      </c>
      <c r="S1418" s="72">
        <f>R1418/100*10</f>
        <v>200570.44</v>
      </c>
      <c r="T1418" s="73">
        <v>68</v>
      </c>
      <c r="U1418" s="275"/>
      <c r="V1418" s="38"/>
      <c r="W1418" s="38"/>
      <c r="X1418" s="38"/>
    </row>
    <row r="1419" spans="1:24" ht="36.75" customHeight="1" x14ac:dyDescent="0.35">
      <c r="A1419" s="56" t="s">
        <v>3983</v>
      </c>
      <c r="B1419" s="2">
        <v>1347</v>
      </c>
      <c r="C1419" s="77">
        <v>10102427</v>
      </c>
      <c r="D1419" s="74" t="s">
        <v>1623</v>
      </c>
      <c r="E1419" s="59" t="s">
        <v>2167</v>
      </c>
      <c r="F1419" s="75">
        <v>8</v>
      </c>
      <c r="G1419" s="64" t="s">
        <v>0</v>
      </c>
      <c r="H1419" s="78">
        <v>41487</v>
      </c>
      <c r="I1419" s="4" t="s">
        <v>957</v>
      </c>
      <c r="J1419" s="63" t="s">
        <v>1950</v>
      </c>
      <c r="K1419" s="63" t="s">
        <v>961</v>
      </c>
      <c r="L1419" s="69" t="s">
        <v>950</v>
      </c>
      <c r="M1419" s="70">
        <f t="shared" si="211"/>
        <v>562.72</v>
      </c>
      <c r="N1419" s="70">
        <f>O1419/F1419</f>
        <v>70.34</v>
      </c>
      <c r="O1419" s="70">
        <v>562.72</v>
      </c>
      <c r="P1419" s="65">
        <v>1280</v>
      </c>
      <c r="Q1419" s="65">
        <f t="shared" si="218"/>
        <v>281.60000000000002</v>
      </c>
      <c r="R1419" s="65">
        <f t="shared" si="219"/>
        <v>1561.6</v>
      </c>
      <c r="S1419" s="267"/>
      <c r="T1419" s="64">
        <v>69</v>
      </c>
      <c r="U1419" s="273" t="s">
        <v>2284</v>
      </c>
      <c r="V1419" s="38">
        <v>1277</v>
      </c>
      <c r="W1419" s="38">
        <f t="shared" si="220"/>
        <v>280.94</v>
      </c>
      <c r="X1419" s="38">
        <f t="shared" si="221"/>
        <v>1557.94</v>
      </c>
    </row>
    <row r="1420" spans="1:24" ht="15" customHeight="1" x14ac:dyDescent="0.35">
      <c r="A1420" s="56" t="s">
        <v>3648</v>
      </c>
      <c r="B1420" s="2">
        <v>1348</v>
      </c>
      <c r="C1420" s="11">
        <v>10148182</v>
      </c>
      <c r="D1420" s="3" t="s">
        <v>1857</v>
      </c>
      <c r="E1420" s="59" t="s">
        <v>2167</v>
      </c>
      <c r="F1420" s="14">
        <v>27</v>
      </c>
      <c r="G1420" s="64" t="s">
        <v>0</v>
      </c>
      <c r="H1420" s="5">
        <v>41487</v>
      </c>
      <c r="I1420" s="4" t="s">
        <v>957</v>
      </c>
      <c r="J1420" s="63" t="s">
        <v>1917</v>
      </c>
      <c r="K1420" s="63" t="s">
        <v>961</v>
      </c>
      <c r="L1420" s="69" t="s">
        <v>950</v>
      </c>
      <c r="M1420" s="70">
        <f t="shared" ref="M1420:M1446" si="222">O1420</f>
        <v>7900.2</v>
      </c>
      <c r="N1420" s="70">
        <f>O1420/F1420</f>
        <v>292.60000000000002</v>
      </c>
      <c r="O1420" s="70">
        <v>7900.2</v>
      </c>
      <c r="P1420" s="65">
        <v>17930</v>
      </c>
      <c r="Q1420" s="65">
        <f t="shared" si="218"/>
        <v>3944.6</v>
      </c>
      <c r="R1420" s="65">
        <f t="shared" si="219"/>
        <v>21874.6</v>
      </c>
      <c r="S1420" s="276"/>
      <c r="T1420" s="64">
        <v>69</v>
      </c>
      <c r="U1420" s="274"/>
      <c r="V1420" s="38">
        <v>17928</v>
      </c>
      <c r="W1420" s="38">
        <f t="shared" si="220"/>
        <v>3944.16</v>
      </c>
      <c r="X1420" s="38">
        <f t="shared" si="221"/>
        <v>21872.16</v>
      </c>
    </row>
    <row r="1421" spans="1:24" ht="15" customHeight="1" x14ac:dyDescent="0.35">
      <c r="A1421" s="56"/>
      <c r="B1421" s="15"/>
      <c r="C1421" s="11"/>
      <c r="D1421" s="3"/>
      <c r="E1421" s="59"/>
      <c r="F1421" s="14"/>
      <c r="G1421" s="64"/>
      <c r="H1421" s="5"/>
      <c r="I1421" s="4"/>
      <c r="J1421" s="63"/>
      <c r="K1421" s="63"/>
      <c r="L1421" s="69"/>
      <c r="M1421" s="70"/>
      <c r="N1421" s="70"/>
      <c r="O1421" s="71">
        <f>SUM(O1419:O1420)</f>
        <v>8462.92</v>
      </c>
      <c r="P1421" s="71">
        <f t="shared" ref="P1421:R1421" si="223">SUM(P1419:P1420)</f>
        <v>19210</v>
      </c>
      <c r="Q1421" s="71">
        <f t="shared" si="223"/>
        <v>4226.2</v>
      </c>
      <c r="R1421" s="71">
        <f t="shared" si="223"/>
        <v>23436.2</v>
      </c>
      <c r="S1421" s="72">
        <f>R1421/100*10</f>
        <v>2343.62</v>
      </c>
      <c r="T1421" s="73">
        <v>69</v>
      </c>
      <c r="U1421" s="275"/>
      <c r="V1421" s="38"/>
      <c r="W1421" s="38"/>
      <c r="X1421" s="38"/>
    </row>
    <row r="1422" spans="1:24" ht="15" customHeight="1" x14ac:dyDescent="0.35">
      <c r="A1422" s="56" t="s">
        <v>3649</v>
      </c>
      <c r="B1422" s="2">
        <v>1349</v>
      </c>
      <c r="C1422" s="89">
        <v>10096519</v>
      </c>
      <c r="D1422" s="90" t="s">
        <v>593</v>
      </c>
      <c r="E1422" s="74" t="s">
        <v>686</v>
      </c>
      <c r="F1422" s="91">
        <v>10</v>
      </c>
      <c r="G1422" s="64" t="s">
        <v>0</v>
      </c>
      <c r="H1422" s="61">
        <v>42004</v>
      </c>
      <c r="I1422" s="107" t="s">
        <v>976</v>
      </c>
      <c r="J1422" s="63" t="s">
        <v>1917</v>
      </c>
      <c r="K1422" s="108" t="s">
        <v>807</v>
      </c>
      <c r="L1422" s="64" t="s">
        <v>845</v>
      </c>
      <c r="M1422" s="65">
        <f t="shared" si="222"/>
        <v>26051.200000000001</v>
      </c>
      <c r="N1422" s="65">
        <f>O1422/F1422</f>
        <v>2605.12</v>
      </c>
      <c r="O1422" s="65">
        <v>26051.200000000001</v>
      </c>
      <c r="P1422" s="65">
        <v>27780</v>
      </c>
      <c r="Q1422" s="65">
        <f t="shared" si="218"/>
        <v>6111.6</v>
      </c>
      <c r="R1422" s="65">
        <f t="shared" si="219"/>
        <v>33891.599999999999</v>
      </c>
      <c r="S1422" s="267"/>
      <c r="T1422" s="64">
        <v>70</v>
      </c>
      <c r="U1422" s="270" t="s">
        <v>2284</v>
      </c>
      <c r="V1422" s="38">
        <v>27780</v>
      </c>
      <c r="W1422" s="38">
        <f t="shared" si="220"/>
        <v>6111.6</v>
      </c>
      <c r="X1422" s="38">
        <f t="shared" si="221"/>
        <v>33891.599999999999</v>
      </c>
    </row>
    <row r="1423" spans="1:24" ht="15" customHeight="1" x14ac:dyDescent="0.35">
      <c r="A1423" s="56" t="s">
        <v>3650</v>
      </c>
      <c r="B1423" s="2">
        <v>1350</v>
      </c>
      <c r="C1423" s="74">
        <v>102019706</v>
      </c>
      <c r="D1423" s="74" t="s">
        <v>2118</v>
      </c>
      <c r="E1423" s="74" t="s">
        <v>2147</v>
      </c>
      <c r="F1423" s="75">
        <v>36</v>
      </c>
      <c r="G1423" s="64" t="s">
        <v>0</v>
      </c>
      <c r="H1423" s="64">
        <v>2007</v>
      </c>
      <c r="I1423" s="105" t="s">
        <v>972</v>
      </c>
      <c r="J1423" s="63" t="s">
        <v>1917</v>
      </c>
      <c r="K1423" s="63" t="s">
        <v>961</v>
      </c>
      <c r="L1423" s="61" t="s">
        <v>845</v>
      </c>
      <c r="M1423" s="65">
        <f t="shared" si="222"/>
        <v>23461.919999999998</v>
      </c>
      <c r="N1423" s="65">
        <f>O1423/F1423</f>
        <v>651.72</v>
      </c>
      <c r="O1423" s="65">
        <v>23461.919999999998</v>
      </c>
      <c r="P1423" s="65">
        <v>37960</v>
      </c>
      <c r="Q1423" s="65">
        <f t="shared" si="218"/>
        <v>8351.2000000000007</v>
      </c>
      <c r="R1423" s="65">
        <f t="shared" si="219"/>
        <v>46311.199999999997</v>
      </c>
      <c r="S1423" s="276"/>
      <c r="T1423" s="64">
        <v>70</v>
      </c>
      <c r="U1423" s="274"/>
      <c r="V1423" s="38">
        <v>37964</v>
      </c>
      <c r="W1423" s="38">
        <f t="shared" si="220"/>
        <v>8352.08</v>
      </c>
      <c r="X1423" s="38">
        <f t="shared" si="221"/>
        <v>46316.08</v>
      </c>
    </row>
    <row r="1424" spans="1:24" ht="15" customHeight="1" x14ac:dyDescent="0.35">
      <c r="A1424" s="56"/>
      <c r="B1424" s="15"/>
      <c r="C1424" s="74"/>
      <c r="D1424" s="74"/>
      <c r="E1424" s="74"/>
      <c r="F1424" s="75"/>
      <c r="G1424" s="64"/>
      <c r="H1424" s="64"/>
      <c r="I1424" s="105"/>
      <c r="J1424" s="63"/>
      <c r="K1424" s="63"/>
      <c r="L1424" s="61"/>
      <c r="M1424" s="65"/>
      <c r="N1424" s="65"/>
      <c r="O1424" s="195">
        <f>SUM(O1422:O1423)</f>
        <v>49513.120000000003</v>
      </c>
      <c r="P1424" s="195">
        <f t="shared" ref="P1424:R1424" si="224">SUM(P1422:P1423)</f>
        <v>65740</v>
      </c>
      <c r="Q1424" s="195">
        <f t="shared" si="224"/>
        <v>14462.8</v>
      </c>
      <c r="R1424" s="195">
        <f t="shared" si="224"/>
        <v>80202.8</v>
      </c>
      <c r="S1424" s="72">
        <f>R1424/100*10</f>
        <v>8020.28</v>
      </c>
      <c r="T1424" s="73">
        <v>70</v>
      </c>
      <c r="U1424" s="275"/>
      <c r="V1424" s="38"/>
      <c r="W1424" s="38"/>
      <c r="X1424" s="38"/>
    </row>
    <row r="1425" spans="1:24" ht="15" customHeight="1" x14ac:dyDescent="0.35">
      <c r="A1425" s="56" t="s">
        <v>3651</v>
      </c>
      <c r="B1425" s="2">
        <v>1351</v>
      </c>
      <c r="C1425" s="77">
        <v>102005219</v>
      </c>
      <c r="D1425" s="74" t="s">
        <v>1878</v>
      </c>
      <c r="E1425" s="59" t="s">
        <v>2167</v>
      </c>
      <c r="F1425" s="75">
        <v>2</v>
      </c>
      <c r="G1425" s="64" t="s">
        <v>0</v>
      </c>
      <c r="H1425" s="78">
        <v>42279</v>
      </c>
      <c r="I1425" s="4" t="s">
        <v>957</v>
      </c>
      <c r="J1425" s="63" t="s">
        <v>1917</v>
      </c>
      <c r="K1425" s="63" t="s">
        <v>961</v>
      </c>
      <c r="L1425" s="69" t="s">
        <v>950</v>
      </c>
      <c r="M1425" s="70">
        <f t="shared" si="222"/>
        <v>77754.759999999995</v>
      </c>
      <c r="N1425" s="70">
        <f>O1425/F1425</f>
        <v>38877.379999999997</v>
      </c>
      <c r="O1425" s="70">
        <v>77754.759999999995</v>
      </c>
      <c r="P1425" s="65">
        <v>125320</v>
      </c>
      <c r="Q1425" s="65">
        <f t="shared" si="218"/>
        <v>27570.400000000001</v>
      </c>
      <c r="R1425" s="65">
        <f t="shared" si="219"/>
        <v>152890.4</v>
      </c>
      <c r="S1425" s="267"/>
      <c r="T1425" s="64">
        <v>71</v>
      </c>
      <c r="U1425" s="273" t="s">
        <v>2285</v>
      </c>
      <c r="V1425" s="38">
        <v>125320</v>
      </c>
      <c r="W1425" s="38">
        <f t="shared" si="220"/>
        <v>27570.400000000001</v>
      </c>
      <c r="X1425" s="38">
        <f t="shared" si="221"/>
        <v>152890.4</v>
      </c>
    </row>
    <row r="1426" spans="1:24" ht="15" customHeight="1" x14ac:dyDescent="0.35">
      <c r="A1426" s="56" t="s">
        <v>3652</v>
      </c>
      <c r="B1426" s="2">
        <v>1352</v>
      </c>
      <c r="C1426" s="77">
        <v>10122936</v>
      </c>
      <c r="D1426" s="74" t="s">
        <v>1879</v>
      </c>
      <c r="E1426" s="59" t="s">
        <v>2167</v>
      </c>
      <c r="F1426" s="75">
        <v>2</v>
      </c>
      <c r="G1426" s="64" t="s">
        <v>0</v>
      </c>
      <c r="H1426" s="78">
        <v>42129</v>
      </c>
      <c r="I1426" s="4" t="s">
        <v>957</v>
      </c>
      <c r="J1426" s="63" t="s">
        <v>1917</v>
      </c>
      <c r="K1426" s="63" t="s">
        <v>961</v>
      </c>
      <c r="L1426" s="69" t="s">
        <v>950</v>
      </c>
      <c r="M1426" s="70">
        <f t="shared" si="222"/>
        <v>66216.34</v>
      </c>
      <c r="N1426" s="70">
        <f>O1426/F1426</f>
        <v>33108.17</v>
      </c>
      <c r="O1426" s="70">
        <v>66216.34</v>
      </c>
      <c r="P1426" s="65">
        <v>110600</v>
      </c>
      <c r="Q1426" s="65">
        <f t="shared" si="218"/>
        <v>24332</v>
      </c>
      <c r="R1426" s="65">
        <f t="shared" si="219"/>
        <v>134932</v>
      </c>
      <c r="S1426" s="276"/>
      <c r="T1426" s="64">
        <v>71</v>
      </c>
      <c r="U1426" s="274"/>
      <c r="V1426" s="38">
        <v>110605</v>
      </c>
      <c r="W1426" s="38">
        <f t="shared" si="220"/>
        <v>24333.1</v>
      </c>
      <c r="X1426" s="38">
        <f t="shared" si="221"/>
        <v>134938.1</v>
      </c>
    </row>
    <row r="1427" spans="1:24" ht="15" customHeight="1" x14ac:dyDescent="0.35">
      <c r="A1427" s="56"/>
      <c r="B1427" s="15"/>
      <c r="C1427" s="77"/>
      <c r="D1427" s="74"/>
      <c r="E1427" s="74"/>
      <c r="F1427" s="75"/>
      <c r="G1427" s="64"/>
      <c r="H1427" s="78"/>
      <c r="I1427" s="4"/>
      <c r="J1427" s="63"/>
      <c r="K1427" s="63"/>
      <c r="L1427" s="69"/>
      <c r="M1427" s="70"/>
      <c r="N1427" s="70"/>
      <c r="O1427" s="71">
        <f>SUM(O1425:O1426)</f>
        <v>143971.1</v>
      </c>
      <c r="P1427" s="71">
        <f t="shared" ref="P1427:R1427" si="225">SUM(P1425:P1426)</f>
        <v>235920</v>
      </c>
      <c r="Q1427" s="71">
        <f t="shared" si="225"/>
        <v>51902.400000000001</v>
      </c>
      <c r="R1427" s="71">
        <f t="shared" si="225"/>
        <v>287822.40000000002</v>
      </c>
      <c r="S1427" s="72">
        <f>R1427/100*10</f>
        <v>28782.240000000002</v>
      </c>
      <c r="T1427" s="73">
        <v>71</v>
      </c>
      <c r="U1427" s="275"/>
      <c r="V1427" s="38"/>
      <c r="W1427" s="38"/>
      <c r="X1427" s="38"/>
    </row>
    <row r="1428" spans="1:24" ht="15" customHeight="1" x14ac:dyDescent="0.35">
      <c r="A1428" s="56" t="s">
        <v>3653</v>
      </c>
      <c r="B1428" s="2">
        <v>1353</v>
      </c>
      <c r="C1428" s="77">
        <v>10151984</v>
      </c>
      <c r="D1428" s="74" t="s">
        <v>268</v>
      </c>
      <c r="E1428" s="74" t="s">
        <v>684</v>
      </c>
      <c r="F1428" s="75">
        <v>2</v>
      </c>
      <c r="G1428" s="64" t="s">
        <v>0</v>
      </c>
      <c r="H1428" s="61">
        <v>42004</v>
      </c>
      <c r="I1428" s="62" t="s">
        <v>976</v>
      </c>
      <c r="J1428" s="63" t="s">
        <v>1917</v>
      </c>
      <c r="K1428" s="101" t="s">
        <v>961</v>
      </c>
      <c r="L1428" s="88" t="s">
        <v>845</v>
      </c>
      <c r="M1428" s="76">
        <f t="shared" si="222"/>
        <v>648514</v>
      </c>
      <c r="N1428" s="76">
        <f t="shared" ref="N1428:N1437" si="226">O1428/F1428</f>
        <v>324257</v>
      </c>
      <c r="O1428" s="76">
        <v>648514</v>
      </c>
      <c r="P1428" s="65">
        <v>544920</v>
      </c>
      <c r="Q1428" s="65">
        <f t="shared" si="218"/>
        <v>119882.4</v>
      </c>
      <c r="R1428" s="65">
        <f t="shared" si="219"/>
        <v>664802.4</v>
      </c>
      <c r="S1428" s="267"/>
      <c r="T1428" s="64">
        <v>72</v>
      </c>
      <c r="U1428" s="270" t="s">
        <v>2285</v>
      </c>
      <c r="V1428" s="38">
        <v>594241</v>
      </c>
      <c r="W1428" s="38">
        <f t="shared" si="220"/>
        <v>130733.02</v>
      </c>
      <c r="X1428" s="38">
        <f t="shared" si="221"/>
        <v>724974.02</v>
      </c>
    </row>
    <row r="1429" spans="1:24" ht="15" customHeight="1" x14ac:dyDescent="0.35">
      <c r="A1429" s="56" t="s">
        <v>3654</v>
      </c>
      <c r="B1429" s="2">
        <v>1354</v>
      </c>
      <c r="C1429" s="77">
        <v>10148392</v>
      </c>
      <c r="D1429" s="74" t="s">
        <v>277</v>
      </c>
      <c r="E1429" s="74" t="s">
        <v>684</v>
      </c>
      <c r="F1429" s="75">
        <v>14.97</v>
      </c>
      <c r="G1429" s="64" t="s">
        <v>17</v>
      </c>
      <c r="H1429" s="61">
        <v>42004</v>
      </c>
      <c r="I1429" s="62" t="s">
        <v>976</v>
      </c>
      <c r="J1429" s="63" t="s">
        <v>1917</v>
      </c>
      <c r="K1429" s="101" t="s">
        <v>961</v>
      </c>
      <c r="L1429" s="88" t="s">
        <v>845</v>
      </c>
      <c r="M1429" s="76">
        <f t="shared" si="222"/>
        <v>1178094.0900000001</v>
      </c>
      <c r="N1429" s="76">
        <f t="shared" si="226"/>
        <v>78697</v>
      </c>
      <c r="O1429" s="76">
        <v>1178094.0900000001</v>
      </c>
      <c r="P1429" s="65">
        <v>989900</v>
      </c>
      <c r="Q1429" s="65">
        <f t="shared" si="218"/>
        <v>217778</v>
      </c>
      <c r="R1429" s="65">
        <f t="shared" si="219"/>
        <v>1207678</v>
      </c>
      <c r="S1429" s="272"/>
      <c r="T1429" s="64">
        <v>72</v>
      </c>
      <c r="U1429" s="270"/>
      <c r="V1429" s="38">
        <v>1079502</v>
      </c>
      <c r="W1429" s="38">
        <f t="shared" si="220"/>
        <v>237490.44</v>
      </c>
      <c r="X1429" s="38">
        <f t="shared" si="221"/>
        <v>1316992.44</v>
      </c>
    </row>
    <row r="1430" spans="1:24" ht="15" customHeight="1" x14ac:dyDescent="0.35">
      <c r="A1430" s="56" t="s">
        <v>3655</v>
      </c>
      <c r="B1430" s="2">
        <v>1355</v>
      </c>
      <c r="C1430" s="109">
        <v>10001716</v>
      </c>
      <c r="D1430" s="110" t="s">
        <v>854</v>
      </c>
      <c r="E1430" s="74" t="s">
        <v>2146</v>
      </c>
      <c r="F1430" s="114">
        <v>16</v>
      </c>
      <c r="G1430" s="64" t="s">
        <v>0</v>
      </c>
      <c r="H1430" s="124">
        <v>42004</v>
      </c>
      <c r="I1430" s="63" t="s">
        <v>972</v>
      </c>
      <c r="J1430" s="63" t="s">
        <v>1917</v>
      </c>
      <c r="K1430" s="63" t="s">
        <v>961</v>
      </c>
      <c r="L1430" s="61" t="s">
        <v>845</v>
      </c>
      <c r="M1430" s="65">
        <f t="shared" si="222"/>
        <v>15769.4</v>
      </c>
      <c r="N1430" s="65">
        <f t="shared" si="226"/>
        <v>985.59</v>
      </c>
      <c r="O1430" s="65">
        <v>15769.4</v>
      </c>
      <c r="P1430" s="65">
        <v>13250</v>
      </c>
      <c r="Q1430" s="65">
        <f t="shared" si="218"/>
        <v>2915</v>
      </c>
      <c r="R1430" s="65">
        <f t="shared" si="219"/>
        <v>16165</v>
      </c>
      <c r="S1430" s="272"/>
      <c r="T1430" s="64">
        <v>72</v>
      </c>
      <c r="U1430" s="270"/>
      <c r="V1430" s="38">
        <v>14450</v>
      </c>
      <c r="W1430" s="38">
        <f t="shared" si="220"/>
        <v>3179</v>
      </c>
      <c r="X1430" s="38">
        <f t="shared" si="221"/>
        <v>17629</v>
      </c>
    </row>
    <row r="1431" spans="1:24" ht="15.75" customHeight="1" x14ac:dyDescent="0.35">
      <c r="A1431" s="56" t="s">
        <v>3656</v>
      </c>
      <c r="B1431" s="2">
        <v>1356</v>
      </c>
      <c r="C1431" s="109">
        <v>10036183</v>
      </c>
      <c r="D1431" s="110" t="s">
        <v>855</v>
      </c>
      <c r="E1431" s="74" t="s">
        <v>2146</v>
      </c>
      <c r="F1431" s="114">
        <v>2</v>
      </c>
      <c r="G1431" s="64" t="s">
        <v>0</v>
      </c>
      <c r="H1431" s="124">
        <v>42004</v>
      </c>
      <c r="I1431" s="63" t="s">
        <v>972</v>
      </c>
      <c r="J1431" s="63" t="s">
        <v>1917</v>
      </c>
      <c r="K1431" s="63" t="s">
        <v>961</v>
      </c>
      <c r="L1431" s="61" t="s">
        <v>845</v>
      </c>
      <c r="M1431" s="155">
        <f t="shared" si="222"/>
        <v>2883.31</v>
      </c>
      <c r="N1431" s="155">
        <f t="shared" si="226"/>
        <v>1441.66</v>
      </c>
      <c r="O1431" s="65">
        <v>2883.31</v>
      </c>
      <c r="P1431" s="65">
        <v>1050</v>
      </c>
      <c r="Q1431" s="65">
        <f t="shared" si="218"/>
        <v>231</v>
      </c>
      <c r="R1431" s="65">
        <f t="shared" si="219"/>
        <v>1281</v>
      </c>
      <c r="S1431" s="272"/>
      <c r="T1431" s="64">
        <v>72</v>
      </c>
      <c r="U1431" s="270"/>
      <c r="V1431" s="38">
        <v>1147</v>
      </c>
      <c r="W1431" s="38">
        <f t="shared" si="220"/>
        <v>252.34</v>
      </c>
      <c r="X1431" s="38">
        <f t="shared" si="221"/>
        <v>1399.34</v>
      </c>
    </row>
    <row r="1432" spans="1:24" ht="19.5" customHeight="1" x14ac:dyDescent="0.35">
      <c r="A1432" s="56" t="s">
        <v>3657</v>
      </c>
      <c r="B1432" s="2">
        <v>1357</v>
      </c>
      <c r="C1432" s="109">
        <v>10036184</v>
      </c>
      <c r="D1432" s="110" t="s">
        <v>856</v>
      </c>
      <c r="E1432" s="74" t="s">
        <v>2146</v>
      </c>
      <c r="F1432" s="114">
        <v>16</v>
      </c>
      <c r="G1432" s="64" t="s">
        <v>0</v>
      </c>
      <c r="H1432" s="124">
        <v>42004</v>
      </c>
      <c r="I1432" s="63" t="s">
        <v>972</v>
      </c>
      <c r="J1432" s="63" t="s">
        <v>1917</v>
      </c>
      <c r="K1432" s="63" t="s">
        <v>961</v>
      </c>
      <c r="L1432" s="61" t="s">
        <v>845</v>
      </c>
      <c r="M1432" s="65">
        <f t="shared" si="222"/>
        <v>27993.22</v>
      </c>
      <c r="N1432" s="65">
        <f t="shared" si="226"/>
        <v>1749.58</v>
      </c>
      <c r="O1432" s="65">
        <v>27993.22</v>
      </c>
      <c r="P1432" s="65">
        <v>25890</v>
      </c>
      <c r="Q1432" s="65">
        <f t="shared" si="218"/>
        <v>5695.8</v>
      </c>
      <c r="R1432" s="65">
        <f t="shared" si="219"/>
        <v>31585.8</v>
      </c>
      <c r="S1432" s="272"/>
      <c r="T1432" s="64">
        <v>72</v>
      </c>
      <c r="U1432" s="270"/>
      <c r="V1432" s="38">
        <v>28235</v>
      </c>
      <c r="W1432" s="38">
        <f t="shared" si="220"/>
        <v>6211.7</v>
      </c>
      <c r="X1432" s="38">
        <f t="shared" si="221"/>
        <v>34446.699999999997</v>
      </c>
    </row>
    <row r="1433" spans="1:24" ht="17.149999999999999" customHeight="1" x14ac:dyDescent="0.35">
      <c r="A1433" s="56" t="s">
        <v>3658</v>
      </c>
      <c r="B1433" s="2">
        <v>1358</v>
      </c>
      <c r="C1433" s="109">
        <v>10027332</v>
      </c>
      <c r="D1433" s="110" t="s">
        <v>895</v>
      </c>
      <c r="E1433" s="74" t="s">
        <v>2151</v>
      </c>
      <c r="F1433" s="114">
        <v>2</v>
      </c>
      <c r="G1433" s="64" t="s">
        <v>0</v>
      </c>
      <c r="H1433" s="124">
        <v>42004</v>
      </c>
      <c r="I1433" s="63" t="s">
        <v>972</v>
      </c>
      <c r="J1433" s="63" t="s">
        <v>1917</v>
      </c>
      <c r="K1433" s="63" t="s">
        <v>961</v>
      </c>
      <c r="L1433" s="61" t="s">
        <v>845</v>
      </c>
      <c r="M1433" s="65">
        <f t="shared" si="222"/>
        <v>3498.85</v>
      </c>
      <c r="N1433" s="65">
        <f t="shared" si="226"/>
        <v>1749.43</v>
      </c>
      <c r="O1433" s="65">
        <v>3498.85</v>
      </c>
      <c r="P1433" s="65">
        <v>2940</v>
      </c>
      <c r="Q1433" s="65">
        <f t="shared" si="218"/>
        <v>646.79999999999995</v>
      </c>
      <c r="R1433" s="65">
        <f t="shared" si="219"/>
        <v>3586.8</v>
      </c>
      <c r="S1433" s="272"/>
      <c r="T1433" s="64">
        <v>72</v>
      </c>
      <c r="U1433" s="270"/>
      <c r="V1433" s="38">
        <v>3206</v>
      </c>
      <c r="W1433" s="38">
        <f t="shared" si="220"/>
        <v>705.32</v>
      </c>
      <c r="X1433" s="38">
        <f t="shared" si="221"/>
        <v>3911.32</v>
      </c>
    </row>
    <row r="1434" spans="1:24" ht="15" customHeight="1" x14ac:dyDescent="0.35">
      <c r="A1434" s="56" t="s">
        <v>3659</v>
      </c>
      <c r="B1434" s="2">
        <v>1359</v>
      </c>
      <c r="C1434" s="109">
        <v>10097263</v>
      </c>
      <c r="D1434" s="110" t="s">
        <v>850</v>
      </c>
      <c r="E1434" s="74" t="s">
        <v>2151</v>
      </c>
      <c r="F1434" s="91">
        <v>1</v>
      </c>
      <c r="G1434" s="64" t="s">
        <v>0</v>
      </c>
      <c r="H1434" s="124">
        <v>42570</v>
      </c>
      <c r="I1434" s="63" t="s">
        <v>972</v>
      </c>
      <c r="J1434" s="63" t="s">
        <v>1917</v>
      </c>
      <c r="K1434" s="63" t="s">
        <v>961</v>
      </c>
      <c r="L1434" s="61" t="s">
        <v>845</v>
      </c>
      <c r="M1434" s="65">
        <f t="shared" si="222"/>
        <v>11068.63</v>
      </c>
      <c r="N1434" s="65">
        <f t="shared" si="226"/>
        <v>11068.63</v>
      </c>
      <c r="O1434" s="65">
        <v>11068.63</v>
      </c>
      <c r="P1434" s="65">
        <v>9630</v>
      </c>
      <c r="Q1434" s="65">
        <f t="shared" si="218"/>
        <v>2118.6</v>
      </c>
      <c r="R1434" s="65">
        <f t="shared" si="219"/>
        <v>11748.6</v>
      </c>
      <c r="S1434" s="272"/>
      <c r="T1434" s="64">
        <v>72</v>
      </c>
      <c r="U1434" s="270"/>
      <c r="V1434" s="38">
        <v>10504</v>
      </c>
      <c r="W1434" s="38">
        <f t="shared" si="220"/>
        <v>2310.88</v>
      </c>
      <c r="X1434" s="38">
        <f t="shared" si="221"/>
        <v>12814.88</v>
      </c>
    </row>
    <row r="1435" spans="1:24" ht="15" customHeight="1" x14ac:dyDescent="0.35">
      <c r="A1435" s="56" t="s">
        <v>3660</v>
      </c>
      <c r="B1435" s="2">
        <v>1360</v>
      </c>
      <c r="C1435" s="77">
        <v>10001716</v>
      </c>
      <c r="D1435" s="74" t="s">
        <v>11</v>
      </c>
      <c r="E1435" s="59" t="s">
        <v>2167</v>
      </c>
      <c r="F1435" s="75">
        <v>1</v>
      </c>
      <c r="G1435" s="64" t="s">
        <v>0</v>
      </c>
      <c r="H1435" s="61">
        <v>41267</v>
      </c>
      <c r="I1435" s="4" t="s">
        <v>957</v>
      </c>
      <c r="J1435" s="61" t="s">
        <v>1917</v>
      </c>
      <c r="K1435" s="61" t="s">
        <v>961</v>
      </c>
      <c r="L1435" s="69" t="s">
        <v>2093</v>
      </c>
      <c r="M1435" s="70">
        <f t="shared" si="222"/>
        <v>983.26</v>
      </c>
      <c r="N1435" s="70">
        <f t="shared" si="226"/>
        <v>983.26</v>
      </c>
      <c r="O1435" s="70">
        <v>983.26</v>
      </c>
      <c r="P1435" s="65">
        <v>830</v>
      </c>
      <c r="Q1435" s="65">
        <f t="shared" si="218"/>
        <v>182.6</v>
      </c>
      <c r="R1435" s="65">
        <f t="shared" si="219"/>
        <v>1012.6</v>
      </c>
      <c r="S1435" s="272"/>
      <c r="T1435" s="64">
        <v>72</v>
      </c>
      <c r="U1435" s="270"/>
      <c r="V1435" s="38">
        <v>901</v>
      </c>
      <c r="W1435" s="38">
        <f t="shared" si="220"/>
        <v>198.22</v>
      </c>
      <c r="X1435" s="38">
        <f t="shared" si="221"/>
        <v>1099.22</v>
      </c>
    </row>
    <row r="1436" spans="1:24" ht="15" customHeight="1" x14ac:dyDescent="0.35">
      <c r="A1436" s="56" t="s">
        <v>3661</v>
      </c>
      <c r="B1436" s="2">
        <v>1361</v>
      </c>
      <c r="C1436" s="77">
        <v>102014325</v>
      </c>
      <c r="D1436" s="74" t="s">
        <v>225</v>
      </c>
      <c r="E1436" s="74" t="s">
        <v>2199</v>
      </c>
      <c r="F1436" s="75">
        <v>1</v>
      </c>
      <c r="G1436" s="64" t="s">
        <v>0</v>
      </c>
      <c r="H1436" s="61">
        <v>42870</v>
      </c>
      <c r="I1436" s="61" t="s">
        <v>2094</v>
      </c>
      <c r="J1436" s="63" t="s">
        <v>1917</v>
      </c>
      <c r="K1436" s="61" t="s">
        <v>961</v>
      </c>
      <c r="L1436" s="88" t="s">
        <v>845</v>
      </c>
      <c r="M1436" s="76">
        <f t="shared" si="222"/>
        <v>81591.100000000006</v>
      </c>
      <c r="N1436" s="76">
        <f t="shared" si="226"/>
        <v>81591.100000000006</v>
      </c>
      <c r="O1436" s="76">
        <v>81591.100000000006</v>
      </c>
      <c r="P1436" s="65">
        <v>63750</v>
      </c>
      <c r="Q1436" s="65">
        <f t="shared" si="218"/>
        <v>14025</v>
      </c>
      <c r="R1436" s="65">
        <f t="shared" si="219"/>
        <v>77775</v>
      </c>
      <c r="S1436" s="272"/>
      <c r="T1436" s="64">
        <v>72</v>
      </c>
      <c r="U1436" s="270"/>
      <c r="V1436" s="38">
        <v>69520</v>
      </c>
      <c r="W1436" s="38">
        <f t="shared" si="220"/>
        <v>15294.4</v>
      </c>
      <c r="X1436" s="38">
        <f t="shared" si="221"/>
        <v>84814.399999999994</v>
      </c>
    </row>
    <row r="1437" spans="1:24" ht="15" customHeight="1" x14ac:dyDescent="0.35">
      <c r="A1437" s="56" t="s">
        <v>3662</v>
      </c>
      <c r="B1437" s="2">
        <v>1362</v>
      </c>
      <c r="C1437" s="77">
        <v>102016195</v>
      </c>
      <c r="D1437" s="74" t="s">
        <v>226</v>
      </c>
      <c r="E1437" s="74" t="s">
        <v>2199</v>
      </c>
      <c r="F1437" s="75">
        <v>1</v>
      </c>
      <c r="G1437" s="64" t="s">
        <v>0</v>
      </c>
      <c r="H1437" s="61">
        <v>42870</v>
      </c>
      <c r="I1437" s="61" t="s">
        <v>2094</v>
      </c>
      <c r="J1437" s="63" t="s">
        <v>1917</v>
      </c>
      <c r="K1437" s="61" t="s">
        <v>961</v>
      </c>
      <c r="L1437" s="88" t="s">
        <v>845</v>
      </c>
      <c r="M1437" s="76">
        <f t="shared" si="222"/>
        <v>77303.58</v>
      </c>
      <c r="N1437" s="76">
        <f t="shared" si="226"/>
        <v>77303.58</v>
      </c>
      <c r="O1437" s="76">
        <v>77303.58</v>
      </c>
      <c r="P1437" s="65">
        <v>60400</v>
      </c>
      <c r="Q1437" s="65">
        <f t="shared" si="218"/>
        <v>13288</v>
      </c>
      <c r="R1437" s="65">
        <f t="shared" si="219"/>
        <v>73688</v>
      </c>
      <c r="S1437" s="276"/>
      <c r="T1437" s="64">
        <v>72</v>
      </c>
      <c r="U1437" s="270"/>
      <c r="V1437" s="38">
        <v>65866</v>
      </c>
      <c r="W1437" s="38">
        <f t="shared" si="220"/>
        <v>14490.52</v>
      </c>
      <c r="X1437" s="38">
        <f t="shared" si="221"/>
        <v>80356.52</v>
      </c>
    </row>
    <row r="1438" spans="1:24" ht="15" customHeight="1" x14ac:dyDescent="0.35">
      <c r="A1438" s="56"/>
      <c r="B1438" s="15"/>
      <c r="C1438" s="77"/>
      <c r="D1438" s="74"/>
      <c r="E1438" s="74"/>
      <c r="F1438" s="75"/>
      <c r="G1438" s="64"/>
      <c r="H1438" s="61"/>
      <c r="I1438" s="61"/>
      <c r="J1438" s="63"/>
      <c r="K1438" s="61"/>
      <c r="L1438" s="88"/>
      <c r="M1438" s="76"/>
      <c r="N1438" s="76"/>
      <c r="O1438" s="81">
        <f>SUM(O1428:O1437)</f>
        <v>2047699.44</v>
      </c>
      <c r="P1438" s="81">
        <f t="shared" ref="P1438:R1438" si="227">SUM(P1428:P1437)</f>
        <v>1712560</v>
      </c>
      <c r="Q1438" s="81">
        <f t="shared" si="227"/>
        <v>376763.2</v>
      </c>
      <c r="R1438" s="81">
        <f t="shared" si="227"/>
        <v>2089323.2</v>
      </c>
      <c r="S1438" s="72">
        <f>R1438/100*10</f>
        <v>208932.32</v>
      </c>
      <c r="T1438" s="73">
        <v>72</v>
      </c>
      <c r="U1438" s="271"/>
      <c r="V1438" s="38"/>
      <c r="W1438" s="38"/>
      <c r="X1438" s="38"/>
    </row>
    <row r="1439" spans="1:24" ht="19.5" customHeight="1" x14ac:dyDescent="0.35">
      <c r="A1439" s="56" t="s">
        <v>3663</v>
      </c>
      <c r="B1439" s="2">
        <v>1363</v>
      </c>
      <c r="C1439" s="77">
        <v>10002219</v>
      </c>
      <c r="D1439" s="74" t="s">
        <v>1770</v>
      </c>
      <c r="E1439" s="59" t="s">
        <v>2167</v>
      </c>
      <c r="F1439" s="75">
        <v>6.3E-2</v>
      </c>
      <c r="G1439" s="64" t="s">
        <v>3</v>
      </c>
      <c r="H1439" s="78">
        <v>39506</v>
      </c>
      <c r="I1439" s="4" t="s">
        <v>957</v>
      </c>
      <c r="J1439" s="63" t="s">
        <v>1917</v>
      </c>
      <c r="K1439" s="63" t="s">
        <v>961</v>
      </c>
      <c r="L1439" s="69" t="s">
        <v>950</v>
      </c>
      <c r="M1439" s="70">
        <f t="shared" si="222"/>
        <v>4181.16</v>
      </c>
      <c r="N1439" s="70">
        <f t="shared" ref="N1439:N1446" si="228">O1439/F1439</f>
        <v>66367.62</v>
      </c>
      <c r="O1439" s="70">
        <v>4181.16</v>
      </c>
      <c r="P1439" s="65">
        <v>9640</v>
      </c>
      <c r="Q1439" s="65">
        <f t="shared" si="218"/>
        <v>2120.8000000000002</v>
      </c>
      <c r="R1439" s="65">
        <f t="shared" si="219"/>
        <v>11760.8</v>
      </c>
      <c r="S1439" s="267"/>
      <c r="T1439" s="64">
        <v>73</v>
      </c>
      <c r="U1439" s="270" t="s">
        <v>4009</v>
      </c>
      <c r="V1439" s="38">
        <v>10515</v>
      </c>
      <c r="W1439" s="38">
        <f t="shared" si="220"/>
        <v>2313.3000000000002</v>
      </c>
      <c r="X1439" s="38">
        <f t="shared" si="221"/>
        <v>12828.3</v>
      </c>
    </row>
    <row r="1440" spans="1:24" ht="15" customHeight="1" x14ac:dyDescent="0.35">
      <c r="A1440" s="56" t="s">
        <v>3664</v>
      </c>
      <c r="B1440" s="2">
        <v>1364</v>
      </c>
      <c r="C1440" s="77">
        <v>10002241</v>
      </c>
      <c r="D1440" s="74" t="s">
        <v>1771</v>
      </c>
      <c r="E1440" s="59" t="s">
        <v>2167</v>
      </c>
      <c r="F1440" s="75">
        <v>1.141</v>
      </c>
      <c r="G1440" s="64" t="s">
        <v>3</v>
      </c>
      <c r="H1440" s="78">
        <v>39504</v>
      </c>
      <c r="I1440" s="4" t="s">
        <v>957</v>
      </c>
      <c r="J1440" s="63" t="s">
        <v>1917</v>
      </c>
      <c r="K1440" s="63" t="s">
        <v>961</v>
      </c>
      <c r="L1440" s="69" t="s">
        <v>950</v>
      </c>
      <c r="M1440" s="70">
        <f t="shared" si="222"/>
        <v>75725.440000000002</v>
      </c>
      <c r="N1440" s="70">
        <f t="shared" si="228"/>
        <v>66367.61</v>
      </c>
      <c r="O1440" s="70">
        <v>75725.440000000002</v>
      </c>
      <c r="P1440" s="65">
        <v>174630</v>
      </c>
      <c r="Q1440" s="65">
        <f t="shared" si="218"/>
        <v>38418.6</v>
      </c>
      <c r="R1440" s="65">
        <f t="shared" si="219"/>
        <v>213048.6</v>
      </c>
      <c r="S1440" s="272"/>
      <c r="T1440" s="64">
        <v>73</v>
      </c>
      <c r="U1440" s="274"/>
      <c r="V1440" s="38">
        <v>190435</v>
      </c>
      <c r="W1440" s="38">
        <f t="shared" si="220"/>
        <v>41895.699999999997</v>
      </c>
      <c r="X1440" s="38">
        <f t="shared" si="221"/>
        <v>232330.7</v>
      </c>
    </row>
    <row r="1441" spans="1:24" ht="15" customHeight="1" x14ac:dyDescent="0.35">
      <c r="A1441" s="56" t="s">
        <v>3665</v>
      </c>
      <c r="B1441" s="2">
        <v>1365</v>
      </c>
      <c r="C1441" s="77">
        <v>10002245</v>
      </c>
      <c r="D1441" s="74" t="s">
        <v>1772</v>
      </c>
      <c r="E1441" s="59" t="s">
        <v>2167</v>
      </c>
      <c r="F1441" s="75">
        <v>0.52200000000000002</v>
      </c>
      <c r="G1441" s="64" t="s">
        <v>3</v>
      </c>
      <c r="H1441" s="78">
        <v>39506</v>
      </c>
      <c r="I1441" s="4" t="s">
        <v>957</v>
      </c>
      <c r="J1441" s="63" t="s">
        <v>1917</v>
      </c>
      <c r="K1441" s="63" t="s">
        <v>961</v>
      </c>
      <c r="L1441" s="69" t="s">
        <v>950</v>
      </c>
      <c r="M1441" s="70">
        <f t="shared" si="222"/>
        <v>34643.89</v>
      </c>
      <c r="N1441" s="70">
        <f t="shared" si="228"/>
        <v>66367.61</v>
      </c>
      <c r="O1441" s="70">
        <v>34643.89</v>
      </c>
      <c r="P1441" s="65">
        <v>79890</v>
      </c>
      <c r="Q1441" s="65">
        <f t="shared" si="218"/>
        <v>17575.8</v>
      </c>
      <c r="R1441" s="65">
        <f t="shared" si="219"/>
        <v>97465.8</v>
      </c>
      <c r="S1441" s="272"/>
      <c r="T1441" s="64">
        <v>73</v>
      </c>
      <c r="U1441" s="274"/>
      <c r="V1441" s="38">
        <v>87123</v>
      </c>
      <c r="W1441" s="38">
        <f t="shared" si="220"/>
        <v>19167.060000000001</v>
      </c>
      <c r="X1441" s="38">
        <f t="shared" si="221"/>
        <v>106290.06</v>
      </c>
    </row>
    <row r="1442" spans="1:24" ht="15" customHeight="1" x14ac:dyDescent="0.35">
      <c r="A1442" s="56" t="s">
        <v>3666</v>
      </c>
      <c r="B1442" s="2">
        <v>1366</v>
      </c>
      <c r="C1442" s="77">
        <v>10002249</v>
      </c>
      <c r="D1442" s="74" t="s">
        <v>1773</v>
      </c>
      <c r="E1442" s="74" t="s">
        <v>2176</v>
      </c>
      <c r="F1442" s="75">
        <v>0.60399999999999998</v>
      </c>
      <c r="G1442" s="64" t="s">
        <v>3</v>
      </c>
      <c r="H1442" s="78">
        <v>39506</v>
      </c>
      <c r="I1442" s="4" t="s">
        <v>957</v>
      </c>
      <c r="J1442" s="63" t="s">
        <v>1917</v>
      </c>
      <c r="K1442" s="63" t="s">
        <v>961</v>
      </c>
      <c r="L1442" s="69" t="s">
        <v>950</v>
      </c>
      <c r="M1442" s="70">
        <f t="shared" si="222"/>
        <v>40086.03</v>
      </c>
      <c r="N1442" s="70">
        <f t="shared" si="228"/>
        <v>66367.600000000006</v>
      </c>
      <c r="O1442" s="70">
        <v>40086.03</v>
      </c>
      <c r="P1442" s="65">
        <v>92440</v>
      </c>
      <c r="Q1442" s="65">
        <f t="shared" si="218"/>
        <v>20336.8</v>
      </c>
      <c r="R1442" s="65">
        <f t="shared" si="219"/>
        <v>112776.8</v>
      </c>
      <c r="S1442" s="272"/>
      <c r="T1442" s="64">
        <v>73</v>
      </c>
      <c r="U1442" s="274"/>
      <c r="V1442" s="38">
        <v>100809</v>
      </c>
      <c r="W1442" s="38">
        <f t="shared" si="220"/>
        <v>22177.98</v>
      </c>
      <c r="X1442" s="38">
        <f t="shared" si="221"/>
        <v>122986.98</v>
      </c>
    </row>
    <row r="1443" spans="1:24" ht="15" customHeight="1" x14ac:dyDescent="0.35">
      <c r="A1443" s="56" t="s">
        <v>3667</v>
      </c>
      <c r="B1443" s="2">
        <v>1367</v>
      </c>
      <c r="C1443" s="77">
        <v>10108927</v>
      </c>
      <c r="D1443" s="74" t="s">
        <v>1786</v>
      </c>
      <c r="E1443" s="59" t="s">
        <v>2167</v>
      </c>
      <c r="F1443" s="75">
        <v>1.7000000000000001E-2</v>
      </c>
      <c r="G1443" s="64" t="s">
        <v>3</v>
      </c>
      <c r="H1443" s="78">
        <v>42229</v>
      </c>
      <c r="I1443" s="4" t="s">
        <v>957</v>
      </c>
      <c r="J1443" s="63" t="s">
        <v>1933</v>
      </c>
      <c r="K1443" s="63" t="s">
        <v>961</v>
      </c>
      <c r="L1443" s="69" t="s">
        <v>950</v>
      </c>
      <c r="M1443" s="70">
        <f t="shared" si="222"/>
        <v>6981.69</v>
      </c>
      <c r="N1443" s="70">
        <f t="shared" si="228"/>
        <v>410687.65</v>
      </c>
      <c r="O1443" s="70">
        <v>6981.69</v>
      </c>
      <c r="P1443" s="65">
        <v>10010</v>
      </c>
      <c r="Q1443" s="65">
        <f t="shared" si="218"/>
        <v>2202.1999999999998</v>
      </c>
      <c r="R1443" s="65">
        <f t="shared" si="219"/>
        <v>12212.2</v>
      </c>
      <c r="S1443" s="272"/>
      <c r="T1443" s="64">
        <v>73</v>
      </c>
      <c r="U1443" s="274"/>
      <c r="V1443" s="38">
        <v>10916</v>
      </c>
      <c r="W1443" s="38">
        <f t="shared" si="220"/>
        <v>2401.52</v>
      </c>
      <c r="X1443" s="38">
        <f t="shared" si="221"/>
        <v>13317.52</v>
      </c>
    </row>
    <row r="1444" spans="1:24" ht="15" customHeight="1" x14ac:dyDescent="0.35">
      <c r="A1444" s="56" t="s">
        <v>3668</v>
      </c>
      <c r="B1444" s="2">
        <v>1368</v>
      </c>
      <c r="C1444" s="77">
        <v>10001868</v>
      </c>
      <c r="D1444" s="74" t="s">
        <v>1896</v>
      </c>
      <c r="E1444" s="74" t="s">
        <v>2176</v>
      </c>
      <c r="F1444" s="75">
        <v>2.94</v>
      </c>
      <c r="G1444" s="64" t="s">
        <v>3</v>
      </c>
      <c r="H1444" s="78">
        <v>41249</v>
      </c>
      <c r="I1444" s="4" t="s">
        <v>957</v>
      </c>
      <c r="J1444" s="63" t="s">
        <v>1917</v>
      </c>
      <c r="K1444" s="63" t="s">
        <v>961</v>
      </c>
      <c r="L1444" s="69" t="s">
        <v>950</v>
      </c>
      <c r="M1444" s="70">
        <f t="shared" si="222"/>
        <v>62501.93</v>
      </c>
      <c r="N1444" s="70">
        <f t="shared" si="228"/>
        <v>21259.16</v>
      </c>
      <c r="O1444" s="70">
        <v>62501.93</v>
      </c>
      <c r="P1444" s="65">
        <v>102630</v>
      </c>
      <c r="Q1444" s="65">
        <f t="shared" si="218"/>
        <v>22578.6</v>
      </c>
      <c r="R1444" s="65">
        <f t="shared" si="219"/>
        <v>125208.6</v>
      </c>
      <c r="S1444" s="272"/>
      <c r="T1444" s="64">
        <v>73</v>
      </c>
      <c r="U1444" s="274"/>
      <c r="V1444" s="38">
        <v>111914</v>
      </c>
      <c r="W1444" s="38">
        <f t="shared" si="220"/>
        <v>24621.08</v>
      </c>
      <c r="X1444" s="38">
        <f t="shared" si="221"/>
        <v>136535.07999999999</v>
      </c>
    </row>
    <row r="1445" spans="1:24" ht="15" customHeight="1" x14ac:dyDescent="0.35">
      <c r="A1445" s="56" t="s">
        <v>3669</v>
      </c>
      <c r="B1445" s="2">
        <v>1369</v>
      </c>
      <c r="C1445" s="77">
        <v>10051367</v>
      </c>
      <c r="D1445" s="74" t="s">
        <v>1897</v>
      </c>
      <c r="E1445" s="74" t="s">
        <v>2176</v>
      </c>
      <c r="F1445" s="75">
        <v>3.8839999999999999</v>
      </c>
      <c r="G1445" s="64" t="s">
        <v>3</v>
      </c>
      <c r="H1445" s="78">
        <v>41249</v>
      </c>
      <c r="I1445" s="4" t="s">
        <v>957</v>
      </c>
      <c r="J1445" s="63" t="s">
        <v>1917</v>
      </c>
      <c r="K1445" s="63" t="s">
        <v>961</v>
      </c>
      <c r="L1445" s="69" t="s">
        <v>950</v>
      </c>
      <c r="M1445" s="70">
        <f t="shared" si="222"/>
        <v>107266.64</v>
      </c>
      <c r="N1445" s="70">
        <f t="shared" si="228"/>
        <v>27617.57</v>
      </c>
      <c r="O1445" s="70">
        <v>107266.64</v>
      </c>
      <c r="P1445" s="65">
        <v>176860</v>
      </c>
      <c r="Q1445" s="65">
        <f t="shared" si="218"/>
        <v>38909.199999999997</v>
      </c>
      <c r="R1445" s="65">
        <f t="shared" si="219"/>
        <v>215769.2</v>
      </c>
      <c r="S1445" s="272"/>
      <c r="T1445" s="64">
        <v>73</v>
      </c>
      <c r="U1445" s="274"/>
      <c r="V1445" s="38">
        <v>192864</v>
      </c>
      <c r="W1445" s="38">
        <f t="shared" si="220"/>
        <v>42430.080000000002</v>
      </c>
      <c r="X1445" s="38">
        <f t="shared" si="221"/>
        <v>235294.07999999999</v>
      </c>
    </row>
    <row r="1446" spans="1:24" ht="15" customHeight="1" x14ac:dyDescent="0.35">
      <c r="A1446" s="56" t="s">
        <v>3670</v>
      </c>
      <c r="B1446" s="2">
        <v>1370</v>
      </c>
      <c r="C1446" s="77">
        <v>10150712</v>
      </c>
      <c r="D1446" s="74" t="s">
        <v>1898</v>
      </c>
      <c r="E1446" s="74" t="s">
        <v>2176</v>
      </c>
      <c r="F1446" s="75">
        <v>1.7</v>
      </c>
      <c r="G1446" s="64" t="s">
        <v>3</v>
      </c>
      <c r="H1446" s="78">
        <v>41610</v>
      </c>
      <c r="I1446" s="4" t="s">
        <v>957</v>
      </c>
      <c r="J1446" s="63" t="s">
        <v>1917</v>
      </c>
      <c r="K1446" s="63" t="s">
        <v>961</v>
      </c>
      <c r="L1446" s="69" t="s">
        <v>950</v>
      </c>
      <c r="M1446" s="70">
        <f t="shared" si="222"/>
        <v>48248.31</v>
      </c>
      <c r="N1446" s="70">
        <f t="shared" si="228"/>
        <v>28381.360000000001</v>
      </c>
      <c r="O1446" s="70">
        <v>48248.31</v>
      </c>
      <c r="P1446" s="65">
        <v>82770</v>
      </c>
      <c r="Q1446" s="65">
        <f t="shared" si="218"/>
        <v>18209.400000000001</v>
      </c>
      <c r="R1446" s="65">
        <f t="shared" si="219"/>
        <v>100979.4</v>
      </c>
      <c r="S1446" s="276"/>
      <c r="T1446" s="64">
        <v>73</v>
      </c>
      <c r="U1446" s="274"/>
      <c r="V1446" s="38">
        <v>90264</v>
      </c>
      <c r="W1446" s="38">
        <f t="shared" si="220"/>
        <v>19858.080000000002</v>
      </c>
      <c r="X1446" s="38">
        <f t="shared" si="221"/>
        <v>110122.08</v>
      </c>
    </row>
    <row r="1447" spans="1:24" ht="15" customHeight="1" x14ac:dyDescent="0.35">
      <c r="A1447" s="56"/>
      <c r="B1447" s="15"/>
      <c r="C1447" s="77"/>
      <c r="D1447" s="74"/>
      <c r="E1447" s="74"/>
      <c r="F1447" s="75"/>
      <c r="G1447" s="64"/>
      <c r="H1447" s="78"/>
      <c r="I1447" s="4"/>
      <c r="J1447" s="63"/>
      <c r="K1447" s="63"/>
      <c r="L1447" s="69"/>
      <c r="M1447" s="70"/>
      <c r="N1447" s="70"/>
      <c r="O1447" s="71">
        <f>SUM(O1439:O1446)</f>
        <v>379635.09</v>
      </c>
      <c r="P1447" s="71">
        <f t="shared" ref="P1447:R1447" si="229">SUM(P1439:P1446)</f>
        <v>728870</v>
      </c>
      <c r="Q1447" s="71">
        <f t="shared" si="229"/>
        <v>160351.4</v>
      </c>
      <c r="R1447" s="71">
        <f t="shared" si="229"/>
        <v>889221.4</v>
      </c>
      <c r="S1447" s="72">
        <f>R1447/100*10</f>
        <v>88922.14</v>
      </c>
      <c r="T1447" s="73">
        <v>73</v>
      </c>
      <c r="U1447" s="275"/>
      <c r="V1447" s="38"/>
      <c r="W1447" s="38"/>
      <c r="X1447" s="38"/>
    </row>
    <row r="1448" spans="1:24" ht="15" customHeight="1" x14ac:dyDescent="0.35">
      <c r="A1448" s="56" t="s">
        <v>3671</v>
      </c>
      <c r="B1448" s="2">
        <v>1371</v>
      </c>
      <c r="C1448" s="77">
        <v>10119003</v>
      </c>
      <c r="D1448" s="74" t="s">
        <v>513</v>
      </c>
      <c r="E1448" s="59" t="s">
        <v>2167</v>
      </c>
      <c r="F1448" s="75">
        <v>10</v>
      </c>
      <c r="G1448" s="75" t="s">
        <v>0</v>
      </c>
      <c r="H1448" s="61">
        <v>41381</v>
      </c>
      <c r="I1448" s="4" t="s">
        <v>957</v>
      </c>
      <c r="J1448" s="63" t="s">
        <v>1917</v>
      </c>
      <c r="K1448" s="63" t="s">
        <v>961</v>
      </c>
      <c r="L1448" s="63" t="s">
        <v>950</v>
      </c>
      <c r="M1448" s="76">
        <f t="shared" ref="M1448:M1480" si="230">O1448</f>
        <v>20918.48</v>
      </c>
      <c r="N1448" s="76">
        <f t="shared" ref="N1448:N1458" si="231">O1448/F1448</f>
        <v>2091.85</v>
      </c>
      <c r="O1448" s="76">
        <v>20918.48</v>
      </c>
      <c r="P1448" s="65">
        <v>35230</v>
      </c>
      <c r="Q1448" s="65">
        <f t="shared" si="218"/>
        <v>7750.6</v>
      </c>
      <c r="R1448" s="65">
        <f t="shared" si="219"/>
        <v>42980.6</v>
      </c>
      <c r="S1448" s="272"/>
      <c r="T1448" s="64">
        <v>74</v>
      </c>
      <c r="U1448" s="274" t="s">
        <v>2286</v>
      </c>
      <c r="V1448" s="38">
        <v>39360</v>
      </c>
      <c r="W1448" s="38">
        <f t="shared" si="220"/>
        <v>8659.2000000000007</v>
      </c>
      <c r="X1448" s="38">
        <f t="shared" si="221"/>
        <v>48019.199999999997</v>
      </c>
    </row>
    <row r="1449" spans="1:24" ht="15" customHeight="1" x14ac:dyDescent="0.35">
      <c r="A1449" s="56" t="s">
        <v>3672</v>
      </c>
      <c r="B1449" s="2">
        <v>1372</v>
      </c>
      <c r="C1449" s="77">
        <v>10051203</v>
      </c>
      <c r="D1449" s="74" t="s">
        <v>1416</v>
      </c>
      <c r="E1449" s="59" t="s">
        <v>2167</v>
      </c>
      <c r="F1449" s="75">
        <v>8</v>
      </c>
      <c r="G1449" s="64" t="s">
        <v>0</v>
      </c>
      <c r="H1449" s="78">
        <v>41211</v>
      </c>
      <c r="I1449" s="4" t="s">
        <v>957</v>
      </c>
      <c r="J1449" s="63" t="s">
        <v>1917</v>
      </c>
      <c r="K1449" s="63" t="s">
        <v>961</v>
      </c>
      <c r="L1449" s="69" t="s">
        <v>950</v>
      </c>
      <c r="M1449" s="70">
        <f t="shared" si="230"/>
        <v>15629.01</v>
      </c>
      <c r="N1449" s="70">
        <f t="shared" si="231"/>
        <v>1953.63</v>
      </c>
      <c r="O1449" s="70">
        <v>15629.01</v>
      </c>
      <c r="P1449" s="65">
        <v>25900</v>
      </c>
      <c r="Q1449" s="65">
        <f t="shared" si="218"/>
        <v>5698</v>
      </c>
      <c r="R1449" s="65">
        <f t="shared" si="219"/>
        <v>31598</v>
      </c>
      <c r="S1449" s="272"/>
      <c r="T1449" s="64">
        <v>74</v>
      </c>
      <c r="U1449" s="274"/>
      <c r="V1449" s="38">
        <v>28938</v>
      </c>
      <c r="W1449" s="38">
        <f t="shared" si="220"/>
        <v>6366.36</v>
      </c>
      <c r="X1449" s="38">
        <f t="shared" si="221"/>
        <v>35304.36</v>
      </c>
    </row>
    <row r="1450" spans="1:24" ht="15" customHeight="1" x14ac:dyDescent="0.35">
      <c r="A1450" s="56" t="s">
        <v>3673</v>
      </c>
      <c r="B1450" s="2">
        <v>1373</v>
      </c>
      <c r="C1450" s="77">
        <v>10120344</v>
      </c>
      <c r="D1450" s="74" t="s">
        <v>1417</v>
      </c>
      <c r="E1450" s="59" t="s">
        <v>2167</v>
      </c>
      <c r="F1450" s="75">
        <v>40</v>
      </c>
      <c r="G1450" s="64" t="s">
        <v>0</v>
      </c>
      <c r="H1450" s="78">
        <v>41172</v>
      </c>
      <c r="I1450" s="4" t="s">
        <v>957</v>
      </c>
      <c r="J1450" s="63" t="s">
        <v>1917</v>
      </c>
      <c r="K1450" s="63" t="s">
        <v>961</v>
      </c>
      <c r="L1450" s="69" t="s">
        <v>950</v>
      </c>
      <c r="M1450" s="70">
        <f t="shared" si="230"/>
        <v>88014.55</v>
      </c>
      <c r="N1450" s="70">
        <f t="shared" si="231"/>
        <v>2200.36</v>
      </c>
      <c r="O1450" s="70">
        <v>88014.55</v>
      </c>
      <c r="P1450" s="65">
        <v>145920</v>
      </c>
      <c r="Q1450" s="65">
        <f t="shared" si="218"/>
        <v>32102.400000000001</v>
      </c>
      <c r="R1450" s="65">
        <f t="shared" si="219"/>
        <v>178022.39999999999</v>
      </c>
      <c r="S1450" s="272"/>
      <c r="T1450" s="64">
        <v>74</v>
      </c>
      <c r="U1450" s="274"/>
      <c r="V1450" s="38">
        <v>163034</v>
      </c>
      <c r="W1450" s="38">
        <f t="shared" si="220"/>
        <v>35867.480000000003</v>
      </c>
      <c r="X1450" s="38">
        <f t="shared" si="221"/>
        <v>198901.48</v>
      </c>
    </row>
    <row r="1451" spans="1:24" ht="15" customHeight="1" x14ac:dyDescent="0.35">
      <c r="A1451" s="56" t="s">
        <v>3674</v>
      </c>
      <c r="B1451" s="2">
        <v>1374</v>
      </c>
      <c r="C1451" s="77">
        <v>10119041</v>
      </c>
      <c r="D1451" s="74" t="s">
        <v>1418</v>
      </c>
      <c r="E1451" s="59" t="s">
        <v>2167</v>
      </c>
      <c r="F1451" s="75">
        <v>48</v>
      </c>
      <c r="G1451" s="64" t="s">
        <v>0</v>
      </c>
      <c r="H1451" s="78">
        <v>41381</v>
      </c>
      <c r="I1451" s="4" t="s">
        <v>957</v>
      </c>
      <c r="J1451" s="63" t="s">
        <v>1917</v>
      </c>
      <c r="K1451" s="63" t="s">
        <v>961</v>
      </c>
      <c r="L1451" s="69" t="s">
        <v>950</v>
      </c>
      <c r="M1451" s="70">
        <f t="shared" si="230"/>
        <v>108453.77</v>
      </c>
      <c r="N1451" s="70">
        <f t="shared" si="231"/>
        <v>2259.4499999999998</v>
      </c>
      <c r="O1451" s="70">
        <v>108453.77</v>
      </c>
      <c r="P1451" s="65">
        <v>182640</v>
      </c>
      <c r="Q1451" s="65">
        <f t="shared" si="218"/>
        <v>40180.800000000003</v>
      </c>
      <c r="R1451" s="65">
        <f t="shared" si="219"/>
        <v>222820.8</v>
      </c>
      <c r="S1451" s="272"/>
      <c r="T1451" s="64">
        <v>74</v>
      </c>
      <c r="U1451" s="274"/>
      <c r="V1451" s="38">
        <v>204065</v>
      </c>
      <c r="W1451" s="38">
        <f t="shared" si="220"/>
        <v>44894.3</v>
      </c>
      <c r="X1451" s="38">
        <f t="shared" si="221"/>
        <v>248959.3</v>
      </c>
    </row>
    <row r="1452" spans="1:24" ht="15" customHeight="1" x14ac:dyDescent="0.35">
      <c r="A1452" s="56" t="s">
        <v>3675</v>
      </c>
      <c r="B1452" s="2">
        <v>1375</v>
      </c>
      <c r="C1452" s="77">
        <v>10119035</v>
      </c>
      <c r="D1452" s="74" t="s">
        <v>1419</v>
      </c>
      <c r="E1452" s="59" t="s">
        <v>2167</v>
      </c>
      <c r="F1452" s="75">
        <v>43</v>
      </c>
      <c r="G1452" s="64" t="s">
        <v>0</v>
      </c>
      <c r="H1452" s="78">
        <v>41369</v>
      </c>
      <c r="I1452" s="4" t="s">
        <v>957</v>
      </c>
      <c r="J1452" s="63" t="s">
        <v>1917</v>
      </c>
      <c r="K1452" s="63" t="s">
        <v>961</v>
      </c>
      <c r="L1452" s="69" t="s">
        <v>950</v>
      </c>
      <c r="M1452" s="70">
        <f t="shared" si="230"/>
        <v>87616</v>
      </c>
      <c r="N1452" s="70">
        <f t="shared" si="231"/>
        <v>2037.58</v>
      </c>
      <c r="O1452" s="70">
        <v>87616</v>
      </c>
      <c r="P1452" s="65">
        <v>139190</v>
      </c>
      <c r="Q1452" s="65">
        <f t="shared" si="218"/>
        <v>30621.8</v>
      </c>
      <c r="R1452" s="65">
        <f t="shared" si="219"/>
        <v>169811.8</v>
      </c>
      <c r="S1452" s="272"/>
      <c r="T1452" s="64">
        <v>74</v>
      </c>
      <c r="U1452" s="274"/>
      <c r="V1452" s="38">
        <v>155517</v>
      </c>
      <c r="W1452" s="38">
        <f t="shared" si="220"/>
        <v>34213.74</v>
      </c>
      <c r="X1452" s="38">
        <f t="shared" si="221"/>
        <v>189730.74</v>
      </c>
    </row>
    <row r="1453" spans="1:24" ht="15" customHeight="1" x14ac:dyDescent="0.35">
      <c r="A1453" s="56" t="s">
        <v>3676</v>
      </c>
      <c r="B1453" s="2">
        <v>1376</v>
      </c>
      <c r="C1453" s="77">
        <v>10119034</v>
      </c>
      <c r="D1453" s="74" t="s">
        <v>1420</v>
      </c>
      <c r="E1453" s="59" t="s">
        <v>2167</v>
      </c>
      <c r="F1453" s="75">
        <v>25</v>
      </c>
      <c r="G1453" s="64" t="s">
        <v>0</v>
      </c>
      <c r="H1453" s="78">
        <v>41172</v>
      </c>
      <c r="I1453" s="4" t="s">
        <v>957</v>
      </c>
      <c r="J1453" s="63" t="s">
        <v>1917</v>
      </c>
      <c r="K1453" s="63" t="s">
        <v>961</v>
      </c>
      <c r="L1453" s="69" t="s">
        <v>950</v>
      </c>
      <c r="M1453" s="70">
        <f t="shared" si="230"/>
        <v>49711.06</v>
      </c>
      <c r="N1453" s="70">
        <f t="shared" si="231"/>
        <v>1988.44</v>
      </c>
      <c r="O1453" s="70">
        <v>49711.06</v>
      </c>
      <c r="P1453" s="65">
        <v>80130</v>
      </c>
      <c r="Q1453" s="65">
        <f t="shared" si="218"/>
        <v>17628.599999999999</v>
      </c>
      <c r="R1453" s="65">
        <f t="shared" si="219"/>
        <v>97758.6</v>
      </c>
      <c r="S1453" s="272"/>
      <c r="T1453" s="64">
        <v>74</v>
      </c>
      <c r="U1453" s="274"/>
      <c r="V1453" s="38">
        <v>89527</v>
      </c>
      <c r="W1453" s="38">
        <f t="shared" si="220"/>
        <v>19695.939999999999</v>
      </c>
      <c r="X1453" s="38">
        <f t="shared" si="221"/>
        <v>109222.94</v>
      </c>
    </row>
    <row r="1454" spans="1:24" ht="15" customHeight="1" x14ac:dyDescent="0.35">
      <c r="A1454" s="56" t="s">
        <v>3677</v>
      </c>
      <c r="B1454" s="2">
        <v>1377</v>
      </c>
      <c r="C1454" s="77">
        <v>10099058</v>
      </c>
      <c r="D1454" s="74" t="s">
        <v>1459</v>
      </c>
      <c r="E1454" s="59" t="s">
        <v>2167</v>
      </c>
      <c r="F1454" s="75">
        <v>8</v>
      </c>
      <c r="G1454" s="64" t="s">
        <v>0</v>
      </c>
      <c r="H1454" s="78">
        <v>41484</v>
      </c>
      <c r="I1454" s="4" t="s">
        <v>957</v>
      </c>
      <c r="J1454" s="63" t="s">
        <v>1927</v>
      </c>
      <c r="K1454" s="63" t="s">
        <v>961</v>
      </c>
      <c r="L1454" s="69" t="s">
        <v>950</v>
      </c>
      <c r="M1454" s="70">
        <f t="shared" si="230"/>
        <v>56066.400000000001</v>
      </c>
      <c r="N1454" s="70">
        <f t="shared" si="231"/>
        <v>7008.3</v>
      </c>
      <c r="O1454" s="70">
        <v>56066.400000000001</v>
      </c>
      <c r="P1454" s="65">
        <v>89400</v>
      </c>
      <c r="Q1454" s="65">
        <f t="shared" si="218"/>
        <v>19668</v>
      </c>
      <c r="R1454" s="65">
        <f t="shared" si="219"/>
        <v>109068</v>
      </c>
      <c r="S1454" s="272"/>
      <c r="T1454" s="64">
        <v>74</v>
      </c>
      <c r="U1454" s="274"/>
      <c r="V1454" s="38">
        <v>99891</v>
      </c>
      <c r="W1454" s="38">
        <f t="shared" si="220"/>
        <v>21976.02</v>
      </c>
      <c r="X1454" s="38">
        <f t="shared" si="221"/>
        <v>121867.02</v>
      </c>
    </row>
    <row r="1455" spans="1:24" ht="15" customHeight="1" x14ac:dyDescent="0.35">
      <c r="A1455" s="56" t="s">
        <v>3678</v>
      </c>
      <c r="B1455" s="2">
        <v>1378</v>
      </c>
      <c r="C1455" s="77">
        <v>102001288</v>
      </c>
      <c r="D1455" s="74" t="s">
        <v>1460</v>
      </c>
      <c r="E1455" s="59" t="s">
        <v>2167</v>
      </c>
      <c r="F1455" s="75">
        <v>5</v>
      </c>
      <c r="G1455" s="64" t="s">
        <v>0</v>
      </c>
      <c r="H1455" s="78">
        <v>41891</v>
      </c>
      <c r="I1455" s="4" t="s">
        <v>957</v>
      </c>
      <c r="J1455" s="63" t="s">
        <v>1917</v>
      </c>
      <c r="K1455" s="63" t="s">
        <v>961</v>
      </c>
      <c r="L1455" s="69" t="s">
        <v>950</v>
      </c>
      <c r="M1455" s="70">
        <f t="shared" si="230"/>
        <v>4019293.1</v>
      </c>
      <c r="N1455" s="70">
        <f t="shared" si="231"/>
        <v>803858.62</v>
      </c>
      <c r="O1455" s="70">
        <v>4019293.1</v>
      </c>
      <c r="P1455" s="65">
        <v>6555930</v>
      </c>
      <c r="Q1455" s="65">
        <f t="shared" si="218"/>
        <v>1442304.6</v>
      </c>
      <c r="R1455" s="65">
        <f t="shared" si="219"/>
        <v>7998234.5999999996</v>
      </c>
      <c r="S1455" s="272"/>
      <c r="T1455" s="64">
        <v>74</v>
      </c>
      <c r="U1455" s="274"/>
      <c r="V1455" s="38">
        <v>7325060</v>
      </c>
      <c r="W1455" s="38">
        <f t="shared" si="220"/>
        <v>1611513.2</v>
      </c>
      <c r="X1455" s="38">
        <f t="shared" si="221"/>
        <v>8936573.1999999993</v>
      </c>
    </row>
    <row r="1456" spans="1:24" ht="15" customHeight="1" x14ac:dyDescent="0.35">
      <c r="A1456" s="56" t="s">
        <v>3679</v>
      </c>
      <c r="B1456" s="2">
        <v>1379</v>
      </c>
      <c r="C1456" s="77">
        <v>10088681</v>
      </c>
      <c r="D1456" s="74" t="s">
        <v>1464</v>
      </c>
      <c r="E1456" s="59" t="s">
        <v>2167</v>
      </c>
      <c r="F1456" s="75">
        <v>11</v>
      </c>
      <c r="G1456" s="64" t="s">
        <v>0</v>
      </c>
      <c r="H1456" s="78">
        <v>40909</v>
      </c>
      <c r="I1456" s="4" t="s">
        <v>957</v>
      </c>
      <c r="J1456" s="63" t="s">
        <v>1489</v>
      </c>
      <c r="K1456" s="63" t="s">
        <v>961</v>
      </c>
      <c r="L1456" s="69" t="s">
        <v>950</v>
      </c>
      <c r="M1456" s="99">
        <f t="shared" si="230"/>
        <v>99708.94</v>
      </c>
      <c r="N1456" s="99">
        <f t="shared" si="231"/>
        <v>9064.4500000000007</v>
      </c>
      <c r="O1456" s="99">
        <v>99708.94</v>
      </c>
      <c r="P1456" s="65">
        <v>167140</v>
      </c>
      <c r="Q1456" s="65">
        <f t="shared" ref="Q1456:Q1519" si="232">P1456*0.22</f>
        <v>36770.800000000003</v>
      </c>
      <c r="R1456" s="65">
        <f t="shared" ref="R1456:R1519" si="233">P1456+Q1456</f>
        <v>203910.8</v>
      </c>
      <c r="S1456" s="272"/>
      <c r="T1456" s="64">
        <v>74</v>
      </c>
      <c r="U1456" s="274"/>
      <c r="V1456" s="38">
        <v>186748</v>
      </c>
      <c r="W1456" s="38">
        <f t="shared" ref="W1456:W1519" si="234">V1456*0.22</f>
        <v>41084.559999999998</v>
      </c>
      <c r="X1456" s="38">
        <f t="shared" si="221"/>
        <v>227832.56</v>
      </c>
    </row>
    <row r="1457" spans="1:24" ht="15" customHeight="1" x14ac:dyDescent="0.35">
      <c r="A1457" s="56" t="s">
        <v>3680</v>
      </c>
      <c r="B1457" s="2">
        <v>1380</v>
      </c>
      <c r="C1457" s="77">
        <v>10088822</v>
      </c>
      <c r="D1457" s="74" t="s">
        <v>1095</v>
      </c>
      <c r="E1457" s="59" t="s">
        <v>2167</v>
      </c>
      <c r="F1457" s="75">
        <v>1</v>
      </c>
      <c r="G1457" s="64" t="s">
        <v>0</v>
      </c>
      <c r="H1457" s="78">
        <v>40909</v>
      </c>
      <c r="I1457" s="4" t="s">
        <v>957</v>
      </c>
      <c r="J1457" s="63" t="s">
        <v>1489</v>
      </c>
      <c r="K1457" s="63" t="s">
        <v>961</v>
      </c>
      <c r="L1457" s="69" t="s">
        <v>950</v>
      </c>
      <c r="M1457" s="99">
        <f t="shared" si="230"/>
        <v>9689.56</v>
      </c>
      <c r="N1457" s="99">
        <f t="shared" si="231"/>
        <v>9689.56</v>
      </c>
      <c r="O1457" s="99">
        <v>9689.56</v>
      </c>
      <c r="P1457" s="65">
        <v>16240</v>
      </c>
      <c r="Q1457" s="65">
        <f t="shared" si="232"/>
        <v>3572.8</v>
      </c>
      <c r="R1457" s="65">
        <f t="shared" si="233"/>
        <v>19812.8</v>
      </c>
      <c r="S1457" s="272"/>
      <c r="T1457" s="64">
        <v>74</v>
      </c>
      <c r="U1457" s="274"/>
      <c r="V1457" s="38">
        <v>18148</v>
      </c>
      <c r="W1457" s="38">
        <f t="shared" si="234"/>
        <v>3992.56</v>
      </c>
      <c r="X1457" s="38">
        <f t="shared" si="221"/>
        <v>22140.560000000001</v>
      </c>
    </row>
    <row r="1458" spans="1:24" ht="15" customHeight="1" x14ac:dyDescent="0.35">
      <c r="A1458" s="56" t="s">
        <v>3681</v>
      </c>
      <c r="B1458" s="2">
        <v>1381</v>
      </c>
      <c r="C1458" s="77">
        <v>10088823</v>
      </c>
      <c r="D1458" s="74" t="s">
        <v>1096</v>
      </c>
      <c r="E1458" s="59" t="s">
        <v>2167</v>
      </c>
      <c r="F1458" s="75">
        <v>1</v>
      </c>
      <c r="G1458" s="64" t="s">
        <v>0</v>
      </c>
      <c r="H1458" s="78">
        <v>40909</v>
      </c>
      <c r="I1458" s="4" t="s">
        <v>957</v>
      </c>
      <c r="J1458" s="63" t="s">
        <v>1489</v>
      </c>
      <c r="K1458" s="63" t="s">
        <v>961</v>
      </c>
      <c r="L1458" s="69" t="s">
        <v>950</v>
      </c>
      <c r="M1458" s="99">
        <f t="shared" si="230"/>
        <v>8514.5</v>
      </c>
      <c r="N1458" s="99">
        <f t="shared" si="231"/>
        <v>8514.5</v>
      </c>
      <c r="O1458" s="99">
        <v>8514.5</v>
      </c>
      <c r="P1458" s="65">
        <v>14270</v>
      </c>
      <c r="Q1458" s="65">
        <f t="shared" si="232"/>
        <v>3139.4</v>
      </c>
      <c r="R1458" s="65">
        <f t="shared" si="233"/>
        <v>17409.400000000001</v>
      </c>
      <c r="S1458" s="276"/>
      <c r="T1458" s="64">
        <v>74</v>
      </c>
      <c r="U1458" s="274"/>
      <c r="V1458" s="38">
        <v>15947</v>
      </c>
      <c r="W1458" s="38">
        <f t="shared" si="234"/>
        <v>3508.34</v>
      </c>
      <c r="X1458" s="38">
        <f t="shared" ref="X1458:X1521" si="235">V1458+W1458</f>
        <v>19455.34</v>
      </c>
    </row>
    <row r="1459" spans="1:24" ht="15" customHeight="1" x14ac:dyDescent="0.35">
      <c r="A1459" s="56"/>
      <c r="B1459" s="15"/>
      <c r="C1459" s="77"/>
      <c r="D1459" s="74"/>
      <c r="E1459" s="74"/>
      <c r="F1459" s="75"/>
      <c r="G1459" s="64"/>
      <c r="H1459" s="78"/>
      <c r="I1459" s="4"/>
      <c r="J1459" s="63"/>
      <c r="K1459" s="63"/>
      <c r="L1459" s="69"/>
      <c r="M1459" s="99"/>
      <c r="N1459" s="99"/>
      <c r="O1459" s="100">
        <f>SUM(O1448:O1458)</f>
        <v>4563615.37</v>
      </c>
      <c r="P1459" s="100">
        <f t="shared" ref="P1459:R1459" si="236">SUM(P1448:P1458)</f>
        <v>7451990</v>
      </c>
      <c r="Q1459" s="100">
        <f t="shared" si="236"/>
        <v>1639437.8</v>
      </c>
      <c r="R1459" s="100">
        <f t="shared" si="236"/>
        <v>9091427.8000000007</v>
      </c>
      <c r="S1459" s="72">
        <f>R1459/100*10</f>
        <v>909142.78</v>
      </c>
      <c r="T1459" s="73">
        <v>74</v>
      </c>
      <c r="U1459" s="275"/>
      <c r="V1459" s="38"/>
      <c r="W1459" s="38"/>
      <c r="X1459" s="38"/>
    </row>
    <row r="1460" spans="1:24" ht="76" customHeight="1" x14ac:dyDescent="0.35">
      <c r="A1460" s="56" t="s">
        <v>3682</v>
      </c>
      <c r="B1460" s="2">
        <v>1382</v>
      </c>
      <c r="C1460" s="77">
        <v>10104774</v>
      </c>
      <c r="D1460" s="74" t="s">
        <v>198</v>
      </c>
      <c r="E1460" s="74" t="s">
        <v>4175</v>
      </c>
      <c r="F1460" s="75">
        <v>2</v>
      </c>
      <c r="G1460" s="64" t="s">
        <v>0</v>
      </c>
      <c r="H1460" s="61">
        <v>42004</v>
      </c>
      <c r="I1460" s="62" t="s">
        <v>958</v>
      </c>
      <c r="J1460" s="63" t="s">
        <v>1917</v>
      </c>
      <c r="K1460" s="88" t="s">
        <v>1968</v>
      </c>
      <c r="L1460" s="88" t="s">
        <v>845</v>
      </c>
      <c r="M1460" s="76">
        <f t="shared" si="230"/>
        <v>18478.27</v>
      </c>
      <c r="N1460" s="76">
        <f>O1460/F1460</f>
        <v>9239.14</v>
      </c>
      <c r="O1460" s="76">
        <v>18478.27</v>
      </c>
      <c r="P1460" s="65">
        <v>18330</v>
      </c>
      <c r="Q1460" s="65">
        <f t="shared" si="232"/>
        <v>4032.6</v>
      </c>
      <c r="R1460" s="65">
        <f t="shared" si="233"/>
        <v>22362.6</v>
      </c>
      <c r="S1460" s="267"/>
      <c r="T1460" s="64">
        <v>75</v>
      </c>
      <c r="U1460" s="273" t="s">
        <v>2286</v>
      </c>
      <c r="V1460" s="38">
        <v>19705</v>
      </c>
      <c r="W1460" s="38">
        <f t="shared" si="234"/>
        <v>4335.1000000000004</v>
      </c>
      <c r="X1460" s="38">
        <f t="shared" si="235"/>
        <v>24040.1</v>
      </c>
    </row>
    <row r="1461" spans="1:24" ht="35.5" customHeight="1" x14ac:dyDescent="0.35">
      <c r="A1461" s="56" t="s">
        <v>3683</v>
      </c>
      <c r="B1461" s="2">
        <v>1383</v>
      </c>
      <c r="C1461" s="77">
        <v>102014568</v>
      </c>
      <c r="D1461" s="74" t="s">
        <v>251</v>
      </c>
      <c r="E1461" s="59" t="s">
        <v>1979</v>
      </c>
      <c r="F1461" s="75">
        <v>2</v>
      </c>
      <c r="G1461" s="64" t="s">
        <v>0</v>
      </c>
      <c r="H1461" s="101">
        <v>2016</v>
      </c>
      <c r="I1461" s="61" t="s">
        <v>971</v>
      </c>
      <c r="J1461" s="115" t="s">
        <v>2225</v>
      </c>
      <c r="K1461" s="115" t="s">
        <v>251</v>
      </c>
      <c r="L1461" s="88" t="s">
        <v>845</v>
      </c>
      <c r="M1461" s="76">
        <f t="shared" si="230"/>
        <v>123351.32</v>
      </c>
      <c r="N1461" s="76">
        <f>O1461/F1461</f>
        <v>61675.66</v>
      </c>
      <c r="O1461" s="76">
        <v>123351.32</v>
      </c>
      <c r="P1461" s="65">
        <v>108860</v>
      </c>
      <c r="Q1461" s="65">
        <f t="shared" si="232"/>
        <v>23949.200000000001</v>
      </c>
      <c r="R1461" s="65">
        <f t="shared" si="233"/>
        <v>132809.20000000001</v>
      </c>
      <c r="S1461" s="272"/>
      <c r="T1461" s="64">
        <v>75</v>
      </c>
      <c r="U1461" s="274"/>
      <c r="V1461" s="38">
        <v>117054</v>
      </c>
      <c r="W1461" s="38">
        <f t="shared" si="234"/>
        <v>25751.88</v>
      </c>
      <c r="X1461" s="38">
        <f t="shared" si="235"/>
        <v>142805.88</v>
      </c>
    </row>
    <row r="1462" spans="1:24" ht="15" customHeight="1" x14ac:dyDescent="0.35">
      <c r="A1462" s="56" t="s">
        <v>3684</v>
      </c>
      <c r="B1462" s="2">
        <v>1384</v>
      </c>
      <c r="C1462" s="89">
        <v>102001370</v>
      </c>
      <c r="D1462" s="106" t="s">
        <v>647</v>
      </c>
      <c r="E1462" s="74" t="s">
        <v>686</v>
      </c>
      <c r="F1462" s="91">
        <v>1</v>
      </c>
      <c r="G1462" s="64" t="s">
        <v>0</v>
      </c>
      <c r="H1462" s="61">
        <v>42004</v>
      </c>
      <c r="I1462" s="107" t="s">
        <v>976</v>
      </c>
      <c r="J1462" s="63" t="s">
        <v>1917</v>
      </c>
      <c r="K1462" s="108" t="s">
        <v>828</v>
      </c>
      <c r="L1462" s="64" t="s">
        <v>845</v>
      </c>
      <c r="M1462" s="65">
        <f t="shared" si="230"/>
        <v>114350.1</v>
      </c>
      <c r="N1462" s="65">
        <f>O1462/F1462</f>
        <v>114350.1</v>
      </c>
      <c r="O1462" s="65">
        <v>114350.1</v>
      </c>
      <c r="P1462" s="65">
        <v>113400</v>
      </c>
      <c r="Q1462" s="65">
        <f t="shared" si="232"/>
        <v>24948</v>
      </c>
      <c r="R1462" s="65">
        <f t="shared" si="233"/>
        <v>138348</v>
      </c>
      <c r="S1462" s="272"/>
      <c r="T1462" s="64">
        <v>75</v>
      </c>
      <c r="U1462" s="274"/>
      <c r="V1462" s="38">
        <v>121939</v>
      </c>
      <c r="W1462" s="38">
        <f t="shared" si="234"/>
        <v>26826.58</v>
      </c>
      <c r="X1462" s="38">
        <f t="shared" si="235"/>
        <v>148765.57999999999</v>
      </c>
    </row>
    <row r="1463" spans="1:24" ht="15" customHeight="1" x14ac:dyDescent="0.35">
      <c r="A1463" s="56" t="s">
        <v>3685</v>
      </c>
      <c r="B1463" s="2">
        <v>1385</v>
      </c>
      <c r="C1463" s="89">
        <v>102000757</v>
      </c>
      <c r="D1463" s="106" t="s">
        <v>648</v>
      </c>
      <c r="E1463" s="74" t="s">
        <v>686</v>
      </c>
      <c r="F1463" s="91">
        <v>1</v>
      </c>
      <c r="G1463" s="64" t="s">
        <v>0</v>
      </c>
      <c r="H1463" s="61">
        <v>42004</v>
      </c>
      <c r="I1463" s="107" t="s">
        <v>976</v>
      </c>
      <c r="J1463" s="63" t="s">
        <v>1917</v>
      </c>
      <c r="K1463" s="108" t="s">
        <v>829</v>
      </c>
      <c r="L1463" s="64" t="s">
        <v>845</v>
      </c>
      <c r="M1463" s="65">
        <f t="shared" si="230"/>
        <v>43550.43</v>
      </c>
      <c r="N1463" s="65">
        <f>O1463/F1463</f>
        <v>43550.43</v>
      </c>
      <c r="O1463" s="65">
        <v>43550.43</v>
      </c>
      <c r="P1463" s="65">
        <v>40850</v>
      </c>
      <c r="Q1463" s="65">
        <f t="shared" si="232"/>
        <v>8987</v>
      </c>
      <c r="R1463" s="65">
        <f t="shared" si="233"/>
        <v>49837</v>
      </c>
      <c r="S1463" s="272"/>
      <c r="T1463" s="64">
        <v>75</v>
      </c>
      <c r="U1463" s="274"/>
      <c r="V1463" s="38">
        <v>43926</v>
      </c>
      <c r="W1463" s="38">
        <f t="shared" si="234"/>
        <v>9663.7199999999993</v>
      </c>
      <c r="X1463" s="38">
        <f t="shared" si="235"/>
        <v>53589.72</v>
      </c>
    </row>
    <row r="1464" spans="1:24" ht="15" customHeight="1" x14ac:dyDescent="0.35">
      <c r="A1464" s="56" t="s">
        <v>3686</v>
      </c>
      <c r="B1464" s="2">
        <v>1386</v>
      </c>
      <c r="C1464" s="59">
        <v>10015416</v>
      </c>
      <c r="D1464" s="59" t="s">
        <v>2245</v>
      </c>
      <c r="E1464" s="74" t="s">
        <v>2162</v>
      </c>
      <c r="F1464" s="75">
        <v>1</v>
      </c>
      <c r="G1464" s="63" t="s">
        <v>0</v>
      </c>
      <c r="H1464" s="88">
        <v>42004</v>
      </c>
      <c r="I1464" s="94" t="s">
        <v>2158</v>
      </c>
      <c r="J1464" s="61" t="s">
        <v>1917</v>
      </c>
      <c r="K1464" s="101" t="s">
        <v>961</v>
      </c>
      <c r="L1464" s="61" t="s">
        <v>2097</v>
      </c>
      <c r="M1464" s="65">
        <f t="shared" si="230"/>
        <v>24178</v>
      </c>
      <c r="N1464" s="65">
        <f>O1464/F1464</f>
        <v>24178</v>
      </c>
      <c r="O1464" s="65">
        <v>24178</v>
      </c>
      <c r="P1464" s="65">
        <v>36440</v>
      </c>
      <c r="Q1464" s="65">
        <f t="shared" si="232"/>
        <v>8016.8</v>
      </c>
      <c r="R1464" s="65">
        <f t="shared" si="233"/>
        <v>44456.800000000003</v>
      </c>
      <c r="S1464" s="276"/>
      <c r="T1464" s="64">
        <v>75</v>
      </c>
      <c r="U1464" s="274"/>
      <c r="V1464" s="38">
        <v>39184</v>
      </c>
      <c r="W1464" s="38">
        <f t="shared" si="234"/>
        <v>8620.48</v>
      </c>
      <c r="X1464" s="38">
        <f t="shared" si="235"/>
        <v>47804.480000000003</v>
      </c>
    </row>
    <row r="1465" spans="1:24" ht="15" customHeight="1" x14ac:dyDescent="0.35">
      <c r="A1465" s="56"/>
      <c r="B1465" s="15"/>
      <c r="C1465" s="59"/>
      <c r="D1465" s="59"/>
      <c r="E1465" s="74"/>
      <c r="F1465" s="75"/>
      <c r="G1465" s="63"/>
      <c r="H1465" s="88"/>
      <c r="I1465" s="94"/>
      <c r="J1465" s="61"/>
      <c r="K1465" s="101"/>
      <c r="L1465" s="61"/>
      <c r="M1465" s="65"/>
      <c r="N1465" s="65"/>
      <c r="O1465" s="126">
        <f>SUM(O1460:O1464)</f>
        <v>323908.12</v>
      </c>
      <c r="P1465" s="126">
        <f t="shared" ref="P1465:R1465" si="237">SUM(P1460:P1464)</f>
        <v>317880</v>
      </c>
      <c r="Q1465" s="126">
        <f t="shared" si="237"/>
        <v>69933.600000000006</v>
      </c>
      <c r="R1465" s="126">
        <f t="shared" si="237"/>
        <v>387813.6</v>
      </c>
      <c r="S1465" s="72">
        <f>R1465/100*10</f>
        <v>38781.360000000001</v>
      </c>
      <c r="T1465" s="73">
        <v>75</v>
      </c>
      <c r="U1465" s="275"/>
      <c r="V1465" s="38"/>
      <c r="W1465" s="38"/>
      <c r="X1465" s="38"/>
    </row>
    <row r="1466" spans="1:24" ht="15" customHeight="1" x14ac:dyDescent="0.35">
      <c r="A1466" s="56" t="s">
        <v>3687</v>
      </c>
      <c r="B1466" s="2">
        <v>1387</v>
      </c>
      <c r="C1466" s="77">
        <v>10095495</v>
      </c>
      <c r="D1466" s="74" t="s">
        <v>1582</v>
      </c>
      <c r="E1466" s="59" t="s">
        <v>2167</v>
      </c>
      <c r="F1466" s="75">
        <v>60</v>
      </c>
      <c r="G1466" s="64" t="s">
        <v>0</v>
      </c>
      <c r="H1466" s="78">
        <v>41375</v>
      </c>
      <c r="I1466" s="4" t="s">
        <v>957</v>
      </c>
      <c r="J1466" s="63" t="s">
        <v>1917</v>
      </c>
      <c r="K1466" s="63" t="s">
        <v>961</v>
      </c>
      <c r="L1466" s="69" t="s">
        <v>950</v>
      </c>
      <c r="M1466" s="70">
        <f t="shared" si="230"/>
        <v>45960</v>
      </c>
      <c r="N1466" s="70">
        <f t="shared" ref="N1466:N1471" si="238">O1466/F1466</f>
        <v>766</v>
      </c>
      <c r="O1466" s="70">
        <v>45960</v>
      </c>
      <c r="P1466" s="65">
        <v>74810</v>
      </c>
      <c r="Q1466" s="65">
        <f t="shared" si="232"/>
        <v>16458.2</v>
      </c>
      <c r="R1466" s="65">
        <f t="shared" si="233"/>
        <v>91268.2</v>
      </c>
      <c r="S1466" s="267"/>
      <c r="T1466" s="64">
        <v>76</v>
      </c>
      <c r="U1466" s="273" t="s">
        <v>2287</v>
      </c>
      <c r="V1466" s="38">
        <v>81578</v>
      </c>
      <c r="W1466" s="38">
        <f t="shared" si="234"/>
        <v>17947.16</v>
      </c>
      <c r="X1466" s="38">
        <f t="shared" si="235"/>
        <v>99525.16</v>
      </c>
    </row>
    <row r="1467" spans="1:24" ht="15" customHeight="1" x14ac:dyDescent="0.35">
      <c r="A1467" s="56" t="s">
        <v>3688</v>
      </c>
      <c r="B1467" s="2">
        <v>1388</v>
      </c>
      <c r="C1467" s="77">
        <v>10108265</v>
      </c>
      <c r="D1467" s="74" t="s">
        <v>1600</v>
      </c>
      <c r="E1467" s="59" t="s">
        <v>2167</v>
      </c>
      <c r="F1467" s="75">
        <v>4</v>
      </c>
      <c r="G1467" s="64" t="s">
        <v>0</v>
      </c>
      <c r="H1467" s="78">
        <v>41577</v>
      </c>
      <c r="I1467" s="4" t="s">
        <v>957</v>
      </c>
      <c r="J1467" s="63" t="s">
        <v>1917</v>
      </c>
      <c r="K1467" s="63" t="s">
        <v>961</v>
      </c>
      <c r="L1467" s="69" t="s">
        <v>950</v>
      </c>
      <c r="M1467" s="70">
        <f t="shared" si="230"/>
        <v>36.520000000000003</v>
      </c>
      <c r="N1467" s="70">
        <f t="shared" si="238"/>
        <v>9.1300000000000008</v>
      </c>
      <c r="O1467" s="70">
        <v>36.520000000000003</v>
      </c>
      <c r="P1467" s="65">
        <v>60</v>
      </c>
      <c r="Q1467" s="65">
        <f t="shared" si="232"/>
        <v>13.2</v>
      </c>
      <c r="R1467" s="65">
        <f t="shared" si="233"/>
        <v>73.2</v>
      </c>
      <c r="S1467" s="272"/>
      <c r="T1467" s="64">
        <v>76</v>
      </c>
      <c r="U1467" s="274"/>
      <c r="V1467" s="38">
        <v>63</v>
      </c>
      <c r="W1467" s="38">
        <f t="shared" si="234"/>
        <v>13.86</v>
      </c>
      <c r="X1467" s="38">
        <f t="shared" si="235"/>
        <v>76.86</v>
      </c>
    </row>
    <row r="1468" spans="1:24" ht="15.75" customHeight="1" x14ac:dyDescent="0.35">
      <c r="A1468" s="56" t="s">
        <v>3689</v>
      </c>
      <c r="B1468" s="2">
        <v>1389</v>
      </c>
      <c r="C1468" s="77">
        <v>10115561</v>
      </c>
      <c r="D1468" s="74" t="s">
        <v>1713</v>
      </c>
      <c r="E1468" s="59" t="s">
        <v>2167</v>
      </c>
      <c r="F1468" s="75">
        <v>23</v>
      </c>
      <c r="G1468" s="64" t="s">
        <v>17</v>
      </c>
      <c r="H1468" s="78">
        <v>41487</v>
      </c>
      <c r="I1468" s="4" t="s">
        <v>957</v>
      </c>
      <c r="J1468" s="63" t="s">
        <v>1917</v>
      </c>
      <c r="K1468" s="63" t="s">
        <v>961</v>
      </c>
      <c r="L1468" s="69" t="s">
        <v>950</v>
      </c>
      <c r="M1468" s="144">
        <f t="shared" si="230"/>
        <v>4045.46</v>
      </c>
      <c r="N1468" s="144">
        <f t="shared" si="238"/>
        <v>175.89</v>
      </c>
      <c r="O1468" s="70">
        <v>4045.46</v>
      </c>
      <c r="P1468" s="65">
        <v>6910</v>
      </c>
      <c r="Q1468" s="65">
        <f t="shared" si="232"/>
        <v>1520.2</v>
      </c>
      <c r="R1468" s="65">
        <f t="shared" si="233"/>
        <v>8430.2000000000007</v>
      </c>
      <c r="S1468" s="272"/>
      <c r="T1468" s="64">
        <v>76</v>
      </c>
      <c r="U1468" s="274"/>
      <c r="V1468" s="38">
        <v>7531</v>
      </c>
      <c r="W1468" s="38">
        <f t="shared" si="234"/>
        <v>1656.82</v>
      </c>
      <c r="X1468" s="38">
        <f t="shared" si="235"/>
        <v>9187.82</v>
      </c>
    </row>
    <row r="1469" spans="1:24" ht="19.5" customHeight="1" x14ac:dyDescent="0.35">
      <c r="A1469" s="56" t="s">
        <v>3690</v>
      </c>
      <c r="B1469" s="2">
        <v>1390</v>
      </c>
      <c r="C1469" s="77">
        <v>10119320</v>
      </c>
      <c r="D1469" s="74" t="s">
        <v>1728</v>
      </c>
      <c r="E1469" s="59" t="s">
        <v>2167</v>
      </c>
      <c r="F1469" s="75">
        <v>12.9</v>
      </c>
      <c r="G1469" s="64" t="s">
        <v>8</v>
      </c>
      <c r="H1469" s="78">
        <v>41320</v>
      </c>
      <c r="I1469" s="4" t="s">
        <v>957</v>
      </c>
      <c r="J1469" s="63" t="s">
        <v>1917</v>
      </c>
      <c r="K1469" s="63" t="s">
        <v>961</v>
      </c>
      <c r="L1469" s="69" t="s">
        <v>950</v>
      </c>
      <c r="M1469" s="70">
        <f t="shared" si="230"/>
        <v>4878.78</v>
      </c>
      <c r="N1469" s="70">
        <f t="shared" si="238"/>
        <v>378.2</v>
      </c>
      <c r="O1469" s="70">
        <v>4878.78</v>
      </c>
      <c r="P1469" s="65">
        <v>8610</v>
      </c>
      <c r="Q1469" s="65">
        <f t="shared" si="232"/>
        <v>1894.2</v>
      </c>
      <c r="R1469" s="65">
        <f t="shared" si="233"/>
        <v>10504.2</v>
      </c>
      <c r="S1469" s="272"/>
      <c r="T1469" s="64">
        <v>76</v>
      </c>
      <c r="U1469" s="274"/>
      <c r="V1469" s="38">
        <v>9390</v>
      </c>
      <c r="W1469" s="38">
        <f t="shared" si="234"/>
        <v>2065.8000000000002</v>
      </c>
      <c r="X1469" s="38">
        <f t="shared" si="235"/>
        <v>11455.8</v>
      </c>
    </row>
    <row r="1470" spans="1:24" ht="15" customHeight="1" x14ac:dyDescent="0.35">
      <c r="A1470" s="56" t="s">
        <v>3691</v>
      </c>
      <c r="B1470" s="2">
        <v>1391</v>
      </c>
      <c r="C1470" s="77">
        <v>10150198</v>
      </c>
      <c r="D1470" s="74" t="s">
        <v>1743</v>
      </c>
      <c r="E1470" s="74" t="s">
        <v>2176</v>
      </c>
      <c r="F1470" s="75">
        <v>185.5</v>
      </c>
      <c r="G1470" s="64" t="s">
        <v>8</v>
      </c>
      <c r="H1470" s="78">
        <v>41607</v>
      </c>
      <c r="I1470" s="4" t="s">
        <v>957</v>
      </c>
      <c r="J1470" s="63" t="s">
        <v>1917</v>
      </c>
      <c r="K1470" s="63" t="s">
        <v>961</v>
      </c>
      <c r="L1470" s="69" t="s">
        <v>950</v>
      </c>
      <c r="M1470" s="70">
        <f t="shared" si="230"/>
        <v>16923.16</v>
      </c>
      <c r="N1470" s="70">
        <f t="shared" si="238"/>
        <v>91.23</v>
      </c>
      <c r="O1470" s="70">
        <v>16923.16</v>
      </c>
      <c r="P1470" s="65">
        <v>35360</v>
      </c>
      <c r="Q1470" s="65">
        <f t="shared" si="232"/>
        <v>7779.2</v>
      </c>
      <c r="R1470" s="65">
        <f t="shared" si="233"/>
        <v>43139.199999999997</v>
      </c>
      <c r="S1470" s="272"/>
      <c r="T1470" s="64">
        <v>76</v>
      </c>
      <c r="U1470" s="274"/>
      <c r="V1470" s="38">
        <v>38560</v>
      </c>
      <c r="W1470" s="38">
        <f t="shared" si="234"/>
        <v>8483.2000000000007</v>
      </c>
      <c r="X1470" s="38">
        <f t="shared" si="235"/>
        <v>47043.199999999997</v>
      </c>
    </row>
    <row r="1471" spans="1:24" ht="15" customHeight="1" x14ac:dyDescent="0.35">
      <c r="A1471" s="56" t="s">
        <v>3692</v>
      </c>
      <c r="B1471" s="2">
        <v>1392</v>
      </c>
      <c r="C1471" s="11">
        <v>10145028</v>
      </c>
      <c r="D1471" s="3" t="s">
        <v>1394</v>
      </c>
      <c r="E1471" s="59" t="s">
        <v>2167</v>
      </c>
      <c r="F1471" s="14">
        <v>30</v>
      </c>
      <c r="G1471" s="64" t="s">
        <v>0</v>
      </c>
      <c r="H1471" s="5">
        <v>41365</v>
      </c>
      <c r="I1471" s="4" t="s">
        <v>957</v>
      </c>
      <c r="J1471" s="63" t="s">
        <v>1917</v>
      </c>
      <c r="K1471" s="63" t="s">
        <v>961</v>
      </c>
      <c r="L1471" s="69" t="s">
        <v>950</v>
      </c>
      <c r="M1471" s="70">
        <f t="shared" si="230"/>
        <v>40140</v>
      </c>
      <c r="N1471" s="70">
        <f t="shared" si="238"/>
        <v>1338</v>
      </c>
      <c r="O1471" s="70">
        <v>40140</v>
      </c>
      <c r="P1471" s="65">
        <v>65330</v>
      </c>
      <c r="Q1471" s="65">
        <f t="shared" si="232"/>
        <v>14372.6</v>
      </c>
      <c r="R1471" s="65">
        <f t="shared" si="233"/>
        <v>79702.600000000006</v>
      </c>
      <c r="S1471" s="276"/>
      <c r="T1471" s="64">
        <v>76</v>
      </c>
      <c r="U1471" s="274"/>
      <c r="V1471" s="38">
        <v>71248</v>
      </c>
      <c r="W1471" s="38">
        <f t="shared" si="234"/>
        <v>15674.56</v>
      </c>
      <c r="X1471" s="38">
        <f t="shared" si="235"/>
        <v>86922.559999999998</v>
      </c>
    </row>
    <row r="1472" spans="1:24" ht="15" customHeight="1" x14ac:dyDescent="0.35">
      <c r="A1472" s="56"/>
      <c r="B1472" s="15"/>
      <c r="C1472" s="11"/>
      <c r="D1472" s="3"/>
      <c r="E1472" s="59"/>
      <c r="F1472" s="14"/>
      <c r="G1472" s="64"/>
      <c r="H1472" s="5"/>
      <c r="I1472" s="4"/>
      <c r="J1472" s="63"/>
      <c r="K1472" s="63"/>
      <c r="L1472" s="69"/>
      <c r="M1472" s="70"/>
      <c r="N1472" s="70"/>
      <c r="O1472" s="71">
        <f>SUM(O1466:O1471)</f>
        <v>111983.92</v>
      </c>
      <c r="P1472" s="71">
        <f t="shared" ref="P1472:R1472" si="239">SUM(P1466:P1471)</f>
        <v>191080</v>
      </c>
      <c r="Q1472" s="71">
        <f t="shared" si="239"/>
        <v>42037.599999999999</v>
      </c>
      <c r="R1472" s="71">
        <f t="shared" si="239"/>
        <v>233117.6</v>
      </c>
      <c r="S1472" s="72">
        <f>R1472/100*10</f>
        <v>23311.759999999998</v>
      </c>
      <c r="T1472" s="73">
        <v>76</v>
      </c>
      <c r="U1472" s="275"/>
      <c r="V1472" s="38"/>
      <c r="W1472" s="38"/>
      <c r="X1472" s="38"/>
    </row>
    <row r="1473" spans="1:24" ht="15" customHeight="1" x14ac:dyDescent="0.35">
      <c r="A1473" s="261" t="s">
        <v>3693</v>
      </c>
      <c r="B1473" s="9">
        <v>1393</v>
      </c>
      <c r="C1473" s="175">
        <v>10128911</v>
      </c>
      <c r="D1473" s="176" t="s">
        <v>848</v>
      </c>
      <c r="E1473" s="103" t="s">
        <v>2147</v>
      </c>
      <c r="F1473" s="171">
        <v>200</v>
      </c>
      <c r="G1473" s="135" t="s">
        <v>0</v>
      </c>
      <c r="H1473" s="172">
        <v>42388</v>
      </c>
      <c r="I1473" s="158" t="s">
        <v>972</v>
      </c>
      <c r="J1473" s="158" t="s">
        <v>1917</v>
      </c>
      <c r="K1473" s="158" t="s">
        <v>961</v>
      </c>
      <c r="L1473" s="173" t="s">
        <v>845</v>
      </c>
      <c r="M1473" s="174">
        <f t="shared" si="230"/>
        <v>6007.48</v>
      </c>
      <c r="N1473" s="174">
        <f>O1473/F1473</f>
        <v>30.04</v>
      </c>
      <c r="O1473" s="174">
        <v>6007.48</v>
      </c>
      <c r="P1473" s="65">
        <v>5320</v>
      </c>
      <c r="Q1473" s="65">
        <f t="shared" si="232"/>
        <v>1170.4000000000001</v>
      </c>
      <c r="R1473" s="65">
        <f t="shared" si="233"/>
        <v>6490.4</v>
      </c>
      <c r="S1473" s="267"/>
      <c r="T1473" s="135">
        <v>77</v>
      </c>
      <c r="U1473" s="273" t="s">
        <v>2287</v>
      </c>
      <c r="V1473" s="38">
        <v>5719</v>
      </c>
      <c r="W1473" s="38">
        <f t="shared" si="234"/>
        <v>1258.18</v>
      </c>
      <c r="X1473" s="38">
        <f t="shared" si="235"/>
        <v>6977.18</v>
      </c>
    </row>
    <row r="1474" spans="1:24" ht="15" customHeight="1" x14ac:dyDescent="0.35">
      <c r="A1474" s="261" t="s">
        <v>3694</v>
      </c>
      <c r="B1474" s="9">
        <v>1394</v>
      </c>
      <c r="C1474" s="103">
        <v>10108047</v>
      </c>
      <c r="D1474" s="103" t="s">
        <v>2134</v>
      </c>
      <c r="E1474" s="103" t="s">
        <v>2147</v>
      </c>
      <c r="F1474" s="177">
        <v>3</v>
      </c>
      <c r="G1474" s="135" t="s">
        <v>17</v>
      </c>
      <c r="H1474" s="135">
        <v>2008</v>
      </c>
      <c r="I1474" s="183" t="s">
        <v>972</v>
      </c>
      <c r="J1474" s="158" t="s">
        <v>1917</v>
      </c>
      <c r="K1474" s="158" t="s">
        <v>961</v>
      </c>
      <c r="L1474" s="173" t="s">
        <v>845</v>
      </c>
      <c r="M1474" s="174">
        <f t="shared" si="230"/>
        <v>72.33</v>
      </c>
      <c r="N1474" s="174">
        <f>O1474/F1474</f>
        <v>24.11</v>
      </c>
      <c r="O1474" s="174">
        <v>72.33</v>
      </c>
      <c r="P1474" s="65">
        <v>80</v>
      </c>
      <c r="Q1474" s="65">
        <f t="shared" si="232"/>
        <v>17.600000000000001</v>
      </c>
      <c r="R1474" s="65">
        <f t="shared" si="233"/>
        <v>97.6</v>
      </c>
      <c r="S1474" s="272"/>
      <c r="T1474" s="135">
        <v>77</v>
      </c>
      <c r="U1474" s="274"/>
      <c r="V1474" s="38">
        <v>90</v>
      </c>
      <c r="W1474" s="38">
        <f t="shared" si="234"/>
        <v>19.8</v>
      </c>
      <c r="X1474" s="38">
        <f t="shared" si="235"/>
        <v>109.8</v>
      </c>
    </row>
    <row r="1475" spans="1:24" ht="15" customHeight="1" x14ac:dyDescent="0.35">
      <c r="A1475" s="261" t="s">
        <v>3695</v>
      </c>
      <c r="B1475" s="9">
        <v>1395</v>
      </c>
      <c r="C1475" s="103">
        <v>10136117</v>
      </c>
      <c r="D1475" s="103" t="s">
        <v>2135</v>
      </c>
      <c r="E1475" s="103" t="s">
        <v>2147</v>
      </c>
      <c r="F1475" s="177">
        <v>1</v>
      </c>
      <c r="G1475" s="135" t="s">
        <v>17</v>
      </c>
      <c r="H1475" s="135">
        <v>2008</v>
      </c>
      <c r="I1475" s="183" t="s">
        <v>972</v>
      </c>
      <c r="J1475" s="158" t="s">
        <v>1917</v>
      </c>
      <c r="K1475" s="158" t="s">
        <v>961</v>
      </c>
      <c r="L1475" s="173" t="s">
        <v>845</v>
      </c>
      <c r="M1475" s="174">
        <f t="shared" si="230"/>
        <v>28.58</v>
      </c>
      <c r="N1475" s="174">
        <f>O1475/F1475</f>
        <v>28.58</v>
      </c>
      <c r="O1475" s="174">
        <v>28.58</v>
      </c>
      <c r="P1475" s="65">
        <v>40</v>
      </c>
      <c r="Q1475" s="65">
        <f t="shared" si="232"/>
        <v>8.8000000000000007</v>
      </c>
      <c r="R1475" s="65">
        <f t="shared" si="233"/>
        <v>48.8</v>
      </c>
      <c r="S1475" s="272"/>
      <c r="T1475" s="135">
        <v>77</v>
      </c>
      <c r="U1475" s="274"/>
      <c r="V1475" s="38">
        <v>48</v>
      </c>
      <c r="W1475" s="38">
        <f t="shared" si="234"/>
        <v>10.56</v>
      </c>
      <c r="X1475" s="38">
        <f t="shared" si="235"/>
        <v>58.56</v>
      </c>
    </row>
    <row r="1476" spans="1:24" s="24" customFormat="1" ht="15" customHeight="1" x14ac:dyDescent="0.35">
      <c r="A1476" s="261" t="s">
        <v>3696</v>
      </c>
      <c r="B1476" s="9">
        <v>1396</v>
      </c>
      <c r="C1476" s="103">
        <v>10002832</v>
      </c>
      <c r="D1476" s="103" t="s">
        <v>2137</v>
      </c>
      <c r="E1476" s="103" t="s">
        <v>2147</v>
      </c>
      <c r="F1476" s="177">
        <v>20.3</v>
      </c>
      <c r="G1476" s="135" t="s">
        <v>8</v>
      </c>
      <c r="H1476" s="135">
        <v>2008</v>
      </c>
      <c r="I1476" s="135" t="s">
        <v>972</v>
      </c>
      <c r="J1476" s="158" t="s">
        <v>1917</v>
      </c>
      <c r="K1476" s="158" t="s">
        <v>961</v>
      </c>
      <c r="L1476" s="173" t="s">
        <v>845</v>
      </c>
      <c r="M1476" s="174">
        <f t="shared" si="230"/>
        <v>4843.17</v>
      </c>
      <c r="N1476" s="174">
        <f>O1476/F1476</f>
        <v>238.58</v>
      </c>
      <c r="O1476" s="196">
        <v>4843.17</v>
      </c>
      <c r="P1476" s="65">
        <v>7600</v>
      </c>
      <c r="Q1476" s="65">
        <f t="shared" si="232"/>
        <v>1672</v>
      </c>
      <c r="R1476" s="65">
        <f t="shared" si="233"/>
        <v>9272</v>
      </c>
      <c r="S1476" s="276"/>
      <c r="T1476" s="135">
        <v>77</v>
      </c>
      <c r="U1476" s="274"/>
      <c r="V1476" s="38">
        <v>8168</v>
      </c>
      <c r="W1476" s="38">
        <f t="shared" si="234"/>
        <v>1796.96</v>
      </c>
      <c r="X1476" s="38">
        <f t="shared" si="235"/>
        <v>9964.9599999999991</v>
      </c>
    </row>
    <row r="1477" spans="1:24" ht="15" customHeight="1" x14ac:dyDescent="0.35">
      <c r="A1477" s="56"/>
      <c r="B1477" s="15"/>
      <c r="C1477" s="74"/>
      <c r="D1477" s="74"/>
      <c r="E1477" s="74"/>
      <c r="F1477" s="75"/>
      <c r="G1477" s="64"/>
      <c r="H1477" s="64"/>
      <c r="I1477" s="105"/>
      <c r="J1477" s="63"/>
      <c r="K1477" s="63"/>
      <c r="L1477" s="61"/>
      <c r="M1477" s="65"/>
      <c r="N1477" s="65"/>
      <c r="O1477" s="126">
        <f>SUM(O1473:O1476)</f>
        <v>10951.56</v>
      </c>
      <c r="P1477" s="126">
        <f t="shared" ref="P1477:R1477" si="240">SUM(P1473:P1476)</f>
        <v>13040</v>
      </c>
      <c r="Q1477" s="126">
        <f t="shared" si="240"/>
        <v>2868.8</v>
      </c>
      <c r="R1477" s="126">
        <f t="shared" si="240"/>
        <v>15908.8</v>
      </c>
      <c r="S1477" s="72">
        <f>R1477/100*10</f>
        <v>1590.88</v>
      </c>
      <c r="T1477" s="73">
        <v>77</v>
      </c>
      <c r="U1477" s="275"/>
      <c r="V1477" s="38"/>
      <c r="W1477" s="38"/>
      <c r="X1477" s="38"/>
    </row>
    <row r="1478" spans="1:24" ht="15" customHeight="1" x14ac:dyDescent="0.35">
      <c r="A1478" s="56" t="s">
        <v>3697</v>
      </c>
      <c r="B1478" s="2">
        <v>1397</v>
      </c>
      <c r="C1478" s="77">
        <v>102012388</v>
      </c>
      <c r="D1478" s="74" t="s">
        <v>1484</v>
      </c>
      <c r="E1478" s="59" t="s">
        <v>2167</v>
      </c>
      <c r="F1478" s="75">
        <v>12</v>
      </c>
      <c r="G1478" s="64" t="s">
        <v>8</v>
      </c>
      <c r="H1478" s="78">
        <v>41640</v>
      </c>
      <c r="I1478" s="4" t="s">
        <v>957</v>
      </c>
      <c r="J1478" s="63" t="s">
        <v>1917</v>
      </c>
      <c r="K1478" s="63" t="s">
        <v>961</v>
      </c>
      <c r="L1478" s="69" t="s">
        <v>950</v>
      </c>
      <c r="M1478" s="70">
        <f t="shared" si="230"/>
        <v>9216</v>
      </c>
      <c r="N1478" s="70">
        <f>O1478/F1478</f>
        <v>768</v>
      </c>
      <c r="O1478" s="70">
        <v>9216</v>
      </c>
      <c r="P1478" s="65">
        <v>18410</v>
      </c>
      <c r="Q1478" s="65">
        <f t="shared" si="232"/>
        <v>4050.2</v>
      </c>
      <c r="R1478" s="65">
        <f t="shared" si="233"/>
        <v>22460.2</v>
      </c>
      <c r="S1478" s="267"/>
      <c r="T1478" s="64">
        <v>78</v>
      </c>
      <c r="U1478" s="273" t="s">
        <v>2307</v>
      </c>
      <c r="V1478" s="38">
        <v>20570</v>
      </c>
      <c r="W1478" s="38">
        <f t="shared" si="234"/>
        <v>4525.3999999999996</v>
      </c>
      <c r="X1478" s="38">
        <f t="shared" si="235"/>
        <v>25095.4</v>
      </c>
    </row>
    <row r="1479" spans="1:24" ht="17.25" customHeight="1" x14ac:dyDescent="0.35">
      <c r="A1479" s="56" t="s">
        <v>3698</v>
      </c>
      <c r="B1479" s="2">
        <v>1398</v>
      </c>
      <c r="C1479" s="77">
        <v>10152571</v>
      </c>
      <c r="D1479" s="74" t="s">
        <v>1485</v>
      </c>
      <c r="E1479" s="59" t="s">
        <v>2167</v>
      </c>
      <c r="F1479" s="75">
        <v>500</v>
      </c>
      <c r="G1479" s="64" t="s">
        <v>8</v>
      </c>
      <c r="H1479" s="78">
        <v>41851</v>
      </c>
      <c r="I1479" s="4" t="s">
        <v>957</v>
      </c>
      <c r="J1479" s="63" t="s">
        <v>2221</v>
      </c>
      <c r="K1479" s="63" t="s">
        <v>961</v>
      </c>
      <c r="L1479" s="69" t="s">
        <v>950</v>
      </c>
      <c r="M1479" s="70">
        <f t="shared" si="230"/>
        <v>171315</v>
      </c>
      <c r="N1479" s="70">
        <f>O1479/F1479</f>
        <v>342.63</v>
      </c>
      <c r="O1479" s="70">
        <v>171315</v>
      </c>
      <c r="P1479" s="65">
        <v>322500</v>
      </c>
      <c r="Q1479" s="65">
        <f t="shared" si="232"/>
        <v>70950</v>
      </c>
      <c r="R1479" s="65">
        <f t="shared" si="233"/>
        <v>393450</v>
      </c>
      <c r="S1479" s="272"/>
      <c r="T1479" s="64">
        <v>78</v>
      </c>
      <c r="U1479" s="274"/>
      <c r="V1479" s="38">
        <v>360340</v>
      </c>
      <c r="W1479" s="38">
        <f t="shared" si="234"/>
        <v>79274.8</v>
      </c>
      <c r="X1479" s="38">
        <f t="shared" si="235"/>
        <v>439614.8</v>
      </c>
    </row>
    <row r="1480" spans="1:24" ht="34.5" customHeight="1" x14ac:dyDescent="0.35">
      <c r="A1480" s="56" t="s">
        <v>3699</v>
      </c>
      <c r="B1480" s="2">
        <v>1399</v>
      </c>
      <c r="C1480" s="77">
        <v>10152532</v>
      </c>
      <c r="D1480" s="74" t="s">
        <v>1486</v>
      </c>
      <c r="E1480" s="59" t="s">
        <v>2167</v>
      </c>
      <c r="F1480" s="75">
        <v>195</v>
      </c>
      <c r="G1480" s="64" t="s">
        <v>8</v>
      </c>
      <c r="H1480" s="78">
        <v>42093</v>
      </c>
      <c r="I1480" s="4" t="s">
        <v>957</v>
      </c>
      <c r="J1480" s="63" t="s">
        <v>2222</v>
      </c>
      <c r="K1480" s="63" t="s">
        <v>961</v>
      </c>
      <c r="L1480" s="69" t="s">
        <v>950</v>
      </c>
      <c r="M1480" s="70">
        <f t="shared" si="230"/>
        <v>80925</v>
      </c>
      <c r="N1480" s="70">
        <f>O1480/F1480</f>
        <v>415</v>
      </c>
      <c r="O1480" s="70">
        <v>80925</v>
      </c>
      <c r="P1480" s="65">
        <v>127910</v>
      </c>
      <c r="Q1480" s="65">
        <f t="shared" si="232"/>
        <v>28140.2</v>
      </c>
      <c r="R1480" s="65">
        <f t="shared" si="233"/>
        <v>156050.20000000001</v>
      </c>
      <c r="S1480" s="272"/>
      <c r="T1480" s="64">
        <v>78</v>
      </c>
      <c r="U1480" s="274"/>
      <c r="V1480" s="38">
        <v>142916</v>
      </c>
      <c r="W1480" s="38">
        <f t="shared" si="234"/>
        <v>31441.52</v>
      </c>
      <c r="X1480" s="38">
        <f t="shared" si="235"/>
        <v>174357.52</v>
      </c>
    </row>
    <row r="1481" spans="1:24" ht="32.25" customHeight="1" x14ac:dyDescent="0.35">
      <c r="A1481" s="56" t="s">
        <v>3700</v>
      </c>
      <c r="B1481" s="2">
        <v>1400</v>
      </c>
      <c r="C1481" s="77">
        <v>10100729</v>
      </c>
      <c r="D1481" s="74" t="s">
        <v>1526</v>
      </c>
      <c r="E1481" s="59" t="s">
        <v>2167</v>
      </c>
      <c r="F1481" s="75">
        <v>4</v>
      </c>
      <c r="G1481" s="64" t="s">
        <v>0</v>
      </c>
      <c r="H1481" s="78">
        <v>40179</v>
      </c>
      <c r="I1481" s="4" t="s">
        <v>957</v>
      </c>
      <c r="J1481" s="63" t="s">
        <v>1917</v>
      </c>
      <c r="K1481" s="63" t="s">
        <v>961</v>
      </c>
      <c r="L1481" s="69" t="s">
        <v>950</v>
      </c>
      <c r="M1481" s="70">
        <v>1800</v>
      </c>
      <c r="N1481" s="70">
        <v>450</v>
      </c>
      <c r="O1481" s="70">
        <v>1800</v>
      </c>
      <c r="P1481" s="65">
        <v>4380</v>
      </c>
      <c r="Q1481" s="65">
        <f t="shared" si="232"/>
        <v>963.6</v>
      </c>
      <c r="R1481" s="65">
        <f t="shared" si="233"/>
        <v>5343.6</v>
      </c>
      <c r="S1481" s="272"/>
      <c r="T1481" s="64">
        <v>78</v>
      </c>
      <c r="U1481" s="274"/>
      <c r="V1481" s="38">
        <v>4898</v>
      </c>
      <c r="W1481" s="38">
        <f t="shared" si="234"/>
        <v>1077.56</v>
      </c>
      <c r="X1481" s="38">
        <f t="shared" si="235"/>
        <v>5975.56</v>
      </c>
    </row>
    <row r="1482" spans="1:24" ht="32.25" customHeight="1" x14ac:dyDescent="0.35">
      <c r="A1482" s="56" t="s">
        <v>3701</v>
      </c>
      <c r="B1482" s="2">
        <v>1401</v>
      </c>
      <c r="C1482" s="77">
        <v>10100763</v>
      </c>
      <c r="D1482" s="74" t="s">
        <v>1535</v>
      </c>
      <c r="E1482" s="59" t="s">
        <v>2167</v>
      </c>
      <c r="F1482" s="75">
        <v>200</v>
      </c>
      <c r="G1482" s="64" t="s">
        <v>0</v>
      </c>
      <c r="H1482" s="78">
        <v>40017</v>
      </c>
      <c r="I1482" s="4" t="s">
        <v>957</v>
      </c>
      <c r="J1482" s="63" t="s">
        <v>1917</v>
      </c>
      <c r="K1482" s="63" t="s">
        <v>961</v>
      </c>
      <c r="L1482" s="69" t="s">
        <v>950</v>
      </c>
      <c r="M1482" s="70">
        <f t="shared" ref="M1482:M1539" si="241">O1482</f>
        <v>24368.42</v>
      </c>
      <c r="N1482" s="70">
        <f t="shared" ref="N1482:N1491" si="242">O1482/F1482</f>
        <v>121.84</v>
      </c>
      <c r="O1482" s="70">
        <v>24368.42</v>
      </c>
      <c r="P1482" s="65">
        <v>57590</v>
      </c>
      <c r="Q1482" s="65">
        <f t="shared" si="232"/>
        <v>12669.8</v>
      </c>
      <c r="R1482" s="65">
        <f t="shared" si="233"/>
        <v>70259.8</v>
      </c>
      <c r="S1482" s="272"/>
      <c r="T1482" s="64">
        <v>78</v>
      </c>
      <c r="U1482" s="274"/>
      <c r="V1482" s="38">
        <v>64343</v>
      </c>
      <c r="W1482" s="38">
        <f t="shared" si="234"/>
        <v>14155.46</v>
      </c>
      <c r="X1482" s="38">
        <f t="shared" si="235"/>
        <v>78498.460000000006</v>
      </c>
    </row>
    <row r="1483" spans="1:24" ht="17.25" customHeight="1" x14ac:dyDescent="0.35">
      <c r="A1483" s="56" t="s">
        <v>3702</v>
      </c>
      <c r="B1483" s="2">
        <v>1402</v>
      </c>
      <c r="C1483" s="77">
        <v>10100742</v>
      </c>
      <c r="D1483" s="74" t="s">
        <v>1622</v>
      </c>
      <c r="E1483" s="59" t="s">
        <v>2167</v>
      </c>
      <c r="F1483" s="75">
        <v>54</v>
      </c>
      <c r="G1483" s="64" t="s">
        <v>0</v>
      </c>
      <c r="H1483" s="78">
        <v>39814</v>
      </c>
      <c r="I1483" s="4" t="s">
        <v>957</v>
      </c>
      <c r="J1483" s="63" t="s">
        <v>1917</v>
      </c>
      <c r="K1483" s="63" t="s">
        <v>961</v>
      </c>
      <c r="L1483" s="69" t="s">
        <v>950</v>
      </c>
      <c r="M1483" s="70">
        <f t="shared" si="241"/>
        <v>30900</v>
      </c>
      <c r="N1483" s="70">
        <f t="shared" si="242"/>
        <v>572.22</v>
      </c>
      <c r="O1483" s="70">
        <v>30900</v>
      </c>
      <c r="P1483" s="65">
        <v>75610</v>
      </c>
      <c r="Q1483" s="65">
        <f t="shared" si="232"/>
        <v>16634.2</v>
      </c>
      <c r="R1483" s="65">
        <f t="shared" si="233"/>
        <v>92244.2</v>
      </c>
      <c r="S1483" s="272"/>
      <c r="T1483" s="64">
        <v>78</v>
      </c>
      <c r="U1483" s="274"/>
      <c r="V1483" s="38">
        <v>84479</v>
      </c>
      <c r="W1483" s="38">
        <f t="shared" si="234"/>
        <v>18585.38</v>
      </c>
      <c r="X1483" s="38">
        <f t="shared" si="235"/>
        <v>103064.38</v>
      </c>
    </row>
    <row r="1484" spans="1:24" ht="17.25" customHeight="1" x14ac:dyDescent="0.35">
      <c r="A1484" s="56" t="s">
        <v>3703</v>
      </c>
      <c r="B1484" s="2">
        <v>1403</v>
      </c>
      <c r="C1484" s="77">
        <v>10026762</v>
      </c>
      <c r="D1484" s="74" t="s">
        <v>1650</v>
      </c>
      <c r="E1484" s="59" t="s">
        <v>2167</v>
      </c>
      <c r="F1484" s="75">
        <v>60</v>
      </c>
      <c r="G1484" s="64" t="s">
        <v>0</v>
      </c>
      <c r="H1484" s="78">
        <v>40909</v>
      </c>
      <c r="I1484" s="4" t="s">
        <v>957</v>
      </c>
      <c r="J1484" s="63" t="s">
        <v>1946</v>
      </c>
      <c r="K1484" s="63" t="s">
        <v>961</v>
      </c>
      <c r="L1484" s="69" t="s">
        <v>950</v>
      </c>
      <c r="M1484" s="70">
        <f t="shared" si="241"/>
        <v>23490.6</v>
      </c>
      <c r="N1484" s="70">
        <f t="shared" si="242"/>
        <v>391.51</v>
      </c>
      <c r="O1484" s="70">
        <v>23490.6</v>
      </c>
      <c r="P1484" s="65">
        <v>49770</v>
      </c>
      <c r="Q1484" s="65">
        <f t="shared" si="232"/>
        <v>10949.4</v>
      </c>
      <c r="R1484" s="65">
        <f t="shared" si="233"/>
        <v>60719.4</v>
      </c>
      <c r="S1484" s="272"/>
      <c r="T1484" s="64">
        <v>78</v>
      </c>
      <c r="U1484" s="274"/>
      <c r="V1484" s="38">
        <v>55612</v>
      </c>
      <c r="W1484" s="38">
        <f t="shared" si="234"/>
        <v>12234.64</v>
      </c>
      <c r="X1484" s="38">
        <f t="shared" si="235"/>
        <v>67846.64</v>
      </c>
    </row>
    <row r="1485" spans="1:24" ht="15" customHeight="1" x14ac:dyDescent="0.35">
      <c r="A1485" s="56" t="s">
        <v>3704</v>
      </c>
      <c r="B1485" s="2">
        <v>1404</v>
      </c>
      <c r="C1485" s="77">
        <v>10036872</v>
      </c>
      <c r="D1485" s="74" t="s">
        <v>1651</v>
      </c>
      <c r="E1485" s="59" t="s">
        <v>2167</v>
      </c>
      <c r="F1485" s="75">
        <v>130</v>
      </c>
      <c r="G1485" s="64" t="s">
        <v>0</v>
      </c>
      <c r="H1485" s="78">
        <v>41275</v>
      </c>
      <c r="I1485" s="4" t="s">
        <v>957</v>
      </c>
      <c r="J1485" s="63" t="s">
        <v>1945</v>
      </c>
      <c r="K1485" s="63" t="s">
        <v>961</v>
      </c>
      <c r="L1485" s="69" t="s">
        <v>950</v>
      </c>
      <c r="M1485" s="70">
        <f t="shared" si="241"/>
        <v>74380.800000000003</v>
      </c>
      <c r="N1485" s="70">
        <f t="shared" si="242"/>
        <v>572.16</v>
      </c>
      <c r="O1485" s="70">
        <v>74380.800000000003</v>
      </c>
      <c r="P1485" s="65">
        <v>151970</v>
      </c>
      <c r="Q1485" s="65">
        <f t="shared" si="232"/>
        <v>33433.4</v>
      </c>
      <c r="R1485" s="65">
        <f t="shared" si="233"/>
        <v>185403.4</v>
      </c>
      <c r="S1485" s="272"/>
      <c r="T1485" s="64">
        <v>78</v>
      </c>
      <c r="U1485" s="274"/>
      <c r="V1485" s="38">
        <v>169804</v>
      </c>
      <c r="W1485" s="38">
        <f t="shared" si="234"/>
        <v>37356.879999999997</v>
      </c>
      <c r="X1485" s="38">
        <f t="shared" si="235"/>
        <v>207160.88</v>
      </c>
    </row>
    <row r="1486" spans="1:24" ht="15" customHeight="1" x14ac:dyDescent="0.35">
      <c r="A1486" s="56" t="s">
        <v>3705</v>
      </c>
      <c r="B1486" s="2">
        <v>1405</v>
      </c>
      <c r="C1486" s="77">
        <v>10012146</v>
      </c>
      <c r="D1486" s="74" t="s">
        <v>1652</v>
      </c>
      <c r="E1486" s="59" t="s">
        <v>2167</v>
      </c>
      <c r="F1486" s="75">
        <v>1</v>
      </c>
      <c r="G1486" s="64" t="s">
        <v>0</v>
      </c>
      <c r="H1486" s="78">
        <v>40909</v>
      </c>
      <c r="I1486" s="4" t="s">
        <v>957</v>
      </c>
      <c r="J1486" s="63" t="s">
        <v>1927</v>
      </c>
      <c r="K1486" s="63" t="s">
        <v>961</v>
      </c>
      <c r="L1486" s="69" t="s">
        <v>950</v>
      </c>
      <c r="M1486" s="70">
        <f t="shared" si="241"/>
        <v>1308.6500000000001</v>
      </c>
      <c r="N1486" s="70">
        <f t="shared" si="242"/>
        <v>1308.6500000000001</v>
      </c>
      <c r="O1486" s="70">
        <v>1308.6500000000001</v>
      </c>
      <c r="P1486" s="65">
        <v>2770</v>
      </c>
      <c r="Q1486" s="65">
        <f t="shared" si="232"/>
        <v>609.4</v>
      </c>
      <c r="R1486" s="65">
        <f t="shared" si="233"/>
        <v>3379.4</v>
      </c>
      <c r="S1486" s="272"/>
      <c r="T1486" s="64">
        <v>78</v>
      </c>
      <c r="U1486" s="274"/>
      <c r="V1486" s="38">
        <v>3098</v>
      </c>
      <c r="W1486" s="38">
        <f t="shared" si="234"/>
        <v>681.56</v>
      </c>
      <c r="X1486" s="38">
        <f t="shared" si="235"/>
        <v>3779.56</v>
      </c>
    </row>
    <row r="1487" spans="1:24" ht="15" customHeight="1" x14ac:dyDescent="0.35">
      <c r="A1487" s="56" t="s">
        <v>3706</v>
      </c>
      <c r="B1487" s="2">
        <v>1406</v>
      </c>
      <c r="C1487" s="77">
        <v>10134456</v>
      </c>
      <c r="D1487" s="74" t="s">
        <v>1657</v>
      </c>
      <c r="E1487" s="59" t="s">
        <v>2167</v>
      </c>
      <c r="F1487" s="75">
        <v>7</v>
      </c>
      <c r="G1487" s="64" t="s">
        <v>0</v>
      </c>
      <c r="H1487" s="78">
        <v>41263</v>
      </c>
      <c r="I1487" s="4" t="s">
        <v>957</v>
      </c>
      <c r="J1487" s="63" t="s">
        <v>1917</v>
      </c>
      <c r="K1487" s="63" t="s">
        <v>961</v>
      </c>
      <c r="L1487" s="69" t="s">
        <v>950</v>
      </c>
      <c r="M1487" s="70">
        <f t="shared" si="241"/>
        <v>24292.38</v>
      </c>
      <c r="N1487" s="70">
        <f t="shared" si="242"/>
        <v>3470.34</v>
      </c>
      <c r="O1487" s="70">
        <v>24292.38</v>
      </c>
      <c r="P1487" s="65">
        <v>50460</v>
      </c>
      <c r="Q1487" s="65">
        <f t="shared" si="232"/>
        <v>11101.2</v>
      </c>
      <c r="R1487" s="65">
        <f t="shared" si="233"/>
        <v>61561.2</v>
      </c>
      <c r="S1487" s="272"/>
      <c r="T1487" s="64">
        <v>78</v>
      </c>
      <c r="U1487" s="274"/>
      <c r="V1487" s="38">
        <v>56384</v>
      </c>
      <c r="W1487" s="38">
        <f t="shared" si="234"/>
        <v>12404.48</v>
      </c>
      <c r="X1487" s="38">
        <f t="shared" si="235"/>
        <v>68788.479999999996</v>
      </c>
    </row>
    <row r="1488" spans="1:24" ht="15" customHeight="1" x14ac:dyDescent="0.35">
      <c r="A1488" s="56" t="s">
        <v>3707</v>
      </c>
      <c r="B1488" s="2">
        <v>1407</v>
      </c>
      <c r="C1488" s="77">
        <v>10100844</v>
      </c>
      <c r="D1488" s="74" t="s">
        <v>1683</v>
      </c>
      <c r="E1488" s="59" t="s">
        <v>2167</v>
      </c>
      <c r="F1488" s="75">
        <v>80</v>
      </c>
      <c r="G1488" s="64" t="s">
        <v>0</v>
      </c>
      <c r="H1488" s="78">
        <v>41431</v>
      </c>
      <c r="I1488" s="4" t="s">
        <v>957</v>
      </c>
      <c r="J1488" s="63" t="s">
        <v>1917</v>
      </c>
      <c r="K1488" s="63" t="s">
        <v>961</v>
      </c>
      <c r="L1488" s="69" t="s">
        <v>950</v>
      </c>
      <c r="M1488" s="70">
        <f t="shared" si="241"/>
        <v>11167.57</v>
      </c>
      <c r="N1488" s="70">
        <f t="shared" si="242"/>
        <v>139.59</v>
      </c>
      <c r="O1488" s="70">
        <v>11167.57</v>
      </c>
      <c r="P1488" s="65">
        <v>22780</v>
      </c>
      <c r="Q1488" s="65">
        <f t="shared" si="232"/>
        <v>5011.6000000000004</v>
      </c>
      <c r="R1488" s="65">
        <f t="shared" si="233"/>
        <v>27791.599999999999</v>
      </c>
      <c r="S1488" s="272"/>
      <c r="T1488" s="64">
        <v>78</v>
      </c>
      <c r="U1488" s="274"/>
      <c r="V1488" s="38">
        <v>25453</v>
      </c>
      <c r="W1488" s="38">
        <f t="shared" si="234"/>
        <v>5599.66</v>
      </c>
      <c r="X1488" s="38">
        <f t="shared" si="235"/>
        <v>31052.66</v>
      </c>
    </row>
    <row r="1489" spans="1:24" ht="15" customHeight="1" x14ac:dyDescent="0.35">
      <c r="A1489" s="56" t="s">
        <v>3708</v>
      </c>
      <c r="B1489" s="2">
        <v>1408</v>
      </c>
      <c r="C1489" s="77">
        <v>10017596</v>
      </c>
      <c r="D1489" s="74" t="s">
        <v>1823</v>
      </c>
      <c r="E1489" s="59" t="s">
        <v>2167</v>
      </c>
      <c r="F1489" s="75">
        <f>139-2</f>
        <v>137</v>
      </c>
      <c r="G1489" s="64" t="s">
        <v>0</v>
      </c>
      <c r="H1489" s="78">
        <v>42004</v>
      </c>
      <c r="I1489" s="4" t="s">
        <v>957</v>
      </c>
      <c r="J1489" s="63" t="s">
        <v>1917</v>
      </c>
      <c r="K1489" s="63" t="s">
        <v>961</v>
      </c>
      <c r="L1489" s="69" t="s">
        <v>950</v>
      </c>
      <c r="M1489" s="70">
        <f t="shared" si="241"/>
        <v>59442.07</v>
      </c>
      <c r="N1489" s="70">
        <f t="shared" si="242"/>
        <v>433.88</v>
      </c>
      <c r="O1489" s="70">
        <f>60309.84/139*137</f>
        <v>59442.07</v>
      </c>
      <c r="P1489" s="65">
        <v>98290</v>
      </c>
      <c r="Q1489" s="65">
        <f t="shared" si="232"/>
        <v>21623.8</v>
      </c>
      <c r="R1489" s="65">
        <f t="shared" si="233"/>
        <v>119913.8</v>
      </c>
      <c r="S1489" s="272"/>
      <c r="T1489" s="64">
        <v>78</v>
      </c>
      <c r="U1489" s="274"/>
      <c r="V1489" s="38">
        <v>109823</v>
      </c>
      <c r="W1489" s="38">
        <f t="shared" si="234"/>
        <v>24161.06</v>
      </c>
      <c r="X1489" s="38">
        <f t="shared" si="235"/>
        <v>133984.06</v>
      </c>
    </row>
    <row r="1490" spans="1:24" ht="15" customHeight="1" x14ac:dyDescent="0.35">
      <c r="A1490" s="56" t="s">
        <v>3709</v>
      </c>
      <c r="B1490" s="2">
        <v>1409</v>
      </c>
      <c r="C1490" s="11">
        <v>10149102</v>
      </c>
      <c r="D1490" s="3" t="s">
        <v>1393</v>
      </c>
      <c r="E1490" s="59" t="s">
        <v>2167</v>
      </c>
      <c r="F1490" s="14">
        <v>6</v>
      </c>
      <c r="G1490" s="64" t="s">
        <v>0</v>
      </c>
      <c r="H1490" s="5">
        <v>41456</v>
      </c>
      <c r="I1490" s="4" t="s">
        <v>957</v>
      </c>
      <c r="J1490" s="6" t="s">
        <v>1410</v>
      </c>
      <c r="K1490" s="63" t="s">
        <v>961</v>
      </c>
      <c r="L1490" s="69" t="s">
        <v>950</v>
      </c>
      <c r="M1490" s="70">
        <f t="shared" si="241"/>
        <v>1546.26</v>
      </c>
      <c r="N1490" s="70">
        <f t="shared" si="242"/>
        <v>257.70999999999998</v>
      </c>
      <c r="O1490" s="70">
        <v>1546.26</v>
      </c>
      <c r="P1490" s="65">
        <v>3050</v>
      </c>
      <c r="Q1490" s="65">
        <f t="shared" si="232"/>
        <v>671</v>
      </c>
      <c r="R1490" s="65">
        <f t="shared" si="233"/>
        <v>3721</v>
      </c>
      <c r="S1490" s="272"/>
      <c r="T1490" s="64">
        <v>78</v>
      </c>
      <c r="U1490" s="274"/>
      <c r="V1490" s="38">
        <v>3412</v>
      </c>
      <c r="W1490" s="38">
        <f t="shared" si="234"/>
        <v>750.64</v>
      </c>
      <c r="X1490" s="38">
        <f t="shared" si="235"/>
        <v>4162.6400000000003</v>
      </c>
    </row>
    <row r="1491" spans="1:24" ht="15" customHeight="1" x14ac:dyDescent="0.35">
      <c r="A1491" s="56" t="s">
        <v>3710</v>
      </c>
      <c r="B1491" s="2">
        <v>1410</v>
      </c>
      <c r="C1491" s="11">
        <v>10149113</v>
      </c>
      <c r="D1491" s="3" t="s">
        <v>1399</v>
      </c>
      <c r="E1491" s="59" t="s">
        <v>2167</v>
      </c>
      <c r="F1491" s="14">
        <v>351</v>
      </c>
      <c r="G1491" s="64" t="s">
        <v>0</v>
      </c>
      <c r="H1491" s="5">
        <v>41548</v>
      </c>
      <c r="I1491" s="4" t="s">
        <v>957</v>
      </c>
      <c r="J1491" s="6" t="s">
        <v>1365</v>
      </c>
      <c r="K1491" s="63" t="s">
        <v>961</v>
      </c>
      <c r="L1491" s="69" t="s">
        <v>950</v>
      </c>
      <c r="M1491" s="70">
        <f t="shared" si="241"/>
        <v>58153.68</v>
      </c>
      <c r="N1491" s="70">
        <f t="shared" si="242"/>
        <v>165.68</v>
      </c>
      <c r="O1491" s="70">
        <v>58153.68</v>
      </c>
      <c r="P1491" s="65">
        <v>115390</v>
      </c>
      <c r="Q1491" s="65">
        <f t="shared" si="232"/>
        <v>25385.8</v>
      </c>
      <c r="R1491" s="65">
        <f t="shared" si="233"/>
        <v>140775.79999999999</v>
      </c>
      <c r="S1491" s="276"/>
      <c r="T1491" s="64">
        <v>78</v>
      </c>
      <c r="U1491" s="274"/>
      <c r="V1491" s="38">
        <v>128931</v>
      </c>
      <c r="W1491" s="38">
        <f t="shared" si="234"/>
        <v>28364.82</v>
      </c>
      <c r="X1491" s="38">
        <f t="shared" si="235"/>
        <v>157295.82</v>
      </c>
    </row>
    <row r="1492" spans="1:24" ht="15" customHeight="1" x14ac:dyDescent="0.35">
      <c r="A1492" s="56"/>
      <c r="B1492" s="15"/>
      <c r="C1492" s="11"/>
      <c r="D1492" s="3"/>
      <c r="E1492" s="59"/>
      <c r="F1492" s="14"/>
      <c r="G1492" s="64"/>
      <c r="H1492" s="5"/>
      <c r="I1492" s="4"/>
      <c r="J1492" s="6"/>
      <c r="K1492" s="63"/>
      <c r="L1492" s="69"/>
      <c r="M1492" s="70"/>
      <c r="N1492" s="70"/>
      <c r="O1492" s="71">
        <f>SUM(O1478:O1491)</f>
        <v>572306.43000000005</v>
      </c>
      <c r="P1492" s="71">
        <f t="shared" ref="P1492:R1492" si="243">SUM(P1478:P1491)</f>
        <v>1100880</v>
      </c>
      <c r="Q1492" s="71">
        <f t="shared" si="243"/>
        <v>242193.6</v>
      </c>
      <c r="R1492" s="71">
        <f t="shared" si="243"/>
        <v>1343073.6</v>
      </c>
      <c r="S1492" s="72">
        <f>R1492/100*10</f>
        <v>134307.35999999999</v>
      </c>
      <c r="T1492" s="73">
        <v>78</v>
      </c>
      <c r="U1492" s="275"/>
      <c r="V1492" s="38"/>
      <c r="W1492" s="38"/>
      <c r="X1492" s="38"/>
    </row>
    <row r="1493" spans="1:24" ht="15" customHeight="1" x14ac:dyDescent="0.35">
      <c r="A1493" s="56" t="s">
        <v>3711</v>
      </c>
      <c r="B1493" s="2">
        <v>1411</v>
      </c>
      <c r="C1493" s="77">
        <v>10127893</v>
      </c>
      <c r="D1493" s="74" t="s">
        <v>150</v>
      </c>
      <c r="E1493" s="74" t="s">
        <v>2163</v>
      </c>
      <c r="F1493" s="75">
        <v>5</v>
      </c>
      <c r="G1493" s="64" t="s">
        <v>0</v>
      </c>
      <c r="H1493" s="101" t="s">
        <v>2145</v>
      </c>
      <c r="I1493" s="61" t="s">
        <v>2158</v>
      </c>
      <c r="J1493" s="63" t="s">
        <v>1917</v>
      </c>
      <c r="K1493" s="61" t="s">
        <v>961</v>
      </c>
      <c r="L1493" s="69" t="s">
        <v>2093</v>
      </c>
      <c r="M1493" s="70">
        <f t="shared" si="241"/>
        <v>9329.25</v>
      </c>
      <c r="N1493" s="70">
        <f t="shared" ref="N1493:N1506" si="244">O1493/F1493</f>
        <v>1865.85</v>
      </c>
      <c r="O1493" s="70">
        <v>9329.25</v>
      </c>
      <c r="P1493" s="65">
        <v>12220</v>
      </c>
      <c r="Q1493" s="65">
        <f t="shared" si="232"/>
        <v>2688.4</v>
      </c>
      <c r="R1493" s="65">
        <f t="shared" si="233"/>
        <v>14908.4</v>
      </c>
      <c r="S1493" s="267"/>
      <c r="T1493" s="64">
        <v>79</v>
      </c>
      <c r="U1493" s="273" t="s">
        <v>2307</v>
      </c>
      <c r="V1493" s="38">
        <v>13649</v>
      </c>
      <c r="W1493" s="38">
        <f t="shared" si="234"/>
        <v>3002.78</v>
      </c>
      <c r="X1493" s="38">
        <f t="shared" si="235"/>
        <v>16651.78</v>
      </c>
    </row>
    <row r="1494" spans="1:24" ht="15" customHeight="1" x14ac:dyDescent="0.35">
      <c r="A1494" s="56" t="s">
        <v>3712</v>
      </c>
      <c r="B1494" s="2">
        <v>1412</v>
      </c>
      <c r="C1494" s="74">
        <v>10152488</v>
      </c>
      <c r="D1494" s="74" t="s">
        <v>2194</v>
      </c>
      <c r="E1494" s="74" t="s">
        <v>2195</v>
      </c>
      <c r="F1494" s="79">
        <v>130</v>
      </c>
      <c r="G1494" s="75" t="s">
        <v>8</v>
      </c>
      <c r="H1494" s="61">
        <v>42698</v>
      </c>
      <c r="I1494" s="59" t="s">
        <v>958</v>
      </c>
      <c r="J1494" s="63" t="s">
        <v>1917</v>
      </c>
      <c r="K1494" s="63" t="s">
        <v>961</v>
      </c>
      <c r="L1494" s="88" t="s">
        <v>845</v>
      </c>
      <c r="M1494" s="76">
        <f t="shared" si="241"/>
        <v>317237.69</v>
      </c>
      <c r="N1494" s="76">
        <f t="shared" si="244"/>
        <v>2440.29</v>
      </c>
      <c r="O1494" s="76">
        <v>317237.69</v>
      </c>
      <c r="P1494" s="65">
        <v>254600</v>
      </c>
      <c r="Q1494" s="65">
        <f t="shared" si="232"/>
        <v>56012</v>
      </c>
      <c r="R1494" s="65">
        <f t="shared" si="233"/>
        <v>310612</v>
      </c>
      <c r="S1494" s="272"/>
      <c r="T1494" s="64">
        <v>79</v>
      </c>
      <c r="U1494" s="274"/>
      <c r="V1494" s="38">
        <v>284473</v>
      </c>
      <c r="W1494" s="38">
        <f t="shared" si="234"/>
        <v>62584.06</v>
      </c>
      <c r="X1494" s="38">
        <f t="shared" si="235"/>
        <v>347057.06</v>
      </c>
    </row>
    <row r="1495" spans="1:24" ht="15" customHeight="1" x14ac:dyDescent="0.35">
      <c r="A1495" s="56" t="s">
        <v>3713</v>
      </c>
      <c r="B1495" s="2">
        <v>1413</v>
      </c>
      <c r="C1495" s="77">
        <v>10016542</v>
      </c>
      <c r="D1495" s="74" t="s">
        <v>1262</v>
      </c>
      <c r="E1495" s="74" t="s">
        <v>2162</v>
      </c>
      <c r="F1495" s="75">
        <v>2</v>
      </c>
      <c r="G1495" s="64" t="s">
        <v>0</v>
      </c>
      <c r="H1495" s="61">
        <v>42004</v>
      </c>
      <c r="I1495" s="61" t="s">
        <v>2158</v>
      </c>
      <c r="J1495" s="63" t="s">
        <v>1917</v>
      </c>
      <c r="K1495" s="101" t="s">
        <v>961</v>
      </c>
      <c r="L1495" s="88" t="s">
        <v>845</v>
      </c>
      <c r="M1495" s="76">
        <f t="shared" si="241"/>
        <v>3114.82</v>
      </c>
      <c r="N1495" s="76">
        <f t="shared" si="244"/>
        <v>1557.41</v>
      </c>
      <c r="O1495" s="76">
        <v>3114.82</v>
      </c>
      <c r="P1495" s="65">
        <v>3030</v>
      </c>
      <c r="Q1495" s="65">
        <f t="shared" si="232"/>
        <v>666.6</v>
      </c>
      <c r="R1495" s="65">
        <f t="shared" si="233"/>
        <v>3696.6</v>
      </c>
      <c r="S1495" s="272"/>
      <c r="T1495" s="64">
        <v>79</v>
      </c>
      <c r="U1495" s="274"/>
      <c r="V1495" s="38">
        <v>3385</v>
      </c>
      <c r="W1495" s="38">
        <f t="shared" si="234"/>
        <v>744.7</v>
      </c>
      <c r="X1495" s="38">
        <f t="shared" si="235"/>
        <v>4129.7</v>
      </c>
    </row>
    <row r="1496" spans="1:24" ht="15" customHeight="1" x14ac:dyDescent="0.35">
      <c r="A1496" s="56" t="s">
        <v>3714</v>
      </c>
      <c r="B1496" s="2">
        <v>1414</v>
      </c>
      <c r="C1496" s="77">
        <v>10015213</v>
      </c>
      <c r="D1496" s="74" t="s">
        <v>1263</v>
      </c>
      <c r="E1496" s="74" t="s">
        <v>2162</v>
      </c>
      <c r="F1496" s="75">
        <v>3</v>
      </c>
      <c r="G1496" s="64" t="s">
        <v>0</v>
      </c>
      <c r="H1496" s="61">
        <v>42004</v>
      </c>
      <c r="I1496" s="61" t="s">
        <v>2158</v>
      </c>
      <c r="J1496" s="63" t="s">
        <v>1917</v>
      </c>
      <c r="K1496" s="101" t="s">
        <v>961</v>
      </c>
      <c r="L1496" s="88" t="s">
        <v>845</v>
      </c>
      <c r="M1496" s="76">
        <f t="shared" si="241"/>
        <v>3226.11</v>
      </c>
      <c r="N1496" s="76">
        <f t="shared" si="244"/>
        <v>1075.3699999999999</v>
      </c>
      <c r="O1496" s="76">
        <v>3226.11</v>
      </c>
      <c r="P1496" s="65">
        <v>3140</v>
      </c>
      <c r="Q1496" s="65">
        <f t="shared" si="232"/>
        <v>690.8</v>
      </c>
      <c r="R1496" s="65">
        <f t="shared" si="233"/>
        <v>3830.8</v>
      </c>
      <c r="S1496" s="272"/>
      <c r="T1496" s="64">
        <v>79</v>
      </c>
      <c r="U1496" s="274"/>
      <c r="V1496" s="38">
        <v>3506</v>
      </c>
      <c r="W1496" s="38">
        <f t="shared" si="234"/>
        <v>771.32</v>
      </c>
      <c r="X1496" s="38">
        <f t="shared" si="235"/>
        <v>4277.32</v>
      </c>
    </row>
    <row r="1497" spans="1:24" ht="15" customHeight="1" x14ac:dyDescent="0.35">
      <c r="A1497" s="56" t="s">
        <v>3715</v>
      </c>
      <c r="B1497" s="2">
        <v>1415</v>
      </c>
      <c r="C1497" s="77">
        <v>10007328</v>
      </c>
      <c r="D1497" s="74" t="s">
        <v>1264</v>
      </c>
      <c r="E1497" s="74" t="s">
        <v>2162</v>
      </c>
      <c r="F1497" s="75">
        <v>4</v>
      </c>
      <c r="G1497" s="64" t="s">
        <v>0</v>
      </c>
      <c r="H1497" s="61">
        <v>42004</v>
      </c>
      <c r="I1497" s="61" t="s">
        <v>2158</v>
      </c>
      <c r="J1497" s="63" t="s">
        <v>1917</v>
      </c>
      <c r="K1497" s="101" t="s">
        <v>961</v>
      </c>
      <c r="L1497" s="88" t="s">
        <v>845</v>
      </c>
      <c r="M1497" s="76">
        <f t="shared" si="241"/>
        <v>6683</v>
      </c>
      <c r="N1497" s="76">
        <f t="shared" si="244"/>
        <v>1670.75</v>
      </c>
      <c r="O1497" s="76">
        <v>6683</v>
      </c>
      <c r="P1497" s="65">
        <v>6500</v>
      </c>
      <c r="Q1497" s="65">
        <f t="shared" si="232"/>
        <v>1430</v>
      </c>
      <c r="R1497" s="65">
        <f t="shared" si="233"/>
        <v>7930</v>
      </c>
      <c r="S1497" s="272"/>
      <c r="T1497" s="64">
        <v>79</v>
      </c>
      <c r="U1497" s="274"/>
      <c r="V1497" s="38">
        <v>7263</v>
      </c>
      <c r="W1497" s="38">
        <f t="shared" si="234"/>
        <v>1597.86</v>
      </c>
      <c r="X1497" s="38">
        <f t="shared" si="235"/>
        <v>8860.86</v>
      </c>
    </row>
    <row r="1498" spans="1:24" ht="15" customHeight="1" x14ac:dyDescent="0.35">
      <c r="A1498" s="56" t="s">
        <v>3716</v>
      </c>
      <c r="B1498" s="2">
        <v>1416</v>
      </c>
      <c r="C1498" s="77">
        <v>10007329</v>
      </c>
      <c r="D1498" s="74" t="s">
        <v>1265</v>
      </c>
      <c r="E1498" s="74" t="s">
        <v>2162</v>
      </c>
      <c r="F1498" s="75">
        <v>5</v>
      </c>
      <c r="G1498" s="64" t="s">
        <v>0</v>
      </c>
      <c r="H1498" s="61">
        <v>42004</v>
      </c>
      <c r="I1498" s="61" t="s">
        <v>2158</v>
      </c>
      <c r="J1498" s="63" t="s">
        <v>1917</v>
      </c>
      <c r="K1498" s="101" t="s">
        <v>961</v>
      </c>
      <c r="L1498" s="88" t="s">
        <v>845</v>
      </c>
      <c r="M1498" s="76">
        <f t="shared" si="241"/>
        <v>7355.93</v>
      </c>
      <c r="N1498" s="76">
        <f t="shared" si="244"/>
        <v>1471.19</v>
      </c>
      <c r="O1498" s="76">
        <v>7355.93</v>
      </c>
      <c r="P1498" s="65">
        <v>7160</v>
      </c>
      <c r="Q1498" s="65">
        <f t="shared" si="232"/>
        <v>1575.2</v>
      </c>
      <c r="R1498" s="65">
        <f t="shared" si="233"/>
        <v>8735.2000000000007</v>
      </c>
      <c r="S1498" s="272"/>
      <c r="T1498" s="64">
        <v>79</v>
      </c>
      <c r="U1498" s="274"/>
      <c r="V1498" s="38">
        <v>7994</v>
      </c>
      <c r="W1498" s="38">
        <f t="shared" si="234"/>
        <v>1758.68</v>
      </c>
      <c r="X1498" s="38">
        <f t="shared" si="235"/>
        <v>9752.68</v>
      </c>
    </row>
    <row r="1499" spans="1:24" ht="15" customHeight="1" x14ac:dyDescent="0.35">
      <c r="A1499" s="56" t="s">
        <v>3717</v>
      </c>
      <c r="B1499" s="2">
        <v>1417</v>
      </c>
      <c r="C1499" s="77">
        <v>10007332</v>
      </c>
      <c r="D1499" s="74" t="s">
        <v>1266</v>
      </c>
      <c r="E1499" s="74" t="s">
        <v>2160</v>
      </c>
      <c r="F1499" s="75">
        <f>10-4</f>
        <v>6</v>
      </c>
      <c r="G1499" s="64" t="s">
        <v>0</v>
      </c>
      <c r="H1499" s="61">
        <v>42004</v>
      </c>
      <c r="I1499" s="61" t="s">
        <v>2158</v>
      </c>
      <c r="J1499" s="63" t="s">
        <v>1917</v>
      </c>
      <c r="K1499" s="101" t="s">
        <v>961</v>
      </c>
      <c r="L1499" s="88" t="s">
        <v>845</v>
      </c>
      <c r="M1499" s="76">
        <f t="shared" si="241"/>
        <v>8827.1200000000008</v>
      </c>
      <c r="N1499" s="76">
        <f t="shared" si="244"/>
        <v>1471.19</v>
      </c>
      <c r="O1499" s="76">
        <f>14711.86/10*6</f>
        <v>8827.1200000000008</v>
      </c>
      <c r="P1499" s="65">
        <v>8590</v>
      </c>
      <c r="Q1499" s="65">
        <f t="shared" si="232"/>
        <v>1889.8</v>
      </c>
      <c r="R1499" s="65">
        <f t="shared" si="233"/>
        <v>10479.799999999999</v>
      </c>
      <c r="S1499" s="272"/>
      <c r="T1499" s="64">
        <v>79</v>
      </c>
      <c r="U1499" s="274"/>
      <c r="V1499" s="38">
        <v>9593</v>
      </c>
      <c r="W1499" s="38">
        <f t="shared" si="234"/>
        <v>2110.46</v>
      </c>
      <c r="X1499" s="38">
        <f t="shared" si="235"/>
        <v>11703.46</v>
      </c>
    </row>
    <row r="1500" spans="1:24" ht="15" customHeight="1" x14ac:dyDescent="0.35">
      <c r="A1500" s="56" t="s">
        <v>3718</v>
      </c>
      <c r="B1500" s="2">
        <v>1418</v>
      </c>
      <c r="C1500" s="77">
        <v>10007332</v>
      </c>
      <c r="D1500" s="74" t="s">
        <v>1266</v>
      </c>
      <c r="E1500" s="74" t="s">
        <v>2162</v>
      </c>
      <c r="F1500" s="75">
        <v>25</v>
      </c>
      <c r="G1500" s="64" t="s">
        <v>0</v>
      </c>
      <c r="H1500" s="61">
        <v>42004</v>
      </c>
      <c r="I1500" s="61" t="s">
        <v>2158</v>
      </c>
      <c r="J1500" s="63" t="s">
        <v>1917</v>
      </c>
      <c r="K1500" s="101" t="s">
        <v>961</v>
      </c>
      <c r="L1500" s="88" t="s">
        <v>845</v>
      </c>
      <c r="M1500" s="76">
        <f t="shared" si="241"/>
        <v>36779.65</v>
      </c>
      <c r="N1500" s="76">
        <f t="shared" si="244"/>
        <v>1471.19</v>
      </c>
      <c r="O1500" s="76">
        <v>36779.65</v>
      </c>
      <c r="P1500" s="65">
        <v>35780</v>
      </c>
      <c r="Q1500" s="65">
        <f t="shared" si="232"/>
        <v>7871.6</v>
      </c>
      <c r="R1500" s="65">
        <f t="shared" si="233"/>
        <v>43651.6</v>
      </c>
      <c r="S1500" s="272"/>
      <c r="T1500" s="64">
        <v>79</v>
      </c>
      <c r="U1500" s="274"/>
      <c r="V1500" s="38">
        <v>39972</v>
      </c>
      <c r="W1500" s="38">
        <f t="shared" si="234"/>
        <v>8793.84</v>
      </c>
      <c r="X1500" s="38">
        <f t="shared" si="235"/>
        <v>48765.84</v>
      </c>
    </row>
    <row r="1501" spans="1:24" ht="15" customHeight="1" x14ac:dyDescent="0.35">
      <c r="A1501" s="56" t="s">
        <v>3719</v>
      </c>
      <c r="B1501" s="2">
        <v>1419</v>
      </c>
      <c r="C1501" s="77">
        <v>10152487</v>
      </c>
      <c r="D1501" s="74" t="s">
        <v>124</v>
      </c>
      <c r="E1501" s="59" t="s">
        <v>2167</v>
      </c>
      <c r="F1501" s="75">
        <v>195</v>
      </c>
      <c r="G1501" s="64" t="s">
        <v>8</v>
      </c>
      <c r="H1501" s="101">
        <v>2014</v>
      </c>
      <c r="I1501" s="4" t="s">
        <v>957</v>
      </c>
      <c r="J1501" s="108" t="s">
        <v>2233</v>
      </c>
      <c r="K1501" s="101" t="s">
        <v>2011</v>
      </c>
      <c r="L1501" s="61" t="s">
        <v>2097</v>
      </c>
      <c r="M1501" s="65">
        <f t="shared" si="241"/>
        <v>152322.85999999999</v>
      </c>
      <c r="N1501" s="65">
        <f t="shared" si="244"/>
        <v>781.14</v>
      </c>
      <c r="O1501" s="65">
        <v>152322.85999999999</v>
      </c>
      <c r="P1501" s="65">
        <v>244580</v>
      </c>
      <c r="Q1501" s="65">
        <f t="shared" si="232"/>
        <v>53807.6</v>
      </c>
      <c r="R1501" s="65">
        <f t="shared" si="233"/>
        <v>298387.59999999998</v>
      </c>
      <c r="S1501" s="272"/>
      <c r="T1501" s="64">
        <v>79</v>
      </c>
      <c r="U1501" s="274"/>
      <c r="V1501" s="38">
        <v>273276</v>
      </c>
      <c r="W1501" s="38">
        <f t="shared" si="234"/>
        <v>60120.72</v>
      </c>
      <c r="X1501" s="38">
        <f t="shared" si="235"/>
        <v>333396.71999999997</v>
      </c>
    </row>
    <row r="1502" spans="1:24" ht="15" customHeight="1" x14ac:dyDescent="0.35">
      <c r="A1502" s="56" t="s">
        <v>3720</v>
      </c>
      <c r="B1502" s="2">
        <v>1420</v>
      </c>
      <c r="C1502" s="77">
        <v>10009783</v>
      </c>
      <c r="D1502" s="74" t="s">
        <v>80</v>
      </c>
      <c r="E1502" s="59" t="s">
        <v>2167</v>
      </c>
      <c r="F1502" s="75">
        <f>8-1</f>
        <v>7</v>
      </c>
      <c r="G1502" s="64" t="s">
        <v>0</v>
      </c>
      <c r="H1502" s="101">
        <v>2014</v>
      </c>
      <c r="I1502" s="4" t="s">
        <v>957</v>
      </c>
      <c r="J1502" s="61" t="s">
        <v>1917</v>
      </c>
      <c r="K1502" s="101" t="s">
        <v>2032</v>
      </c>
      <c r="L1502" s="61" t="s">
        <v>2097</v>
      </c>
      <c r="M1502" s="65">
        <f t="shared" si="241"/>
        <v>5258.4</v>
      </c>
      <c r="N1502" s="65">
        <f t="shared" si="244"/>
        <v>751.2</v>
      </c>
      <c r="O1502" s="65">
        <f>6009.6/8*7</f>
        <v>5258.4</v>
      </c>
      <c r="P1502" s="65">
        <v>8440</v>
      </c>
      <c r="Q1502" s="65">
        <f t="shared" si="232"/>
        <v>1856.8</v>
      </c>
      <c r="R1502" s="65">
        <f t="shared" si="233"/>
        <v>10296.799999999999</v>
      </c>
      <c r="S1502" s="272"/>
      <c r="T1502" s="64">
        <v>79</v>
      </c>
      <c r="U1502" s="274"/>
      <c r="V1502" s="38">
        <v>9434</v>
      </c>
      <c r="W1502" s="38">
        <f t="shared" si="234"/>
        <v>2075.48</v>
      </c>
      <c r="X1502" s="38">
        <f t="shared" si="235"/>
        <v>11509.48</v>
      </c>
    </row>
    <row r="1503" spans="1:24" ht="15" customHeight="1" x14ac:dyDescent="0.35">
      <c r="A1503" s="56" t="s">
        <v>3721</v>
      </c>
      <c r="B1503" s="2">
        <v>1421</v>
      </c>
      <c r="C1503" s="77">
        <v>10009802</v>
      </c>
      <c r="D1503" s="74" t="s">
        <v>104</v>
      </c>
      <c r="E1503" s="59" t="s">
        <v>2167</v>
      </c>
      <c r="F1503" s="75">
        <v>50</v>
      </c>
      <c r="G1503" s="64" t="s">
        <v>0</v>
      </c>
      <c r="H1503" s="101">
        <v>2014</v>
      </c>
      <c r="I1503" s="4" t="s">
        <v>957</v>
      </c>
      <c r="J1503" s="115" t="s">
        <v>2208</v>
      </c>
      <c r="K1503" s="101" t="s">
        <v>2040</v>
      </c>
      <c r="L1503" s="61" t="s">
        <v>2097</v>
      </c>
      <c r="M1503" s="65">
        <f t="shared" si="241"/>
        <v>39343.68</v>
      </c>
      <c r="N1503" s="65">
        <f t="shared" si="244"/>
        <v>786.87</v>
      </c>
      <c r="O1503" s="65">
        <v>39343.68</v>
      </c>
      <c r="P1503" s="65">
        <v>63170</v>
      </c>
      <c r="Q1503" s="65">
        <f t="shared" si="232"/>
        <v>13897.4</v>
      </c>
      <c r="R1503" s="65">
        <f t="shared" si="233"/>
        <v>77067.399999999994</v>
      </c>
      <c r="S1503" s="272"/>
      <c r="T1503" s="64">
        <v>79</v>
      </c>
      <c r="U1503" s="274"/>
      <c r="V1503" s="38">
        <v>70585</v>
      </c>
      <c r="W1503" s="38">
        <f t="shared" si="234"/>
        <v>15528.7</v>
      </c>
      <c r="X1503" s="38">
        <f t="shared" si="235"/>
        <v>86113.7</v>
      </c>
    </row>
    <row r="1504" spans="1:24" ht="15" customHeight="1" x14ac:dyDescent="0.35">
      <c r="A1504" s="56" t="s">
        <v>3722</v>
      </c>
      <c r="B1504" s="2">
        <v>1422</v>
      </c>
      <c r="C1504" s="77">
        <v>10045989</v>
      </c>
      <c r="D1504" s="74" t="s">
        <v>118</v>
      </c>
      <c r="E1504" s="74" t="s">
        <v>2167</v>
      </c>
      <c r="F1504" s="75">
        <f>119-50</f>
        <v>69</v>
      </c>
      <c r="G1504" s="64" t="s">
        <v>0</v>
      </c>
      <c r="H1504" s="101">
        <v>2014</v>
      </c>
      <c r="I1504" s="4" t="s">
        <v>957</v>
      </c>
      <c r="J1504" s="61" t="s">
        <v>1917</v>
      </c>
      <c r="K1504" s="101" t="s">
        <v>2047</v>
      </c>
      <c r="L1504" s="61" t="s">
        <v>2097</v>
      </c>
      <c r="M1504" s="65">
        <f t="shared" si="241"/>
        <v>14681.13</v>
      </c>
      <c r="N1504" s="65">
        <f t="shared" si="244"/>
        <v>212.77</v>
      </c>
      <c r="O1504" s="65">
        <f>25319.63/119*69</f>
        <v>14681.13</v>
      </c>
      <c r="P1504" s="65">
        <v>20100</v>
      </c>
      <c r="Q1504" s="65">
        <f t="shared" si="232"/>
        <v>4422</v>
      </c>
      <c r="R1504" s="65">
        <f t="shared" si="233"/>
        <v>24522</v>
      </c>
      <c r="S1504" s="272"/>
      <c r="T1504" s="64">
        <v>79</v>
      </c>
      <c r="U1504" s="274"/>
      <c r="V1504" s="38">
        <v>22454</v>
      </c>
      <c r="W1504" s="38">
        <f t="shared" si="234"/>
        <v>4939.88</v>
      </c>
      <c r="X1504" s="38">
        <f t="shared" si="235"/>
        <v>27393.88</v>
      </c>
    </row>
    <row r="1505" spans="1:24" ht="15" customHeight="1" x14ac:dyDescent="0.35">
      <c r="A1505" s="56" t="s">
        <v>3723</v>
      </c>
      <c r="B1505" s="2">
        <v>1423</v>
      </c>
      <c r="C1505" s="77">
        <v>10028533</v>
      </c>
      <c r="D1505" s="74" t="s">
        <v>122</v>
      </c>
      <c r="E1505" s="74" t="s">
        <v>2167</v>
      </c>
      <c r="F1505" s="75">
        <v>164</v>
      </c>
      <c r="G1505" s="64" t="s">
        <v>0</v>
      </c>
      <c r="H1505" s="101">
        <v>2014</v>
      </c>
      <c r="I1505" s="4" t="s">
        <v>957</v>
      </c>
      <c r="J1505" s="61" t="s">
        <v>1917</v>
      </c>
      <c r="K1505" s="101" t="s">
        <v>2049</v>
      </c>
      <c r="L1505" s="61" t="s">
        <v>2097</v>
      </c>
      <c r="M1505" s="65">
        <f t="shared" si="241"/>
        <v>5644.11</v>
      </c>
      <c r="N1505" s="65">
        <f t="shared" si="244"/>
        <v>34.42</v>
      </c>
      <c r="O1505" s="65">
        <v>5644.11</v>
      </c>
      <c r="P1505" s="65">
        <v>7730</v>
      </c>
      <c r="Q1505" s="65">
        <f t="shared" si="232"/>
        <v>1700.6</v>
      </c>
      <c r="R1505" s="65">
        <f t="shared" si="233"/>
        <v>9430.6</v>
      </c>
      <c r="S1505" s="272"/>
      <c r="T1505" s="64">
        <v>79</v>
      </c>
      <c r="U1505" s="274"/>
      <c r="V1505" s="38">
        <v>8632</v>
      </c>
      <c r="W1505" s="38">
        <f t="shared" si="234"/>
        <v>1899.04</v>
      </c>
      <c r="X1505" s="38">
        <f t="shared" si="235"/>
        <v>10531.04</v>
      </c>
    </row>
    <row r="1506" spans="1:24" ht="15" customHeight="1" x14ac:dyDescent="0.35">
      <c r="A1506" s="56" t="s">
        <v>3724</v>
      </c>
      <c r="B1506" s="2">
        <v>1424</v>
      </c>
      <c r="C1506" s="77">
        <v>10037331</v>
      </c>
      <c r="D1506" s="74" t="s">
        <v>138</v>
      </c>
      <c r="E1506" s="74" t="s">
        <v>2167</v>
      </c>
      <c r="F1506" s="197">
        <v>1086</v>
      </c>
      <c r="G1506" s="64" t="s">
        <v>0</v>
      </c>
      <c r="H1506" s="101">
        <v>2014</v>
      </c>
      <c r="I1506" s="4" t="s">
        <v>957</v>
      </c>
      <c r="J1506" s="61" t="s">
        <v>1917</v>
      </c>
      <c r="K1506" s="101" t="s">
        <v>961</v>
      </c>
      <c r="L1506" s="61" t="s">
        <v>2097</v>
      </c>
      <c r="M1506" s="65">
        <f t="shared" si="241"/>
        <v>33752.879999999997</v>
      </c>
      <c r="N1506" s="65">
        <f t="shared" si="244"/>
        <v>31.08</v>
      </c>
      <c r="O1506" s="65">
        <v>33752.879999999997</v>
      </c>
      <c r="P1506" s="65">
        <v>46200</v>
      </c>
      <c r="Q1506" s="65">
        <f t="shared" si="232"/>
        <v>10164</v>
      </c>
      <c r="R1506" s="65">
        <f t="shared" si="233"/>
        <v>56364</v>
      </c>
      <c r="S1506" s="276"/>
      <c r="T1506" s="64">
        <v>79</v>
      </c>
      <c r="U1506" s="274"/>
      <c r="V1506" s="38">
        <v>51623</v>
      </c>
      <c r="W1506" s="38">
        <f t="shared" si="234"/>
        <v>11357.06</v>
      </c>
      <c r="X1506" s="38">
        <f t="shared" si="235"/>
        <v>62980.06</v>
      </c>
    </row>
    <row r="1507" spans="1:24" ht="15" customHeight="1" x14ac:dyDescent="0.35">
      <c r="A1507" s="56"/>
      <c r="B1507" s="15"/>
      <c r="C1507" s="77"/>
      <c r="D1507" s="74"/>
      <c r="E1507" s="74"/>
      <c r="F1507" s="75"/>
      <c r="G1507" s="64"/>
      <c r="H1507" s="101"/>
      <c r="I1507" s="4"/>
      <c r="J1507" s="61"/>
      <c r="K1507" s="101"/>
      <c r="L1507" s="61"/>
      <c r="M1507" s="65"/>
      <c r="N1507" s="65"/>
      <c r="O1507" s="126">
        <f>SUM(O1493:O1506)</f>
        <v>643556.63</v>
      </c>
      <c r="P1507" s="126">
        <f t="shared" ref="P1507:R1507" si="245">SUM(P1493:P1506)</f>
        <v>721240</v>
      </c>
      <c r="Q1507" s="126">
        <f t="shared" si="245"/>
        <v>158672.79999999999</v>
      </c>
      <c r="R1507" s="126">
        <f t="shared" si="245"/>
        <v>879912.8</v>
      </c>
      <c r="S1507" s="72">
        <f>R1507/100*10</f>
        <v>87991.28</v>
      </c>
      <c r="T1507" s="73">
        <v>79</v>
      </c>
      <c r="U1507" s="275"/>
      <c r="V1507" s="38"/>
      <c r="W1507" s="38"/>
      <c r="X1507" s="38"/>
    </row>
    <row r="1508" spans="1:24" ht="15" customHeight="1" x14ac:dyDescent="0.35">
      <c r="A1508" s="56" t="s">
        <v>3725</v>
      </c>
      <c r="B1508" s="2">
        <v>1425</v>
      </c>
      <c r="C1508" s="77">
        <v>10023898</v>
      </c>
      <c r="D1508" s="74" t="s">
        <v>15</v>
      </c>
      <c r="E1508" s="74" t="s">
        <v>1978</v>
      </c>
      <c r="F1508" s="75">
        <v>1</v>
      </c>
      <c r="G1508" s="64" t="s">
        <v>0</v>
      </c>
      <c r="H1508" s="101">
        <v>2014</v>
      </c>
      <c r="I1508" s="4" t="s">
        <v>957</v>
      </c>
      <c r="J1508" s="61" t="s">
        <v>1917</v>
      </c>
      <c r="K1508" s="101" t="s">
        <v>2013</v>
      </c>
      <c r="L1508" s="61" t="s">
        <v>2242</v>
      </c>
      <c r="M1508" s="65">
        <f t="shared" si="241"/>
        <v>450.06</v>
      </c>
      <c r="N1508" s="65">
        <f t="shared" ref="N1508:N1514" si="246">O1508/F1508</f>
        <v>450.06</v>
      </c>
      <c r="O1508" s="65">
        <v>450.06</v>
      </c>
      <c r="P1508" s="65">
        <v>440</v>
      </c>
      <c r="Q1508" s="65">
        <f t="shared" si="232"/>
        <v>96.8</v>
      </c>
      <c r="R1508" s="65">
        <f t="shared" si="233"/>
        <v>536.79999999999995</v>
      </c>
      <c r="S1508" s="267"/>
      <c r="T1508" s="64">
        <v>80</v>
      </c>
      <c r="U1508" s="273" t="s">
        <v>2288</v>
      </c>
      <c r="V1508" s="38">
        <v>475</v>
      </c>
      <c r="W1508" s="38">
        <f t="shared" si="234"/>
        <v>104.5</v>
      </c>
      <c r="X1508" s="38">
        <f t="shared" si="235"/>
        <v>579.5</v>
      </c>
    </row>
    <row r="1509" spans="1:24" ht="15" customHeight="1" x14ac:dyDescent="0.35">
      <c r="A1509" s="56" t="s">
        <v>3726</v>
      </c>
      <c r="B1509" s="2">
        <v>1426</v>
      </c>
      <c r="C1509" s="77">
        <v>10023735</v>
      </c>
      <c r="D1509" s="74" t="s">
        <v>40</v>
      </c>
      <c r="E1509" s="74" t="s">
        <v>1978</v>
      </c>
      <c r="F1509" s="75">
        <v>2</v>
      </c>
      <c r="G1509" s="64" t="s">
        <v>0</v>
      </c>
      <c r="H1509" s="101">
        <v>2014</v>
      </c>
      <c r="I1509" s="4" t="s">
        <v>957</v>
      </c>
      <c r="J1509" s="61" t="s">
        <v>1917</v>
      </c>
      <c r="K1509" s="101" t="s">
        <v>2020</v>
      </c>
      <c r="L1509" s="61" t="s">
        <v>2242</v>
      </c>
      <c r="M1509" s="65">
        <f t="shared" si="241"/>
        <v>411.9</v>
      </c>
      <c r="N1509" s="65">
        <f t="shared" si="246"/>
        <v>205.95</v>
      </c>
      <c r="O1509" s="65">
        <v>411.9</v>
      </c>
      <c r="P1509" s="65">
        <v>400</v>
      </c>
      <c r="Q1509" s="65">
        <f t="shared" si="232"/>
        <v>88</v>
      </c>
      <c r="R1509" s="65">
        <f t="shared" si="233"/>
        <v>488</v>
      </c>
      <c r="S1509" s="272"/>
      <c r="T1509" s="64">
        <v>80</v>
      </c>
      <c r="U1509" s="274"/>
      <c r="V1509" s="38">
        <v>434</v>
      </c>
      <c r="W1509" s="38">
        <f t="shared" si="234"/>
        <v>95.48</v>
      </c>
      <c r="X1509" s="38">
        <f t="shared" si="235"/>
        <v>529.48</v>
      </c>
    </row>
    <row r="1510" spans="1:24" ht="15" customHeight="1" x14ac:dyDescent="0.35">
      <c r="A1510" s="56" t="s">
        <v>3727</v>
      </c>
      <c r="B1510" s="2">
        <v>1427</v>
      </c>
      <c r="C1510" s="77">
        <v>10023739</v>
      </c>
      <c r="D1510" s="74" t="s">
        <v>72</v>
      </c>
      <c r="E1510" s="74" t="s">
        <v>1978</v>
      </c>
      <c r="F1510" s="75">
        <v>5</v>
      </c>
      <c r="G1510" s="64" t="s">
        <v>0</v>
      </c>
      <c r="H1510" s="101">
        <v>2014</v>
      </c>
      <c r="I1510" s="4" t="s">
        <v>957</v>
      </c>
      <c r="J1510" s="61" t="s">
        <v>1917</v>
      </c>
      <c r="K1510" s="101" t="s">
        <v>2026</v>
      </c>
      <c r="L1510" s="61" t="s">
        <v>2242</v>
      </c>
      <c r="M1510" s="65">
        <f t="shared" si="241"/>
        <v>1457.18</v>
      </c>
      <c r="N1510" s="65">
        <f t="shared" si="246"/>
        <v>291.44</v>
      </c>
      <c r="O1510" s="65">
        <v>1457.18</v>
      </c>
      <c r="P1510" s="65">
        <v>1410</v>
      </c>
      <c r="Q1510" s="65">
        <f t="shared" si="232"/>
        <v>310.2</v>
      </c>
      <c r="R1510" s="65">
        <f t="shared" si="233"/>
        <v>1720.2</v>
      </c>
      <c r="S1510" s="272"/>
      <c r="T1510" s="64">
        <v>80</v>
      </c>
      <c r="U1510" s="274"/>
      <c r="V1510" s="38">
        <v>1537</v>
      </c>
      <c r="W1510" s="38">
        <f t="shared" si="234"/>
        <v>338.14</v>
      </c>
      <c r="X1510" s="38">
        <f t="shared" si="235"/>
        <v>1875.14</v>
      </c>
    </row>
    <row r="1511" spans="1:24" ht="101.5" customHeight="1" x14ac:dyDescent="0.35">
      <c r="A1511" s="56" t="s">
        <v>3728</v>
      </c>
      <c r="B1511" s="2">
        <v>1428</v>
      </c>
      <c r="C1511" s="77">
        <v>10023840</v>
      </c>
      <c r="D1511" s="74" t="s">
        <v>77</v>
      </c>
      <c r="E1511" s="74" t="s">
        <v>1978</v>
      </c>
      <c r="F1511" s="75">
        <v>6</v>
      </c>
      <c r="G1511" s="64" t="s">
        <v>0</v>
      </c>
      <c r="H1511" s="101">
        <v>2014</v>
      </c>
      <c r="I1511" s="4" t="s">
        <v>957</v>
      </c>
      <c r="J1511" s="61" t="s">
        <v>1917</v>
      </c>
      <c r="K1511" s="101" t="s">
        <v>2029</v>
      </c>
      <c r="L1511" s="115" t="s">
        <v>4129</v>
      </c>
      <c r="M1511" s="76">
        <f t="shared" si="241"/>
        <v>3757.06</v>
      </c>
      <c r="N1511" s="76">
        <f t="shared" si="246"/>
        <v>626.17999999999995</v>
      </c>
      <c r="O1511" s="76">
        <v>3757.06</v>
      </c>
      <c r="P1511" s="65">
        <v>6180</v>
      </c>
      <c r="Q1511" s="65">
        <f t="shared" si="232"/>
        <v>1359.6</v>
      </c>
      <c r="R1511" s="65">
        <f t="shared" si="233"/>
        <v>7539.6</v>
      </c>
      <c r="S1511" s="272"/>
      <c r="T1511" s="64">
        <v>80</v>
      </c>
      <c r="U1511" s="274"/>
      <c r="V1511" s="38">
        <v>6737</v>
      </c>
      <c r="W1511" s="38">
        <f t="shared" si="234"/>
        <v>1482.14</v>
      </c>
      <c r="X1511" s="38">
        <f t="shared" si="235"/>
        <v>8219.14</v>
      </c>
    </row>
    <row r="1512" spans="1:24" ht="15" customHeight="1" x14ac:dyDescent="0.35">
      <c r="A1512" s="56" t="s">
        <v>3729</v>
      </c>
      <c r="B1512" s="2">
        <v>1429</v>
      </c>
      <c r="C1512" s="77">
        <v>10023867</v>
      </c>
      <c r="D1512" s="74" t="s">
        <v>82</v>
      </c>
      <c r="E1512" s="74" t="s">
        <v>1978</v>
      </c>
      <c r="F1512" s="75">
        <v>11</v>
      </c>
      <c r="G1512" s="64" t="s">
        <v>0</v>
      </c>
      <c r="H1512" s="101">
        <v>2014</v>
      </c>
      <c r="I1512" s="4" t="s">
        <v>957</v>
      </c>
      <c r="J1512" s="61" t="s">
        <v>1917</v>
      </c>
      <c r="K1512" s="101" t="s">
        <v>2033</v>
      </c>
      <c r="L1512" s="61" t="s">
        <v>2242</v>
      </c>
      <c r="M1512" s="65">
        <f t="shared" si="241"/>
        <v>3970.07</v>
      </c>
      <c r="N1512" s="65">
        <f t="shared" si="246"/>
        <v>360.92</v>
      </c>
      <c r="O1512" s="65">
        <v>3970.07</v>
      </c>
      <c r="P1512" s="65">
        <v>3840</v>
      </c>
      <c r="Q1512" s="65">
        <f t="shared" si="232"/>
        <v>844.8</v>
      </c>
      <c r="R1512" s="65">
        <f t="shared" si="233"/>
        <v>4684.8</v>
      </c>
      <c r="S1512" s="272"/>
      <c r="T1512" s="64">
        <v>80</v>
      </c>
      <c r="U1512" s="274"/>
      <c r="V1512" s="38">
        <v>4188</v>
      </c>
      <c r="W1512" s="38">
        <f t="shared" si="234"/>
        <v>921.36</v>
      </c>
      <c r="X1512" s="38">
        <f t="shared" si="235"/>
        <v>5109.3599999999997</v>
      </c>
    </row>
    <row r="1513" spans="1:24" ht="15" customHeight="1" x14ac:dyDescent="0.35">
      <c r="A1513" s="56" t="s">
        <v>3730</v>
      </c>
      <c r="B1513" s="2">
        <v>1430</v>
      </c>
      <c r="C1513" s="77">
        <v>10119400</v>
      </c>
      <c r="D1513" s="74" t="s">
        <v>1541</v>
      </c>
      <c r="E1513" s="59" t="s">
        <v>2167</v>
      </c>
      <c r="F1513" s="75">
        <v>1</v>
      </c>
      <c r="G1513" s="64" t="s">
        <v>0</v>
      </c>
      <c r="H1513" s="78">
        <v>41533</v>
      </c>
      <c r="I1513" s="4" t="s">
        <v>957</v>
      </c>
      <c r="J1513" s="63" t="s">
        <v>1917</v>
      </c>
      <c r="K1513" s="63" t="s">
        <v>961</v>
      </c>
      <c r="L1513" s="69" t="s">
        <v>950</v>
      </c>
      <c r="M1513" s="70">
        <f t="shared" si="241"/>
        <v>28610.17</v>
      </c>
      <c r="N1513" s="70">
        <f t="shared" si="246"/>
        <v>28610.17</v>
      </c>
      <c r="O1513" s="70">
        <v>28610.17</v>
      </c>
      <c r="P1513" s="65">
        <v>49120</v>
      </c>
      <c r="Q1513" s="65">
        <f t="shared" si="232"/>
        <v>10806.4</v>
      </c>
      <c r="R1513" s="65">
        <f t="shared" si="233"/>
        <v>59926.400000000001</v>
      </c>
      <c r="S1513" s="272"/>
      <c r="T1513" s="64">
        <v>80</v>
      </c>
      <c r="U1513" s="274"/>
      <c r="V1513" s="38">
        <v>53568</v>
      </c>
      <c r="W1513" s="38">
        <f t="shared" si="234"/>
        <v>11784.96</v>
      </c>
      <c r="X1513" s="38">
        <f t="shared" si="235"/>
        <v>65352.959999999999</v>
      </c>
    </row>
    <row r="1514" spans="1:24" ht="15" customHeight="1" x14ac:dyDescent="0.35">
      <c r="A1514" s="56" t="s">
        <v>3731</v>
      </c>
      <c r="B1514" s="2">
        <v>1431</v>
      </c>
      <c r="C1514" s="77">
        <v>10127622</v>
      </c>
      <c r="D1514" s="74" t="s">
        <v>1632</v>
      </c>
      <c r="E1514" s="59" t="s">
        <v>2167</v>
      </c>
      <c r="F1514" s="75">
        <v>20</v>
      </c>
      <c r="G1514" s="64" t="s">
        <v>0</v>
      </c>
      <c r="H1514" s="78">
        <v>41375</v>
      </c>
      <c r="I1514" s="4" t="s">
        <v>957</v>
      </c>
      <c r="J1514" s="63" t="s">
        <v>1917</v>
      </c>
      <c r="K1514" s="63" t="s">
        <v>961</v>
      </c>
      <c r="L1514" s="69" t="s">
        <v>950</v>
      </c>
      <c r="M1514" s="70">
        <f t="shared" si="241"/>
        <v>7471.45</v>
      </c>
      <c r="N1514" s="70">
        <f t="shared" si="246"/>
        <v>373.57</v>
      </c>
      <c r="O1514" s="70">
        <v>7471.45</v>
      </c>
      <c r="P1514" s="65">
        <v>13030</v>
      </c>
      <c r="Q1514" s="65">
        <f t="shared" si="232"/>
        <v>2866.6</v>
      </c>
      <c r="R1514" s="65">
        <f t="shared" si="233"/>
        <v>15896.6</v>
      </c>
      <c r="S1514" s="276"/>
      <c r="T1514" s="64">
        <v>80</v>
      </c>
      <c r="U1514" s="274"/>
      <c r="V1514" s="38">
        <v>14208</v>
      </c>
      <c r="W1514" s="38">
        <f t="shared" si="234"/>
        <v>3125.76</v>
      </c>
      <c r="X1514" s="38">
        <f t="shared" si="235"/>
        <v>17333.759999999998</v>
      </c>
    </row>
    <row r="1515" spans="1:24" ht="15" customHeight="1" x14ac:dyDescent="0.35">
      <c r="A1515" s="56"/>
      <c r="B1515" s="15"/>
      <c r="C1515" s="77"/>
      <c r="D1515" s="74"/>
      <c r="E1515" s="74"/>
      <c r="F1515" s="75"/>
      <c r="G1515" s="64"/>
      <c r="H1515" s="78"/>
      <c r="I1515" s="4"/>
      <c r="J1515" s="63"/>
      <c r="K1515" s="63"/>
      <c r="L1515" s="69"/>
      <c r="M1515" s="70"/>
      <c r="N1515" s="70"/>
      <c r="O1515" s="71">
        <f>SUM(O1508:O1514)</f>
        <v>46127.89</v>
      </c>
      <c r="P1515" s="71">
        <f t="shared" ref="P1515:R1515" si="247">SUM(P1508:P1514)</f>
        <v>74420</v>
      </c>
      <c r="Q1515" s="71">
        <f t="shared" si="247"/>
        <v>16372.4</v>
      </c>
      <c r="R1515" s="71">
        <f t="shared" si="247"/>
        <v>90792.4</v>
      </c>
      <c r="S1515" s="72">
        <f>R1515/100*10</f>
        <v>9079.24</v>
      </c>
      <c r="T1515" s="73">
        <v>80</v>
      </c>
      <c r="U1515" s="275"/>
      <c r="V1515" s="38"/>
      <c r="W1515" s="38"/>
      <c r="X1515" s="38"/>
    </row>
    <row r="1516" spans="1:24" ht="15" customHeight="1" x14ac:dyDescent="0.35">
      <c r="A1516" s="56" t="s">
        <v>3732</v>
      </c>
      <c r="B1516" s="2">
        <v>1432</v>
      </c>
      <c r="C1516" s="77">
        <v>10042982</v>
      </c>
      <c r="D1516" s="74" t="s">
        <v>119</v>
      </c>
      <c r="E1516" s="59" t="s">
        <v>2167</v>
      </c>
      <c r="F1516" s="75">
        <f>130-4</f>
        <v>126</v>
      </c>
      <c r="G1516" s="64" t="s">
        <v>0</v>
      </c>
      <c r="H1516" s="101">
        <v>2014</v>
      </c>
      <c r="I1516" s="4" t="s">
        <v>957</v>
      </c>
      <c r="J1516" s="61" t="s">
        <v>1917</v>
      </c>
      <c r="K1516" s="101" t="s">
        <v>2048</v>
      </c>
      <c r="L1516" s="61" t="s">
        <v>2097</v>
      </c>
      <c r="M1516" s="65">
        <f t="shared" si="241"/>
        <v>3317.58</v>
      </c>
      <c r="N1516" s="65">
        <f>O1516/F1516</f>
        <v>26.33</v>
      </c>
      <c r="O1516" s="65">
        <f>3422.9/130*126</f>
        <v>3317.58</v>
      </c>
      <c r="P1516" s="65">
        <v>5070</v>
      </c>
      <c r="Q1516" s="65">
        <f t="shared" si="232"/>
        <v>1115.4000000000001</v>
      </c>
      <c r="R1516" s="65">
        <f t="shared" si="233"/>
        <v>6185.4</v>
      </c>
      <c r="S1516" s="267"/>
      <c r="T1516" s="64">
        <v>81</v>
      </c>
      <c r="U1516" s="270" t="s">
        <v>2288</v>
      </c>
      <c r="V1516" s="38">
        <v>5074</v>
      </c>
      <c r="W1516" s="38">
        <f t="shared" si="234"/>
        <v>1116.28</v>
      </c>
      <c r="X1516" s="38">
        <f t="shared" si="235"/>
        <v>6190.28</v>
      </c>
    </row>
    <row r="1517" spans="1:24" ht="74.25" customHeight="1" x14ac:dyDescent="0.35">
      <c r="A1517" s="56" t="s">
        <v>3733</v>
      </c>
      <c r="B1517" s="2">
        <v>1433</v>
      </c>
      <c r="C1517" s="11">
        <v>10038758</v>
      </c>
      <c r="D1517" s="12" t="s">
        <v>2249</v>
      </c>
      <c r="E1517" s="59" t="s">
        <v>2250</v>
      </c>
      <c r="F1517" s="14">
        <v>6</v>
      </c>
      <c r="G1517" s="64" t="s">
        <v>0</v>
      </c>
      <c r="H1517" s="5">
        <v>41913</v>
      </c>
      <c r="I1517" s="4" t="s">
        <v>957</v>
      </c>
      <c r="J1517" s="6" t="s">
        <v>1917</v>
      </c>
      <c r="K1517" s="63" t="s">
        <v>4128</v>
      </c>
      <c r="L1517" s="69" t="s">
        <v>2097</v>
      </c>
      <c r="M1517" s="70">
        <f t="shared" si="241"/>
        <v>2202.5100000000002</v>
      </c>
      <c r="N1517" s="70">
        <f>O1517/F1517</f>
        <v>367.09</v>
      </c>
      <c r="O1517" s="65">
        <v>2202.5100000000002</v>
      </c>
      <c r="P1517" s="65">
        <v>3290</v>
      </c>
      <c r="Q1517" s="65">
        <f t="shared" si="232"/>
        <v>723.8</v>
      </c>
      <c r="R1517" s="65">
        <f t="shared" si="233"/>
        <v>4013.8</v>
      </c>
      <c r="S1517" s="276"/>
      <c r="T1517" s="64">
        <v>81</v>
      </c>
      <c r="U1517" s="270"/>
      <c r="V1517" s="38">
        <v>3294</v>
      </c>
      <c r="W1517" s="38">
        <f t="shared" si="234"/>
        <v>724.68</v>
      </c>
      <c r="X1517" s="38">
        <f t="shared" si="235"/>
        <v>4018.68</v>
      </c>
    </row>
    <row r="1518" spans="1:24" ht="15" customHeight="1" x14ac:dyDescent="0.35">
      <c r="A1518" s="56"/>
      <c r="B1518" s="15"/>
      <c r="C1518" s="11"/>
      <c r="D1518" s="12"/>
      <c r="E1518" s="59"/>
      <c r="F1518" s="14"/>
      <c r="G1518" s="64"/>
      <c r="H1518" s="5"/>
      <c r="I1518" s="4"/>
      <c r="J1518" s="6"/>
      <c r="K1518" s="63"/>
      <c r="L1518" s="69"/>
      <c r="M1518" s="70"/>
      <c r="N1518" s="70"/>
      <c r="O1518" s="126">
        <f>SUM(O1516:O1517)</f>
        <v>5520.09</v>
      </c>
      <c r="P1518" s="126">
        <f t="shared" ref="P1518:R1518" si="248">SUM(P1516:P1517)</f>
        <v>8360</v>
      </c>
      <c r="Q1518" s="126">
        <f t="shared" si="248"/>
        <v>1839.2</v>
      </c>
      <c r="R1518" s="126">
        <f t="shared" si="248"/>
        <v>10199.200000000001</v>
      </c>
      <c r="S1518" s="72">
        <f>R1518/100*10</f>
        <v>1019.92</v>
      </c>
      <c r="T1518" s="73">
        <v>81</v>
      </c>
      <c r="U1518" s="271"/>
      <c r="V1518" s="38"/>
      <c r="W1518" s="38"/>
      <c r="X1518" s="38"/>
    </row>
    <row r="1519" spans="1:24" ht="15" customHeight="1" x14ac:dyDescent="0.35">
      <c r="A1519" s="56" t="s">
        <v>3734</v>
      </c>
      <c r="B1519" s="2">
        <v>1434</v>
      </c>
      <c r="C1519" s="77">
        <v>10119169</v>
      </c>
      <c r="D1519" s="74" t="s">
        <v>1556</v>
      </c>
      <c r="E1519" s="59" t="s">
        <v>2167</v>
      </c>
      <c r="F1519" s="75">
        <v>25</v>
      </c>
      <c r="G1519" s="64" t="s">
        <v>0</v>
      </c>
      <c r="H1519" s="78">
        <v>41431</v>
      </c>
      <c r="I1519" s="4" t="s">
        <v>957</v>
      </c>
      <c r="J1519" s="63" t="s">
        <v>1917</v>
      </c>
      <c r="K1519" s="63" t="s">
        <v>961</v>
      </c>
      <c r="L1519" s="69" t="s">
        <v>950</v>
      </c>
      <c r="M1519" s="70">
        <f t="shared" si="241"/>
        <v>27775</v>
      </c>
      <c r="N1519" s="70">
        <f t="shared" ref="N1519:N1526" si="249">O1519/F1519</f>
        <v>1111</v>
      </c>
      <c r="O1519" s="70">
        <v>27775</v>
      </c>
      <c r="P1519" s="65">
        <v>47750</v>
      </c>
      <c r="Q1519" s="65">
        <f t="shared" si="232"/>
        <v>10505</v>
      </c>
      <c r="R1519" s="65">
        <f t="shared" si="233"/>
        <v>58255</v>
      </c>
      <c r="S1519" s="267"/>
      <c r="T1519" s="64">
        <v>82</v>
      </c>
      <c r="U1519" s="273" t="s">
        <v>2289</v>
      </c>
      <c r="V1519" s="38">
        <v>52069</v>
      </c>
      <c r="W1519" s="38">
        <f t="shared" si="234"/>
        <v>11455.18</v>
      </c>
      <c r="X1519" s="38">
        <f t="shared" si="235"/>
        <v>63524.18</v>
      </c>
    </row>
    <row r="1520" spans="1:24" ht="15" customHeight="1" x14ac:dyDescent="0.35">
      <c r="A1520" s="56" t="s">
        <v>3735</v>
      </c>
      <c r="B1520" s="2">
        <v>1435</v>
      </c>
      <c r="C1520" s="77">
        <v>10032584</v>
      </c>
      <c r="D1520" s="74" t="s">
        <v>1602</v>
      </c>
      <c r="E1520" s="59" t="s">
        <v>2167</v>
      </c>
      <c r="F1520" s="75">
        <v>58</v>
      </c>
      <c r="G1520" s="64" t="s">
        <v>28</v>
      </c>
      <c r="H1520" s="78">
        <v>41249</v>
      </c>
      <c r="I1520" s="4" t="s">
        <v>957</v>
      </c>
      <c r="J1520" s="63" t="s">
        <v>1917</v>
      </c>
      <c r="K1520" s="63" t="s">
        <v>961</v>
      </c>
      <c r="L1520" s="69" t="s">
        <v>950</v>
      </c>
      <c r="M1520" s="70">
        <f t="shared" si="241"/>
        <v>82695.34</v>
      </c>
      <c r="N1520" s="70">
        <f t="shared" si="249"/>
        <v>1425.78</v>
      </c>
      <c r="O1520" s="70">
        <v>82695.34</v>
      </c>
      <c r="P1520" s="65">
        <v>146130</v>
      </c>
      <c r="Q1520" s="65">
        <f t="shared" ref="Q1520:Q1583" si="250">P1520*0.22</f>
        <v>32148.6</v>
      </c>
      <c r="R1520" s="65">
        <f t="shared" ref="R1520:R1583" si="251">P1520+Q1520</f>
        <v>178278.6</v>
      </c>
      <c r="S1520" s="272"/>
      <c r="T1520" s="64">
        <v>82</v>
      </c>
      <c r="U1520" s="274"/>
      <c r="V1520" s="38">
        <v>159352</v>
      </c>
      <c r="W1520" s="38">
        <f t="shared" ref="W1520:W1583" si="252">V1520*0.22</f>
        <v>35057.440000000002</v>
      </c>
      <c r="X1520" s="38">
        <f t="shared" si="235"/>
        <v>194409.44</v>
      </c>
    </row>
    <row r="1521" spans="1:24" ht="15" customHeight="1" x14ac:dyDescent="0.35">
      <c r="A1521" s="56" t="s">
        <v>3736</v>
      </c>
      <c r="B1521" s="2">
        <v>1436</v>
      </c>
      <c r="C1521" s="77">
        <v>10093786</v>
      </c>
      <c r="D1521" s="74" t="s">
        <v>1685</v>
      </c>
      <c r="E1521" s="74" t="s">
        <v>1978</v>
      </c>
      <c r="F1521" s="75">
        <v>78</v>
      </c>
      <c r="G1521" s="64" t="s">
        <v>114</v>
      </c>
      <c r="H1521" s="78">
        <v>39448</v>
      </c>
      <c r="I1521" s="4" t="s">
        <v>957</v>
      </c>
      <c r="J1521" s="63" t="s">
        <v>1917</v>
      </c>
      <c r="K1521" s="63" t="s">
        <v>961</v>
      </c>
      <c r="L1521" s="69" t="s">
        <v>950</v>
      </c>
      <c r="M1521" s="70">
        <f t="shared" si="241"/>
        <v>25350</v>
      </c>
      <c r="N1521" s="70">
        <f t="shared" si="249"/>
        <v>325</v>
      </c>
      <c r="O1521" s="70">
        <v>25350</v>
      </c>
      <c r="P1521" s="65">
        <v>65180</v>
      </c>
      <c r="Q1521" s="65">
        <f t="shared" si="250"/>
        <v>14339.6</v>
      </c>
      <c r="R1521" s="65">
        <f t="shared" si="251"/>
        <v>79519.600000000006</v>
      </c>
      <c r="S1521" s="272"/>
      <c r="T1521" s="64">
        <v>82</v>
      </c>
      <c r="U1521" s="274"/>
      <c r="V1521" s="38">
        <v>71079</v>
      </c>
      <c r="W1521" s="38">
        <f t="shared" si="252"/>
        <v>15637.38</v>
      </c>
      <c r="X1521" s="38">
        <f t="shared" si="235"/>
        <v>86716.38</v>
      </c>
    </row>
    <row r="1522" spans="1:24" ht="15" customHeight="1" x14ac:dyDescent="0.35">
      <c r="A1522" s="56" t="s">
        <v>3737</v>
      </c>
      <c r="B1522" s="2">
        <v>1437</v>
      </c>
      <c r="C1522" s="77">
        <v>10115513</v>
      </c>
      <c r="D1522" s="74" t="s">
        <v>1719</v>
      </c>
      <c r="E1522" s="59" t="s">
        <v>2167</v>
      </c>
      <c r="F1522" s="75">
        <v>5</v>
      </c>
      <c r="G1522" s="64" t="s">
        <v>0</v>
      </c>
      <c r="H1522" s="78">
        <v>41484</v>
      </c>
      <c r="I1522" s="4" t="s">
        <v>957</v>
      </c>
      <c r="J1522" s="63" t="s">
        <v>1917</v>
      </c>
      <c r="K1522" s="63" t="s">
        <v>961</v>
      </c>
      <c r="L1522" s="69" t="s">
        <v>950</v>
      </c>
      <c r="M1522" s="70">
        <f t="shared" si="241"/>
        <v>89686.06</v>
      </c>
      <c r="N1522" s="70">
        <f t="shared" si="249"/>
        <v>17937.21</v>
      </c>
      <c r="O1522" s="70">
        <v>89686.06</v>
      </c>
      <c r="P1522" s="65">
        <v>155190</v>
      </c>
      <c r="Q1522" s="65">
        <f t="shared" si="250"/>
        <v>34141.800000000003</v>
      </c>
      <c r="R1522" s="65">
        <f t="shared" si="251"/>
        <v>189331.8</v>
      </c>
      <c r="S1522" s="272"/>
      <c r="T1522" s="64">
        <v>82</v>
      </c>
      <c r="U1522" s="274"/>
      <c r="V1522" s="38">
        <v>169235</v>
      </c>
      <c r="W1522" s="38">
        <f t="shared" si="252"/>
        <v>37231.699999999997</v>
      </c>
      <c r="X1522" s="38">
        <f t="shared" ref="X1522:X1585" si="253">V1522+W1522</f>
        <v>206466.7</v>
      </c>
    </row>
    <row r="1523" spans="1:24" ht="15" customHeight="1" x14ac:dyDescent="0.35">
      <c r="A1523" s="56" t="s">
        <v>3738</v>
      </c>
      <c r="B1523" s="2">
        <v>1438</v>
      </c>
      <c r="C1523" s="77">
        <v>10093740</v>
      </c>
      <c r="D1523" s="74" t="s">
        <v>1725</v>
      </c>
      <c r="E1523" s="59" t="s">
        <v>2167</v>
      </c>
      <c r="F1523" s="75">
        <v>28</v>
      </c>
      <c r="G1523" s="64" t="s">
        <v>2177</v>
      </c>
      <c r="H1523" s="78">
        <v>42632</v>
      </c>
      <c r="I1523" s="4" t="s">
        <v>957</v>
      </c>
      <c r="J1523" s="63" t="s">
        <v>1917</v>
      </c>
      <c r="K1523" s="63" t="s">
        <v>961</v>
      </c>
      <c r="L1523" s="69" t="s">
        <v>950</v>
      </c>
      <c r="M1523" s="70">
        <f t="shared" si="241"/>
        <v>9940</v>
      </c>
      <c r="N1523" s="70">
        <f t="shared" si="249"/>
        <v>355</v>
      </c>
      <c r="O1523" s="70">
        <v>9940</v>
      </c>
      <c r="P1523" s="65">
        <v>13350</v>
      </c>
      <c r="Q1523" s="65">
        <f t="shared" si="250"/>
        <v>2937</v>
      </c>
      <c r="R1523" s="65">
        <f t="shared" si="251"/>
        <v>16287</v>
      </c>
      <c r="S1523" s="272"/>
      <c r="T1523" s="64">
        <v>82</v>
      </c>
      <c r="U1523" s="274"/>
      <c r="V1523" s="38">
        <v>14559</v>
      </c>
      <c r="W1523" s="38">
        <f t="shared" si="252"/>
        <v>3202.98</v>
      </c>
      <c r="X1523" s="38">
        <f t="shared" si="253"/>
        <v>17761.98</v>
      </c>
    </row>
    <row r="1524" spans="1:24" ht="15" customHeight="1" x14ac:dyDescent="0.35">
      <c r="A1524" s="56" t="s">
        <v>3739</v>
      </c>
      <c r="B1524" s="2">
        <v>1439</v>
      </c>
      <c r="C1524" s="11">
        <v>10148318</v>
      </c>
      <c r="D1524" s="3" t="s">
        <v>1392</v>
      </c>
      <c r="E1524" s="59" t="s">
        <v>2167</v>
      </c>
      <c r="F1524" s="14">
        <v>2</v>
      </c>
      <c r="G1524" s="64" t="s">
        <v>0</v>
      </c>
      <c r="H1524" s="5">
        <v>41548</v>
      </c>
      <c r="I1524" s="4" t="s">
        <v>957</v>
      </c>
      <c r="J1524" s="63" t="s">
        <v>1917</v>
      </c>
      <c r="K1524" s="63" t="s">
        <v>961</v>
      </c>
      <c r="L1524" s="69" t="s">
        <v>950</v>
      </c>
      <c r="M1524" s="70">
        <f t="shared" si="241"/>
        <v>23900</v>
      </c>
      <c r="N1524" s="70">
        <f t="shared" si="249"/>
        <v>11950</v>
      </c>
      <c r="O1524" s="70">
        <v>23900</v>
      </c>
      <c r="P1524" s="65">
        <v>40510</v>
      </c>
      <c r="Q1524" s="65">
        <f t="shared" si="250"/>
        <v>8912.2000000000007</v>
      </c>
      <c r="R1524" s="65">
        <f t="shared" si="251"/>
        <v>49422.2</v>
      </c>
      <c r="S1524" s="272"/>
      <c r="T1524" s="64">
        <v>82</v>
      </c>
      <c r="U1524" s="274"/>
      <c r="V1524" s="38">
        <v>44179</v>
      </c>
      <c r="W1524" s="38">
        <f t="shared" si="252"/>
        <v>9719.3799999999992</v>
      </c>
      <c r="X1524" s="38">
        <f t="shared" si="253"/>
        <v>53898.38</v>
      </c>
    </row>
    <row r="1525" spans="1:24" ht="15" customHeight="1" x14ac:dyDescent="0.35">
      <c r="A1525" s="56" t="s">
        <v>3740</v>
      </c>
      <c r="B1525" s="2">
        <v>1440</v>
      </c>
      <c r="C1525" s="11">
        <v>10141214</v>
      </c>
      <c r="D1525" s="3" t="s">
        <v>1405</v>
      </c>
      <c r="E1525" s="59" t="s">
        <v>2167</v>
      </c>
      <c r="F1525" s="14">
        <v>83</v>
      </c>
      <c r="G1525" s="64" t="s">
        <v>0</v>
      </c>
      <c r="H1525" s="5">
        <v>41091</v>
      </c>
      <c r="I1525" s="4" t="s">
        <v>957</v>
      </c>
      <c r="J1525" s="63" t="s">
        <v>1917</v>
      </c>
      <c r="K1525" s="63" t="s">
        <v>961</v>
      </c>
      <c r="L1525" s="69" t="s">
        <v>950</v>
      </c>
      <c r="M1525" s="70">
        <f t="shared" si="241"/>
        <v>500.14</v>
      </c>
      <c r="N1525" s="70">
        <f t="shared" si="249"/>
        <v>6.03</v>
      </c>
      <c r="O1525" s="70">
        <v>500.14</v>
      </c>
      <c r="P1525" s="65">
        <v>900</v>
      </c>
      <c r="Q1525" s="65">
        <f t="shared" si="250"/>
        <v>198</v>
      </c>
      <c r="R1525" s="65">
        <f t="shared" si="251"/>
        <v>1098</v>
      </c>
      <c r="S1525" s="272"/>
      <c r="T1525" s="64">
        <v>82</v>
      </c>
      <c r="U1525" s="274"/>
      <c r="V1525" s="38">
        <v>977</v>
      </c>
      <c r="W1525" s="38">
        <f t="shared" si="252"/>
        <v>214.94</v>
      </c>
      <c r="X1525" s="38">
        <f t="shared" si="253"/>
        <v>1191.94</v>
      </c>
    </row>
    <row r="1526" spans="1:24" ht="15" customHeight="1" x14ac:dyDescent="0.35">
      <c r="A1526" s="56" t="s">
        <v>3741</v>
      </c>
      <c r="B1526" s="2">
        <v>1441</v>
      </c>
      <c r="C1526" s="11">
        <v>10139251</v>
      </c>
      <c r="D1526" s="3" t="s">
        <v>1408</v>
      </c>
      <c r="E1526" s="59" t="s">
        <v>2167</v>
      </c>
      <c r="F1526" s="14">
        <f>56-10</f>
        <v>46</v>
      </c>
      <c r="G1526" s="64" t="s">
        <v>0</v>
      </c>
      <c r="H1526" s="5">
        <v>41244</v>
      </c>
      <c r="I1526" s="4" t="s">
        <v>957</v>
      </c>
      <c r="J1526" s="63" t="s">
        <v>1917</v>
      </c>
      <c r="K1526" s="63" t="s">
        <v>961</v>
      </c>
      <c r="L1526" s="69" t="s">
        <v>950</v>
      </c>
      <c r="M1526" s="70">
        <f t="shared" si="241"/>
        <v>1932.39</v>
      </c>
      <c r="N1526" s="70">
        <f t="shared" si="249"/>
        <v>42.01</v>
      </c>
      <c r="O1526" s="70">
        <f>2352.48/56*46</f>
        <v>1932.39</v>
      </c>
      <c r="P1526" s="65">
        <v>3190</v>
      </c>
      <c r="Q1526" s="65">
        <f t="shared" si="250"/>
        <v>701.8</v>
      </c>
      <c r="R1526" s="65">
        <f t="shared" si="251"/>
        <v>3891.8</v>
      </c>
      <c r="S1526" s="276"/>
      <c r="T1526" s="64">
        <v>82</v>
      </c>
      <c r="U1526" s="274"/>
      <c r="V1526" s="38">
        <v>3474</v>
      </c>
      <c r="W1526" s="38">
        <f t="shared" si="252"/>
        <v>764.28</v>
      </c>
      <c r="X1526" s="38">
        <f t="shared" si="253"/>
        <v>4238.28</v>
      </c>
    </row>
    <row r="1527" spans="1:24" ht="15" customHeight="1" x14ac:dyDescent="0.35">
      <c r="A1527" s="56"/>
      <c r="B1527" s="15"/>
      <c r="C1527" s="11"/>
      <c r="D1527" s="3"/>
      <c r="E1527" s="59"/>
      <c r="F1527" s="14"/>
      <c r="G1527" s="64"/>
      <c r="H1527" s="5"/>
      <c r="I1527" s="4"/>
      <c r="J1527" s="63"/>
      <c r="K1527" s="63"/>
      <c r="L1527" s="69"/>
      <c r="M1527" s="70"/>
      <c r="N1527" s="70"/>
      <c r="O1527" s="71">
        <f>SUM(O1519:O1526)</f>
        <v>261778.93</v>
      </c>
      <c r="P1527" s="71">
        <f t="shared" ref="P1527:R1527" si="254">SUM(P1519:P1526)</f>
        <v>472200</v>
      </c>
      <c r="Q1527" s="71">
        <f t="shared" si="254"/>
        <v>103884</v>
      </c>
      <c r="R1527" s="71">
        <f t="shared" si="254"/>
        <v>576084</v>
      </c>
      <c r="S1527" s="72">
        <f>R1527/100*10</f>
        <v>57608.4</v>
      </c>
      <c r="T1527" s="73">
        <v>82</v>
      </c>
      <c r="U1527" s="275"/>
      <c r="V1527" s="38"/>
      <c r="W1527" s="38"/>
      <c r="X1527" s="38"/>
    </row>
    <row r="1528" spans="1:24" ht="15" customHeight="1" x14ac:dyDescent="0.35">
      <c r="A1528" s="56" t="s">
        <v>3742</v>
      </c>
      <c r="B1528" s="2">
        <v>1442</v>
      </c>
      <c r="C1528" s="77">
        <v>10128888</v>
      </c>
      <c r="D1528" s="74" t="s">
        <v>235</v>
      </c>
      <c r="E1528" s="74" t="s">
        <v>2199</v>
      </c>
      <c r="F1528" s="75">
        <v>60</v>
      </c>
      <c r="G1528" s="64" t="s">
        <v>0</v>
      </c>
      <c r="H1528" s="61">
        <v>40461</v>
      </c>
      <c r="I1528" s="61" t="s">
        <v>2094</v>
      </c>
      <c r="J1528" s="63" t="s">
        <v>1917</v>
      </c>
      <c r="K1528" s="61" t="s">
        <v>961</v>
      </c>
      <c r="L1528" s="61" t="s">
        <v>845</v>
      </c>
      <c r="M1528" s="65">
        <f t="shared" si="241"/>
        <v>14745</v>
      </c>
      <c r="N1528" s="65">
        <f t="shared" ref="N1528:N1537" si="255">O1528/F1528</f>
        <v>245.75</v>
      </c>
      <c r="O1528" s="65">
        <v>14745</v>
      </c>
      <c r="P1528" s="65">
        <v>15800</v>
      </c>
      <c r="Q1528" s="65">
        <f t="shared" si="250"/>
        <v>3476</v>
      </c>
      <c r="R1528" s="65">
        <f t="shared" si="251"/>
        <v>19276</v>
      </c>
      <c r="S1528" s="267"/>
      <c r="T1528" s="64">
        <v>83</v>
      </c>
      <c r="U1528" s="273" t="s">
        <v>2289</v>
      </c>
      <c r="V1528" s="38">
        <v>17230</v>
      </c>
      <c r="W1528" s="38">
        <f t="shared" si="252"/>
        <v>3790.6</v>
      </c>
      <c r="X1528" s="38">
        <f t="shared" si="253"/>
        <v>21020.6</v>
      </c>
    </row>
    <row r="1529" spans="1:24" ht="15" customHeight="1" x14ac:dyDescent="0.35">
      <c r="A1529" s="56" t="s">
        <v>3743</v>
      </c>
      <c r="B1529" s="2">
        <v>1443</v>
      </c>
      <c r="C1529" s="77">
        <v>10117724</v>
      </c>
      <c r="D1529" s="74" t="s">
        <v>285</v>
      </c>
      <c r="E1529" s="74" t="s">
        <v>2151</v>
      </c>
      <c r="F1529" s="75">
        <v>1</v>
      </c>
      <c r="G1529" s="64" t="s">
        <v>0</v>
      </c>
      <c r="H1529" s="101" t="s">
        <v>505</v>
      </c>
      <c r="I1529" s="61" t="s">
        <v>972</v>
      </c>
      <c r="J1529" s="63" t="s">
        <v>1917</v>
      </c>
      <c r="K1529" s="61" t="s">
        <v>961</v>
      </c>
      <c r="L1529" s="61" t="s">
        <v>845</v>
      </c>
      <c r="M1529" s="65">
        <f t="shared" si="241"/>
        <v>960.12</v>
      </c>
      <c r="N1529" s="65">
        <f t="shared" si="255"/>
        <v>960.12</v>
      </c>
      <c r="O1529" s="65">
        <v>960.12</v>
      </c>
      <c r="P1529" s="65">
        <v>800</v>
      </c>
      <c r="Q1529" s="65">
        <f t="shared" si="250"/>
        <v>176</v>
      </c>
      <c r="R1529" s="65">
        <f t="shared" si="251"/>
        <v>976</v>
      </c>
      <c r="S1529" s="272"/>
      <c r="T1529" s="64">
        <v>83</v>
      </c>
      <c r="U1529" s="274"/>
      <c r="V1529" s="38">
        <v>871</v>
      </c>
      <c r="W1529" s="38">
        <f t="shared" si="252"/>
        <v>191.62</v>
      </c>
      <c r="X1529" s="38">
        <f t="shared" si="253"/>
        <v>1062.6199999999999</v>
      </c>
    </row>
    <row r="1530" spans="1:24" ht="15" customHeight="1" x14ac:dyDescent="0.35">
      <c r="A1530" s="56" t="s">
        <v>3744</v>
      </c>
      <c r="B1530" s="2">
        <v>1444</v>
      </c>
      <c r="C1530" s="77">
        <v>10118689</v>
      </c>
      <c r="D1530" s="74" t="s">
        <v>331</v>
      </c>
      <c r="E1530" s="74" t="s">
        <v>2151</v>
      </c>
      <c r="F1530" s="75">
        <v>2</v>
      </c>
      <c r="G1530" s="64" t="s">
        <v>17</v>
      </c>
      <c r="H1530" s="101" t="s">
        <v>505</v>
      </c>
      <c r="I1530" s="61" t="s">
        <v>972</v>
      </c>
      <c r="J1530" s="63" t="s">
        <v>1917</v>
      </c>
      <c r="K1530" s="61" t="s">
        <v>961</v>
      </c>
      <c r="L1530" s="61" t="s">
        <v>845</v>
      </c>
      <c r="M1530" s="65">
        <f t="shared" si="241"/>
        <v>613.22</v>
      </c>
      <c r="N1530" s="65">
        <f t="shared" si="255"/>
        <v>306.61</v>
      </c>
      <c r="O1530" s="65">
        <v>613.22</v>
      </c>
      <c r="P1530" s="65">
        <v>480</v>
      </c>
      <c r="Q1530" s="65">
        <f t="shared" si="250"/>
        <v>105.6</v>
      </c>
      <c r="R1530" s="65">
        <f t="shared" si="251"/>
        <v>585.6</v>
      </c>
      <c r="S1530" s="272"/>
      <c r="T1530" s="64">
        <v>83</v>
      </c>
      <c r="U1530" s="274"/>
      <c r="V1530" s="38">
        <v>526</v>
      </c>
      <c r="W1530" s="38">
        <f t="shared" si="252"/>
        <v>115.72</v>
      </c>
      <c r="X1530" s="38">
        <f t="shared" si="253"/>
        <v>641.72</v>
      </c>
    </row>
    <row r="1531" spans="1:24" ht="15" customHeight="1" x14ac:dyDescent="0.35">
      <c r="A1531" s="56" t="s">
        <v>3745</v>
      </c>
      <c r="B1531" s="2">
        <v>1445</v>
      </c>
      <c r="C1531" s="77">
        <v>10118702</v>
      </c>
      <c r="D1531" s="74" t="s">
        <v>383</v>
      </c>
      <c r="E1531" s="74" t="s">
        <v>2151</v>
      </c>
      <c r="F1531" s="75">
        <v>18</v>
      </c>
      <c r="G1531" s="64" t="s">
        <v>17</v>
      </c>
      <c r="H1531" s="101" t="s">
        <v>505</v>
      </c>
      <c r="I1531" s="61" t="s">
        <v>972</v>
      </c>
      <c r="J1531" s="63" t="s">
        <v>1917</v>
      </c>
      <c r="K1531" s="61" t="s">
        <v>961</v>
      </c>
      <c r="L1531" s="61" t="s">
        <v>845</v>
      </c>
      <c r="M1531" s="65">
        <f t="shared" si="241"/>
        <v>1643.82</v>
      </c>
      <c r="N1531" s="65">
        <f t="shared" si="255"/>
        <v>91.32</v>
      </c>
      <c r="O1531" s="65">
        <v>1643.82</v>
      </c>
      <c r="P1531" s="65">
        <v>1290</v>
      </c>
      <c r="Q1531" s="65">
        <f t="shared" si="250"/>
        <v>283.8</v>
      </c>
      <c r="R1531" s="65">
        <f t="shared" si="251"/>
        <v>1573.8</v>
      </c>
      <c r="S1531" s="272"/>
      <c r="T1531" s="64">
        <v>83</v>
      </c>
      <c r="U1531" s="274"/>
      <c r="V1531" s="38">
        <v>1410</v>
      </c>
      <c r="W1531" s="38">
        <f t="shared" si="252"/>
        <v>310.2</v>
      </c>
      <c r="X1531" s="38">
        <f t="shared" si="253"/>
        <v>1720.2</v>
      </c>
    </row>
    <row r="1532" spans="1:24" ht="15" customHeight="1" x14ac:dyDescent="0.35">
      <c r="A1532" s="56" t="s">
        <v>3746</v>
      </c>
      <c r="B1532" s="2">
        <v>1446</v>
      </c>
      <c r="C1532" s="74">
        <v>10095257</v>
      </c>
      <c r="D1532" s="74" t="s">
        <v>2196</v>
      </c>
      <c r="E1532" s="74" t="s">
        <v>3986</v>
      </c>
      <c r="F1532" s="75">
        <v>43</v>
      </c>
      <c r="G1532" s="64" t="s">
        <v>0</v>
      </c>
      <c r="H1532" s="64">
        <v>2014</v>
      </c>
      <c r="I1532" s="105" t="s">
        <v>972</v>
      </c>
      <c r="J1532" s="63" t="s">
        <v>1917</v>
      </c>
      <c r="K1532" s="63" t="s">
        <v>961</v>
      </c>
      <c r="L1532" s="61" t="s">
        <v>845</v>
      </c>
      <c r="M1532" s="65">
        <f t="shared" si="241"/>
        <v>38512.089999999997</v>
      </c>
      <c r="N1532" s="65">
        <f t="shared" si="255"/>
        <v>895.63</v>
      </c>
      <c r="O1532" s="65">
        <v>38512.089999999997</v>
      </c>
      <c r="P1532" s="65">
        <v>36360</v>
      </c>
      <c r="Q1532" s="65">
        <f t="shared" si="250"/>
        <v>7999.2</v>
      </c>
      <c r="R1532" s="65">
        <f t="shared" si="251"/>
        <v>44359.199999999997</v>
      </c>
      <c r="S1532" s="272"/>
      <c r="T1532" s="64">
        <v>83</v>
      </c>
      <c r="U1532" s="274"/>
      <c r="V1532" s="38">
        <v>39656</v>
      </c>
      <c r="W1532" s="38">
        <f t="shared" si="252"/>
        <v>8724.32</v>
      </c>
      <c r="X1532" s="38">
        <f t="shared" si="253"/>
        <v>48380.32</v>
      </c>
    </row>
    <row r="1533" spans="1:24" ht="15" customHeight="1" x14ac:dyDescent="0.35">
      <c r="A1533" s="56" t="s">
        <v>3747</v>
      </c>
      <c r="B1533" s="2">
        <v>1447</v>
      </c>
      <c r="C1533" s="74">
        <v>10099430</v>
      </c>
      <c r="D1533" s="74" t="s">
        <v>2197</v>
      </c>
      <c r="E1533" s="74" t="s">
        <v>3986</v>
      </c>
      <c r="F1533" s="75">
        <v>52</v>
      </c>
      <c r="G1533" s="64" t="s">
        <v>0</v>
      </c>
      <c r="H1533" s="64">
        <v>2014</v>
      </c>
      <c r="I1533" s="105" t="s">
        <v>972</v>
      </c>
      <c r="J1533" s="63" t="s">
        <v>1917</v>
      </c>
      <c r="K1533" s="63" t="s">
        <v>961</v>
      </c>
      <c r="L1533" s="61" t="s">
        <v>845</v>
      </c>
      <c r="M1533" s="65">
        <f t="shared" si="241"/>
        <v>78436.28</v>
      </c>
      <c r="N1533" s="65">
        <f t="shared" si="255"/>
        <v>1508.39</v>
      </c>
      <c r="O1533" s="65">
        <v>78436.28</v>
      </c>
      <c r="P1533" s="65">
        <v>75870</v>
      </c>
      <c r="Q1533" s="65">
        <f t="shared" si="250"/>
        <v>16691.400000000001</v>
      </c>
      <c r="R1533" s="65">
        <f t="shared" si="251"/>
        <v>92561.4</v>
      </c>
      <c r="S1533" s="272"/>
      <c r="T1533" s="64">
        <v>83</v>
      </c>
      <c r="U1533" s="274"/>
      <c r="V1533" s="38">
        <v>82733</v>
      </c>
      <c r="W1533" s="38">
        <f t="shared" si="252"/>
        <v>18201.259999999998</v>
      </c>
      <c r="X1533" s="38">
        <f t="shared" si="253"/>
        <v>100934.26</v>
      </c>
    </row>
    <row r="1534" spans="1:24" ht="15" customHeight="1" x14ac:dyDescent="0.35">
      <c r="A1534" s="56" t="s">
        <v>3748</v>
      </c>
      <c r="B1534" s="2">
        <v>1448</v>
      </c>
      <c r="C1534" s="77">
        <v>10130913</v>
      </c>
      <c r="D1534" s="74" t="s">
        <v>86</v>
      </c>
      <c r="E1534" s="74" t="s">
        <v>1978</v>
      </c>
      <c r="F1534" s="75">
        <v>13</v>
      </c>
      <c r="G1534" s="64" t="s">
        <v>0</v>
      </c>
      <c r="H1534" s="101">
        <v>2014</v>
      </c>
      <c r="I1534" s="4" t="s">
        <v>957</v>
      </c>
      <c r="J1534" s="61" t="s">
        <v>1917</v>
      </c>
      <c r="K1534" s="101" t="s">
        <v>2035</v>
      </c>
      <c r="L1534" s="61" t="s">
        <v>2097</v>
      </c>
      <c r="M1534" s="65">
        <f t="shared" si="241"/>
        <v>2645.5</v>
      </c>
      <c r="N1534" s="65">
        <f t="shared" si="255"/>
        <v>203.5</v>
      </c>
      <c r="O1534" s="65">
        <v>2645.5</v>
      </c>
      <c r="P1534" s="65">
        <v>3400</v>
      </c>
      <c r="Q1534" s="65">
        <f t="shared" si="250"/>
        <v>748</v>
      </c>
      <c r="R1534" s="65">
        <f t="shared" si="251"/>
        <v>4148</v>
      </c>
      <c r="S1534" s="272"/>
      <c r="T1534" s="64">
        <v>83</v>
      </c>
      <c r="U1534" s="274"/>
      <c r="V1534" s="38">
        <v>3704</v>
      </c>
      <c r="W1534" s="38">
        <f t="shared" si="252"/>
        <v>814.88</v>
      </c>
      <c r="X1534" s="38">
        <f t="shared" si="253"/>
        <v>4518.88</v>
      </c>
    </row>
    <row r="1535" spans="1:24" ht="15" customHeight="1" x14ac:dyDescent="0.35">
      <c r="A1535" s="56" t="s">
        <v>3749</v>
      </c>
      <c r="B1535" s="2">
        <v>1449</v>
      </c>
      <c r="C1535" s="77">
        <v>10104366</v>
      </c>
      <c r="D1535" s="74" t="s">
        <v>112</v>
      </c>
      <c r="E1535" s="59" t="s">
        <v>2167</v>
      </c>
      <c r="F1535" s="75">
        <v>60</v>
      </c>
      <c r="G1535" s="64" t="s">
        <v>8</v>
      </c>
      <c r="H1535" s="101">
        <v>2014</v>
      </c>
      <c r="I1535" s="4" t="s">
        <v>957</v>
      </c>
      <c r="J1535" s="61" t="s">
        <v>1917</v>
      </c>
      <c r="K1535" s="101" t="s">
        <v>2044</v>
      </c>
      <c r="L1535" s="61" t="s">
        <v>2097</v>
      </c>
      <c r="M1535" s="65">
        <f t="shared" si="241"/>
        <v>1121.1199999999999</v>
      </c>
      <c r="N1535" s="65">
        <f t="shared" si="255"/>
        <v>18.690000000000001</v>
      </c>
      <c r="O1535" s="65">
        <v>1121.1199999999999</v>
      </c>
      <c r="P1535" s="65">
        <v>1530</v>
      </c>
      <c r="Q1535" s="65">
        <f t="shared" si="250"/>
        <v>336.6</v>
      </c>
      <c r="R1535" s="65">
        <f t="shared" si="251"/>
        <v>1866.6</v>
      </c>
      <c r="S1535" s="272"/>
      <c r="T1535" s="64">
        <v>83</v>
      </c>
      <c r="U1535" s="274"/>
      <c r="V1535" s="38">
        <v>1674</v>
      </c>
      <c r="W1535" s="38">
        <f t="shared" si="252"/>
        <v>368.28</v>
      </c>
      <c r="X1535" s="38">
        <f t="shared" si="253"/>
        <v>2042.28</v>
      </c>
    </row>
    <row r="1536" spans="1:24" ht="15" customHeight="1" x14ac:dyDescent="0.35">
      <c r="A1536" s="56" t="s">
        <v>3750</v>
      </c>
      <c r="B1536" s="2">
        <v>1450</v>
      </c>
      <c r="C1536" s="77">
        <v>10135502</v>
      </c>
      <c r="D1536" s="74" t="s">
        <v>127</v>
      </c>
      <c r="E1536" s="59" t="s">
        <v>2167</v>
      </c>
      <c r="F1536" s="75">
        <v>327</v>
      </c>
      <c r="G1536" s="64" t="s">
        <v>0</v>
      </c>
      <c r="H1536" s="101">
        <v>2014</v>
      </c>
      <c r="I1536" s="4" t="s">
        <v>957</v>
      </c>
      <c r="J1536" s="61" t="s">
        <v>1917</v>
      </c>
      <c r="K1536" s="101" t="s">
        <v>2050</v>
      </c>
      <c r="L1536" s="61" t="s">
        <v>2097</v>
      </c>
      <c r="M1536" s="65">
        <f t="shared" si="241"/>
        <v>232.17</v>
      </c>
      <c r="N1536" s="65">
        <f t="shared" si="255"/>
        <v>0.71</v>
      </c>
      <c r="O1536" s="65">
        <v>232.17</v>
      </c>
      <c r="P1536" s="65">
        <v>120</v>
      </c>
      <c r="Q1536" s="65">
        <f t="shared" si="250"/>
        <v>26.4</v>
      </c>
      <c r="R1536" s="65">
        <f t="shared" si="251"/>
        <v>146.4</v>
      </c>
      <c r="S1536" s="272"/>
      <c r="T1536" s="64">
        <v>83</v>
      </c>
      <c r="U1536" s="274"/>
      <c r="V1536" s="38">
        <v>134</v>
      </c>
      <c r="W1536" s="38">
        <f t="shared" si="252"/>
        <v>29.48</v>
      </c>
      <c r="X1536" s="38">
        <f t="shared" si="253"/>
        <v>163.47999999999999</v>
      </c>
    </row>
    <row r="1537" spans="1:24" ht="15" customHeight="1" x14ac:dyDescent="0.35">
      <c r="A1537" s="56" t="s">
        <v>3751</v>
      </c>
      <c r="B1537" s="2">
        <v>1451</v>
      </c>
      <c r="C1537" s="77">
        <v>10105554</v>
      </c>
      <c r="D1537" s="74" t="s">
        <v>133</v>
      </c>
      <c r="E1537" s="59" t="s">
        <v>2167</v>
      </c>
      <c r="F1537" s="75">
        <f>544.2-247-40</f>
        <v>257.2</v>
      </c>
      <c r="G1537" s="64" t="s">
        <v>114</v>
      </c>
      <c r="H1537" s="101">
        <v>2014</v>
      </c>
      <c r="I1537" s="4" t="s">
        <v>957</v>
      </c>
      <c r="J1537" s="61" t="s">
        <v>1917</v>
      </c>
      <c r="K1537" s="101" t="s">
        <v>2086</v>
      </c>
      <c r="L1537" s="61" t="s">
        <v>2097</v>
      </c>
      <c r="M1537" s="65">
        <f t="shared" si="241"/>
        <v>27368.65</v>
      </c>
      <c r="N1537" s="65">
        <f t="shared" si="255"/>
        <v>106.41</v>
      </c>
      <c r="O1537" s="65">
        <f>57908.32/544.2*257.2</f>
        <v>27368.65</v>
      </c>
      <c r="P1537" s="65">
        <v>35140</v>
      </c>
      <c r="Q1537" s="65">
        <f t="shared" si="250"/>
        <v>7730.8</v>
      </c>
      <c r="R1537" s="65">
        <f t="shared" si="251"/>
        <v>42870.8</v>
      </c>
      <c r="S1537" s="276"/>
      <c r="T1537" s="64">
        <v>83</v>
      </c>
      <c r="U1537" s="274"/>
      <c r="V1537" s="38">
        <v>38321</v>
      </c>
      <c r="W1537" s="38">
        <f t="shared" si="252"/>
        <v>8430.6200000000008</v>
      </c>
      <c r="X1537" s="38">
        <f t="shared" si="253"/>
        <v>46751.62</v>
      </c>
    </row>
    <row r="1538" spans="1:24" ht="15" customHeight="1" x14ac:dyDescent="0.35">
      <c r="A1538" s="56"/>
      <c r="B1538" s="15"/>
      <c r="C1538" s="77"/>
      <c r="D1538" s="74"/>
      <c r="E1538" s="74"/>
      <c r="F1538" s="75"/>
      <c r="G1538" s="64"/>
      <c r="H1538" s="101"/>
      <c r="I1538" s="4"/>
      <c r="J1538" s="61"/>
      <c r="K1538" s="101"/>
      <c r="L1538" s="61"/>
      <c r="M1538" s="65"/>
      <c r="N1538" s="65"/>
      <c r="O1538" s="126">
        <f>SUM(O1528:O1537)</f>
        <v>166277.97</v>
      </c>
      <c r="P1538" s="126">
        <f t="shared" ref="P1538:R1538" si="256">SUM(P1528:P1537)</f>
        <v>170790</v>
      </c>
      <c r="Q1538" s="126">
        <f t="shared" si="256"/>
        <v>37573.800000000003</v>
      </c>
      <c r="R1538" s="126">
        <f t="shared" si="256"/>
        <v>208363.8</v>
      </c>
      <c r="S1538" s="72">
        <f>R1538/100*10</f>
        <v>20836.38</v>
      </c>
      <c r="T1538" s="73">
        <v>83</v>
      </c>
      <c r="U1538" s="275"/>
      <c r="V1538" s="38"/>
      <c r="W1538" s="38"/>
      <c r="X1538" s="38"/>
    </row>
    <row r="1539" spans="1:24" ht="15" customHeight="1" x14ac:dyDescent="0.35">
      <c r="A1539" s="56" t="s">
        <v>3752</v>
      </c>
      <c r="B1539" s="2">
        <v>1452</v>
      </c>
      <c r="C1539" s="89">
        <v>10123727</v>
      </c>
      <c r="D1539" s="90" t="s">
        <v>661</v>
      </c>
      <c r="E1539" s="74" t="s">
        <v>686</v>
      </c>
      <c r="F1539" s="91">
        <v>9</v>
      </c>
      <c r="G1539" s="64" t="s">
        <v>0</v>
      </c>
      <c r="H1539" s="61">
        <v>42004</v>
      </c>
      <c r="I1539" s="107" t="s">
        <v>976</v>
      </c>
      <c r="J1539" s="63" t="s">
        <v>1917</v>
      </c>
      <c r="K1539" s="108" t="s">
        <v>837</v>
      </c>
      <c r="L1539" s="64" t="s">
        <v>845</v>
      </c>
      <c r="M1539" s="65">
        <f t="shared" si="241"/>
        <v>52023.06</v>
      </c>
      <c r="N1539" s="65">
        <f>O1539/F1539</f>
        <v>5780.34</v>
      </c>
      <c r="O1539" s="65">
        <v>52023.06</v>
      </c>
      <c r="P1539" s="65">
        <v>47670</v>
      </c>
      <c r="Q1539" s="65">
        <f t="shared" si="250"/>
        <v>10487.4</v>
      </c>
      <c r="R1539" s="65">
        <f t="shared" si="251"/>
        <v>58157.4</v>
      </c>
      <c r="S1539" s="125"/>
      <c r="T1539" s="64">
        <v>84</v>
      </c>
      <c r="U1539" s="282" t="s">
        <v>2290</v>
      </c>
      <c r="V1539" s="38">
        <v>47669</v>
      </c>
      <c r="W1539" s="38">
        <f t="shared" si="252"/>
        <v>10487.18</v>
      </c>
      <c r="X1539" s="38">
        <f t="shared" si="253"/>
        <v>58156.18</v>
      </c>
    </row>
    <row r="1540" spans="1:24" ht="15" customHeight="1" x14ac:dyDescent="0.35">
      <c r="A1540" s="56"/>
      <c r="B1540" s="15"/>
      <c r="C1540" s="89"/>
      <c r="D1540" s="90"/>
      <c r="E1540" s="74"/>
      <c r="F1540" s="91"/>
      <c r="G1540" s="64"/>
      <c r="H1540" s="61"/>
      <c r="I1540" s="107"/>
      <c r="J1540" s="63"/>
      <c r="K1540" s="108"/>
      <c r="L1540" s="64"/>
      <c r="M1540" s="65"/>
      <c r="N1540" s="65"/>
      <c r="O1540" s="126">
        <f>O1539</f>
        <v>52023.06</v>
      </c>
      <c r="P1540" s="126">
        <f t="shared" ref="P1540:R1540" si="257">P1539</f>
        <v>47670</v>
      </c>
      <c r="Q1540" s="126">
        <f t="shared" si="257"/>
        <v>10487.4</v>
      </c>
      <c r="R1540" s="126">
        <f t="shared" si="257"/>
        <v>58157.4</v>
      </c>
      <c r="S1540" s="72">
        <f>R1540/100*10</f>
        <v>5815.74</v>
      </c>
      <c r="T1540" s="73">
        <v>84</v>
      </c>
      <c r="U1540" s="283"/>
      <c r="V1540" s="38"/>
      <c r="W1540" s="38"/>
      <c r="X1540" s="38"/>
    </row>
    <row r="1541" spans="1:24" ht="30.65" customHeight="1" x14ac:dyDescent="0.35">
      <c r="A1541" s="56" t="s">
        <v>3753</v>
      </c>
      <c r="B1541" s="2">
        <v>1453</v>
      </c>
      <c r="C1541" s="77">
        <v>10121918</v>
      </c>
      <c r="D1541" s="74" t="s">
        <v>152</v>
      </c>
      <c r="E1541" s="103" t="s">
        <v>2152</v>
      </c>
      <c r="F1541" s="75">
        <v>1</v>
      </c>
      <c r="G1541" s="64" t="s">
        <v>17</v>
      </c>
      <c r="H1541" s="61">
        <v>42004</v>
      </c>
      <c r="I1541" s="63" t="s">
        <v>1918</v>
      </c>
      <c r="J1541" s="63" t="s">
        <v>1917</v>
      </c>
      <c r="K1541" s="63" t="s">
        <v>1920</v>
      </c>
      <c r="L1541" s="88" t="s">
        <v>1921</v>
      </c>
      <c r="M1541" s="76">
        <f t="shared" ref="M1541:M1604" si="258">O1541</f>
        <v>2747</v>
      </c>
      <c r="N1541" s="76">
        <f>O1541/F1541</f>
        <v>2747</v>
      </c>
      <c r="O1541" s="76">
        <v>2747</v>
      </c>
      <c r="P1541" s="65">
        <v>3980</v>
      </c>
      <c r="Q1541" s="65">
        <f t="shared" si="250"/>
        <v>875.6</v>
      </c>
      <c r="R1541" s="65">
        <f t="shared" si="251"/>
        <v>4855.6000000000004</v>
      </c>
      <c r="S1541" s="267"/>
      <c r="T1541" s="64">
        <v>85</v>
      </c>
      <c r="U1541" s="273" t="s">
        <v>2291</v>
      </c>
      <c r="V1541" s="38">
        <v>4279</v>
      </c>
      <c r="W1541" s="38">
        <f t="shared" si="252"/>
        <v>941.38</v>
      </c>
      <c r="X1541" s="38">
        <f t="shared" si="253"/>
        <v>5220.38</v>
      </c>
    </row>
    <row r="1542" spans="1:24" ht="30.65" customHeight="1" x14ac:dyDescent="0.35">
      <c r="A1542" s="56" t="s">
        <v>3754</v>
      </c>
      <c r="B1542" s="2">
        <v>1454</v>
      </c>
      <c r="C1542" s="77">
        <v>10121948</v>
      </c>
      <c r="D1542" s="74" t="s">
        <v>153</v>
      </c>
      <c r="E1542" s="103" t="s">
        <v>2152</v>
      </c>
      <c r="F1542" s="75">
        <v>1</v>
      </c>
      <c r="G1542" s="64" t="s">
        <v>17</v>
      </c>
      <c r="H1542" s="61">
        <v>42004</v>
      </c>
      <c r="I1542" s="63" t="s">
        <v>1918</v>
      </c>
      <c r="J1542" s="63" t="s">
        <v>1917</v>
      </c>
      <c r="K1542" s="63" t="s">
        <v>1922</v>
      </c>
      <c r="L1542" s="88" t="s">
        <v>1921</v>
      </c>
      <c r="M1542" s="76">
        <f t="shared" si="258"/>
        <v>3505</v>
      </c>
      <c r="N1542" s="76">
        <f>O1542/F1542</f>
        <v>3505</v>
      </c>
      <c r="O1542" s="76">
        <v>3505</v>
      </c>
      <c r="P1542" s="65">
        <v>5080</v>
      </c>
      <c r="Q1542" s="65">
        <f t="shared" si="250"/>
        <v>1117.5999999999999</v>
      </c>
      <c r="R1542" s="65">
        <f t="shared" si="251"/>
        <v>6197.6</v>
      </c>
      <c r="S1542" s="272"/>
      <c r="T1542" s="64">
        <v>85</v>
      </c>
      <c r="U1542" s="274"/>
      <c r="V1542" s="38">
        <v>5460</v>
      </c>
      <c r="W1542" s="38">
        <f t="shared" si="252"/>
        <v>1201.2</v>
      </c>
      <c r="X1542" s="38">
        <f t="shared" si="253"/>
        <v>6661.2</v>
      </c>
    </row>
    <row r="1543" spans="1:24" ht="30.65" customHeight="1" x14ac:dyDescent="0.35">
      <c r="A1543" s="56" t="s">
        <v>3755</v>
      </c>
      <c r="B1543" s="2">
        <v>1455</v>
      </c>
      <c r="C1543" s="77">
        <v>10121964</v>
      </c>
      <c r="D1543" s="74" t="s">
        <v>154</v>
      </c>
      <c r="E1543" s="103" t="s">
        <v>2152</v>
      </c>
      <c r="F1543" s="75">
        <v>1</v>
      </c>
      <c r="G1543" s="64" t="s">
        <v>17</v>
      </c>
      <c r="H1543" s="61">
        <v>42004</v>
      </c>
      <c r="I1543" s="63" t="s">
        <v>1918</v>
      </c>
      <c r="J1543" s="63" t="s">
        <v>1917</v>
      </c>
      <c r="K1543" s="63" t="s">
        <v>1923</v>
      </c>
      <c r="L1543" s="88" t="s">
        <v>1921</v>
      </c>
      <c r="M1543" s="76">
        <f t="shared" si="258"/>
        <v>1996</v>
      </c>
      <c r="N1543" s="76">
        <f>O1543/F1543</f>
        <v>1996</v>
      </c>
      <c r="O1543" s="76">
        <v>1996</v>
      </c>
      <c r="P1543" s="65">
        <v>2890</v>
      </c>
      <c r="Q1543" s="65">
        <f t="shared" si="250"/>
        <v>635.79999999999995</v>
      </c>
      <c r="R1543" s="65">
        <f t="shared" si="251"/>
        <v>3525.8</v>
      </c>
      <c r="S1543" s="272"/>
      <c r="T1543" s="64">
        <v>85</v>
      </c>
      <c r="U1543" s="274"/>
      <c r="V1543" s="38">
        <v>3109</v>
      </c>
      <c r="W1543" s="38">
        <f t="shared" si="252"/>
        <v>683.98</v>
      </c>
      <c r="X1543" s="38">
        <f t="shared" si="253"/>
        <v>3792.98</v>
      </c>
    </row>
    <row r="1544" spans="1:24" ht="24.75" customHeight="1" x14ac:dyDescent="0.35">
      <c r="A1544" s="56" t="s">
        <v>3756</v>
      </c>
      <c r="B1544" s="2">
        <v>1456</v>
      </c>
      <c r="C1544" s="77">
        <v>10023849</v>
      </c>
      <c r="D1544" s="74" t="s">
        <v>164</v>
      </c>
      <c r="E1544" s="103" t="s">
        <v>2152</v>
      </c>
      <c r="F1544" s="75">
        <v>4</v>
      </c>
      <c r="G1544" s="64" t="s">
        <v>17</v>
      </c>
      <c r="H1544" s="61">
        <v>42004</v>
      </c>
      <c r="I1544" s="63" t="s">
        <v>1918</v>
      </c>
      <c r="J1544" s="63" t="s">
        <v>1917</v>
      </c>
      <c r="K1544" s="63" t="s">
        <v>1924</v>
      </c>
      <c r="L1544" s="88" t="s">
        <v>1921</v>
      </c>
      <c r="M1544" s="76">
        <f t="shared" si="258"/>
        <v>12480</v>
      </c>
      <c r="N1544" s="76">
        <f>O1544/F1544</f>
        <v>3120</v>
      </c>
      <c r="O1544" s="76">
        <v>12480</v>
      </c>
      <c r="P1544" s="65">
        <v>19900</v>
      </c>
      <c r="Q1544" s="65">
        <f t="shared" si="250"/>
        <v>4378</v>
      </c>
      <c r="R1544" s="65">
        <f t="shared" si="251"/>
        <v>24278</v>
      </c>
      <c r="S1544" s="272"/>
      <c r="T1544" s="64">
        <v>85</v>
      </c>
      <c r="U1544" s="274"/>
      <c r="V1544" s="38">
        <v>21399</v>
      </c>
      <c r="W1544" s="38">
        <f t="shared" si="252"/>
        <v>4707.78</v>
      </c>
      <c r="X1544" s="38">
        <f t="shared" si="253"/>
        <v>26106.78</v>
      </c>
    </row>
    <row r="1545" spans="1:24" ht="28.5" customHeight="1" x14ac:dyDescent="0.35">
      <c r="A1545" s="56" t="s">
        <v>3757</v>
      </c>
      <c r="B1545" s="2">
        <v>1457</v>
      </c>
      <c r="C1545" s="77">
        <v>10036542</v>
      </c>
      <c r="D1545" s="74" t="s">
        <v>165</v>
      </c>
      <c r="E1545" s="103" t="s">
        <v>2152</v>
      </c>
      <c r="F1545" s="75">
        <v>5</v>
      </c>
      <c r="G1545" s="64" t="s">
        <v>17</v>
      </c>
      <c r="H1545" s="61">
        <v>42004</v>
      </c>
      <c r="I1545" s="63" t="s">
        <v>1918</v>
      </c>
      <c r="J1545" s="63" t="s">
        <v>1917</v>
      </c>
      <c r="K1545" s="63" t="s">
        <v>1925</v>
      </c>
      <c r="L1545" s="88" t="s">
        <v>1921</v>
      </c>
      <c r="M1545" s="76">
        <f t="shared" si="258"/>
        <v>8885</v>
      </c>
      <c r="N1545" s="76">
        <f>O1545/F1545</f>
        <v>1777</v>
      </c>
      <c r="O1545" s="76">
        <v>8885</v>
      </c>
      <c r="P1545" s="65">
        <v>14170</v>
      </c>
      <c r="Q1545" s="65">
        <f t="shared" si="250"/>
        <v>3117.4</v>
      </c>
      <c r="R1545" s="65">
        <f t="shared" si="251"/>
        <v>17287.400000000001</v>
      </c>
      <c r="S1545" s="276"/>
      <c r="T1545" s="64">
        <v>85</v>
      </c>
      <c r="U1545" s="274"/>
      <c r="V1545" s="38">
        <v>15235</v>
      </c>
      <c r="W1545" s="38">
        <f t="shared" si="252"/>
        <v>3351.7</v>
      </c>
      <c r="X1545" s="38">
        <f t="shared" si="253"/>
        <v>18586.7</v>
      </c>
    </row>
    <row r="1546" spans="1:24" ht="15" customHeight="1" x14ac:dyDescent="0.35">
      <c r="A1546" s="56"/>
      <c r="B1546" s="15"/>
      <c r="C1546" s="77"/>
      <c r="D1546" s="74"/>
      <c r="E1546" s="103"/>
      <c r="F1546" s="75"/>
      <c r="G1546" s="64"/>
      <c r="H1546" s="61"/>
      <c r="I1546" s="63"/>
      <c r="J1546" s="63"/>
      <c r="K1546" s="63"/>
      <c r="L1546" s="88"/>
      <c r="M1546" s="76"/>
      <c r="N1546" s="76"/>
      <c r="O1546" s="81">
        <f>SUM(O1541:O1545)</f>
        <v>29613</v>
      </c>
      <c r="P1546" s="81">
        <f t="shared" ref="P1546:R1546" si="259">SUM(P1541:P1545)</f>
        <v>46020</v>
      </c>
      <c r="Q1546" s="81">
        <f t="shared" si="259"/>
        <v>10124.4</v>
      </c>
      <c r="R1546" s="81">
        <f t="shared" si="259"/>
        <v>56144.4</v>
      </c>
      <c r="S1546" s="72">
        <f>R1546/100*10</f>
        <v>5614.44</v>
      </c>
      <c r="T1546" s="73">
        <v>85</v>
      </c>
      <c r="U1546" s="275"/>
      <c r="V1546" s="38"/>
      <c r="W1546" s="38"/>
      <c r="X1546" s="38"/>
    </row>
    <row r="1547" spans="1:24" ht="15" customHeight="1" x14ac:dyDescent="0.35">
      <c r="A1547" s="56" t="s">
        <v>3758</v>
      </c>
      <c r="B1547" s="2">
        <v>1458</v>
      </c>
      <c r="C1547" s="77">
        <v>10133779</v>
      </c>
      <c r="D1547" s="74" t="s">
        <v>1645</v>
      </c>
      <c r="E1547" s="59" t="s">
        <v>2167</v>
      </c>
      <c r="F1547" s="75">
        <v>30</v>
      </c>
      <c r="G1547" s="64" t="s">
        <v>8</v>
      </c>
      <c r="H1547" s="78">
        <v>41577</v>
      </c>
      <c r="I1547" s="4" t="s">
        <v>957</v>
      </c>
      <c r="J1547" s="63" t="s">
        <v>1917</v>
      </c>
      <c r="K1547" s="63" t="s">
        <v>961</v>
      </c>
      <c r="L1547" s="69" t="s">
        <v>950</v>
      </c>
      <c r="M1547" s="70">
        <f t="shared" si="258"/>
        <v>47817</v>
      </c>
      <c r="N1547" s="70">
        <f>O1547/F1547</f>
        <v>1593.9</v>
      </c>
      <c r="O1547" s="70">
        <v>47817</v>
      </c>
      <c r="P1547" s="65">
        <v>109030</v>
      </c>
      <c r="Q1547" s="65">
        <f t="shared" si="250"/>
        <v>23986.6</v>
      </c>
      <c r="R1547" s="65">
        <f t="shared" si="251"/>
        <v>133016.6</v>
      </c>
      <c r="S1547" s="267"/>
      <c r="T1547" s="64">
        <v>86</v>
      </c>
      <c r="U1547" s="273" t="s">
        <v>2292</v>
      </c>
      <c r="V1547" s="38">
        <v>109025</v>
      </c>
      <c r="W1547" s="38">
        <f t="shared" si="252"/>
        <v>23985.5</v>
      </c>
      <c r="X1547" s="38">
        <f t="shared" si="253"/>
        <v>133010.5</v>
      </c>
    </row>
    <row r="1548" spans="1:24" ht="15" customHeight="1" x14ac:dyDescent="0.35">
      <c r="A1548" s="56" t="s">
        <v>3759</v>
      </c>
      <c r="B1548" s="2">
        <v>1459</v>
      </c>
      <c r="C1548" s="77">
        <v>10137925</v>
      </c>
      <c r="D1548" s="74" t="s">
        <v>1899</v>
      </c>
      <c r="E1548" s="59" t="s">
        <v>2167</v>
      </c>
      <c r="F1548" s="75">
        <v>976</v>
      </c>
      <c r="G1548" s="64" t="s">
        <v>8</v>
      </c>
      <c r="H1548" s="78">
        <v>41627</v>
      </c>
      <c r="I1548" s="4" t="s">
        <v>957</v>
      </c>
      <c r="J1548" s="63" t="s">
        <v>1917</v>
      </c>
      <c r="K1548" s="63" t="s">
        <v>961</v>
      </c>
      <c r="L1548" s="69" t="s">
        <v>950</v>
      </c>
      <c r="M1548" s="70">
        <f t="shared" si="258"/>
        <v>35789.919999999998</v>
      </c>
      <c r="N1548" s="70">
        <f>O1548/F1548</f>
        <v>36.67</v>
      </c>
      <c r="O1548" s="70">
        <v>35789.919999999998</v>
      </c>
      <c r="P1548" s="65">
        <v>81600</v>
      </c>
      <c r="Q1548" s="65">
        <f t="shared" si="250"/>
        <v>17952</v>
      </c>
      <c r="R1548" s="65">
        <f t="shared" si="251"/>
        <v>99552</v>
      </c>
      <c r="S1548" s="276"/>
      <c r="T1548" s="64">
        <v>86</v>
      </c>
      <c r="U1548" s="274"/>
      <c r="V1548" s="38">
        <v>81603</v>
      </c>
      <c r="W1548" s="38">
        <f t="shared" si="252"/>
        <v>17952.66</v>
      </c>
      <c r="X1548" s="38">
        <f t="shared" si="253"/>
        <v>99555.66</v>
      </c>
    </row>
    <row r="1549" spans="1:24" ht="15" customHeight="1" x14ac:dyDescent="0.35">
      <c r="A1549" s="56"/>
      <c r="B1549" s="15"/>
      <c r="C1549" s="77"/>
      <c r="D1549" s="74"/>
      <c r="E1549" s="74"/>
      <c r="F1549" s="75"/>
      <c r="G1549" s="64"/>
      <c r="H1549" s="78"/>
      <c r="I1549" s="4"/>
      <c r="J1549" s="63"/>
      <c r="K1549" s="63"/>
      <c r="L1549" s="69"/>
      <c r="M1549" s="70"/>
      <c r="N1549" s="70"/>
      <c r="O1549" s="138">
        <f>SUM(O1547:O1548)</f>
        <v>83606.92</v>
      </c>
      <c r="P1549" s="138">
        <f t="shared" ref="P1549:R1549" si="260">SUM(P1547:P1548)</f>
        <v>190630</v>
      </c>
      <c r="Q1549" s="138">
        <f t="shared" si="260"/>
        <v>41938.6</v>
      </c>
      <c r="R1549" s="138">
        <f t="shared" si="260"/>
        <v>232568.6</v>
      </c>
      <c r="S1549" s="72">
        <f>R1549/100*10</f>
        <v>23256.86</v>
      </c>
      <c r="T1549" s="73">
        <v>86</v>
      </c>
      <c r="U1549" s="275"/>
      <c r="V1549" s="38"/>
      <c r="W1549" s="38"/>
      <c r="X1549" s="38"/>
    </row>
    <row r="1550" spans="1:24" ht="15" customHeight="1" x14ac:dyDescent="0.35">
      <c r="A1550" s="56" t="s">
        <v>3760</v>
      </c>
      <c r="B1550" s="2">
        <v>1460</v>
      </c>
      <c r="C1550" s="77">
        <v>10121307</v>
      </c>
      <c r="D1550" s="74" t="s">
        <v>1880</v>
      </c>
      <c r="E1550" s="59" t="s">
        <v>2187</v>
      </c>
      <c r="F1550" s="75">
        <v>2</v>
      </c>
      <c r="G1550" s="64" t="s">
        <v>0</v>
      </c>
      <c r="H1550" s="78">
        <v>42704</v>
      </c>
      <c r="I1550" s="4" t="s">
        <v>957</v>
      </c>
      <c r="J1550" s="63" t="s">
        <v>959</v>
      </c>
      <c r="K1550" s="63" t="s">
        <v>961</v>
      </c>
      <c r="L1550" s="69" t="s">
        <v>950</v>
      </c>
      <c r="M1550" s="70">
        <f t="shared" si="258"/>
        <v>42000</v>
      </c>
      <c r="N1550" s="70">
        <f>O1550/F1550</f>
        <v>21000</v>
      </c>
      <c r="O1550" s="70">
        <v>42000</v>
      </c>
      <c r="P1550" s="65">
        <v>61240</v>
      </c>
      <c r="Q1550" s="65">
        <f t="shared" si="250"/>
        <v>13472.8</v>
      </c>
      <c r="R1550" s="65">
        <f t="shared" si="251"/>
        <v>74712.800000000003</v>
      </c>
      <c r="S1550" s="267"/>
      <c r="T1550" s="64">
        <v>87</v>
      </c>
      <c r="U1550" s="273" t="s">
        <v>2293</v>
      </c>
      <c r="V1550" s="38">
        <v>65845</v>
      </c>
      <c r="W1550" s="38">
        <f t="shared" si="252"/>
        <v>14485.9</v>
      </c>
      <c r="X1550" s="38">
        <f t="shared" si="253"/>
        <v>80330.899999999994</v>
      </c>
    </row>
    <row r="1551" spans="1:24" ht="15" customHeight="1" x14ac:dyDescent="0.35">
      <c r="A1551" s="56" t="s">
        <v>3761</v>
      </c>
      <c r="B1551" s="2">
        <v>1461</v>
      </c>
      <c r="C1551" s="77">
        <v>10131222</v>
      </c>
      <c r="D1551" s="74" t="s">
        <v>1881</v>
      </c>
      <c r="E1551" s="59" t="s">
        <v>2187</v>
      </c>
      <c r="F1551" s="75">
        <v>2</v>
      </c>
      <c r="G1551" s="64" t="s">
        <v>0</v>
      </c>
      <c r="H1551" s="78">
        <v>42704</v>
      </c>
      <c r="I1551" s="4" t="s">
        <v>957</v>
      </c>
      <c r="J1551" s="63" t="s">
        <v>959</v>
      </c>
      <c r="K1551" s="63" t="s">
        <v>961</v>
      </c>
      <c r="L1551" s="69" t="s">
        <v>950</v>
      </c>
      <c r="M1551" s="70">
        <f t="shared" si="258"/>
        <v>74000</v>
      </c>
      <c r="N1551" s="70">
        <f>O1551/F1551</f>
        <v>37000</v>
      </c>
      <c r="O1551" s="70">
        <v>74000</v>
      </c>
      <c r="P1551" s="65">
        <v>107890</v>
      </c>
      <c r="Q1551" s="65">
        <f t="shared" si="250"/>
        <v>23735.8</v>
      </c>
      <c r="R1551" s="65">
        <f t="shared" si="251"/>
        <v>131625.79999999999</v>
      </c>
      <c r="S1551" s="272"/>
      <c r="T1551" s="64">
        <v>87</v>
      </c>
      <c r="U1551" s="274"/>
      <c r="V1551" s="38">
        <v>116012</v>
      </c>
      <c r="W1551" s="38">
        <f t="shared" si="252"/>
        <v>25522.639999999999</v>
      </c>
      <c r="X1551" s="38">
        <f t="shared" si="253"/>
        <v>141534.64000000001</v>
      </c>
    </row>
    <row r="1552" spans="1:24" ht="15" customHeight="1" x14ac:dyDescent="0.35">
      <c r="A1552" s="56" t="s">
        <v>3762</v>
      </c>
      <c r="B1552" s="2">
        <v>1462</v>
      </c>
      <c r="C1552" s="77">
        <v>10111295</v>
      </c>
      <c r="D1552" s="74" t="s">
        <v>1882</v>
      </c>
      <c r="E1552" s="59" t="s">
        <v>2187</v>
      </c>
      <c r="F1552" s="75">
        <v>10</v>
      </c>
      <c r="G1552" s="64" t="s">
        <v>0</v>
      </c>
      <c r="H1552" s="78">
        <v>42704</v>
      </c>
      <c r="I1552" s="4" t="s">
        <v>957</v>
      </c>
      <c r="J1552" s="63" t="s">
        <v>959</v>
      </c>
      <c r="K1552" s="63" t="s">
        <v>961</v>
      </c>
      <c r="L1552" s="69" t="s">
        <v>950</v>
      </c>
      <c r="M1552" s="70">
        <f t="shared" si="258"/>
        <v>187000</v>
      </c>
      <c r="N1552" s="70">
        <f>O1552/F1552</f>
        <v>18700</v>
      </c>
      <c r="O1552" s="70">
        <v>187000</v>
      </c>
      <c r="P1552" s="65">
        <v>272640</v>
      </c>
      <c r="Q1552" s="65">
        <f t="shared" si="250"/>
        <v>59980.800000000003</v>
      </c>
      <c r="R1552" s="65">
        <f t="shared" si="251"/>
        <v>332620.79999999999</v>
      </c>
      <c r="S1552" s="272"/>
      <c r="T1552" s="64">
        <v>87</v>
      </c>
      <c r="U1552" s="274"/>
      <c r="V1552" s="38">
        <v>293166</v>
      </c>
      <c r="W1552" s="38">
        <f t="shared" si="252"/>
        <v>64496.52</v>
      </c>
      <c r="X1552" s="38">
        <f t="shared" si="253"/>
        <v>357662.52</v>
      </c>
    </row>
    <row r="1553" spans="1:24" ht="15" customHeight="1" x14ac:dyDescent="0.35">
      <c r="A1553" s="56" t="s">
        <v>3763</v>
      </c>
      <c r="B1553" s="2">
        <v>1463</v>
      </c>
      <c r="C1553" s="11">
        <v>10142661</v>
      </c>
      <c r="D1553" s="3" t="s">
        <v>1402</v>
      </c>
      <c r="E1553" s="59" t="s">
        <v>2167</v>
      </c>
      <c r="F1553" s="14">
        <v>20</v>
      </c>
      <c r="G1553" s="64" t="s">
        <v>52</v>
      </c>
      <c r="H1553" s="5">
        <v>41091</v>
      </c>
      <c r="I1553" s="4" t="s">
        <v>957</v>
      </c>
      <c r="J1553" s="6" t="s">
        <v>1365</v>
      </c>
      <c r="K1553" s="63" t="s">
        <v>961</v>
      </c>
      <c r="L1553" s="69" t="s">
        <v>950</v>
      </c>
      <c r="M1553" s="70">
        <f t="shared" si="258"/>
        <v>220</v>
      </c>
      <c r="N1553" s="70">
        <f>O1553/F1553</f>
        <v>11</v>
      </c>
      <c r="O1553" s="70">
        <v>220</v>
      </c>
      <c r="P1553" s="65">
        <v>490</v>
      </c>
      <c r="Q1553" s="65">
        <f t="shared" si="250"/>
        <v>107.8</v>
      </c>
      <c r="R1553" s="65">
        <f t="shared" si="251"/>
        <v>597.79999999999995</v>
      </c>
      <c r="S1553" s="272"/>
      <c r="T1553" s="64">
        <v>87</v>
      </c>
      <c r="U1553" s="274"/>
      <c r="V1553" s="38">
        <v>530</v>
      </c>
      <c r="W1553" s="38">
        <f t="shared" si="252"/>
        <v>116.6</v>
      </c>
      <c r="X1553" s="38">
        <f t="shared" si="253"/>
        <v>646.6</v>
      </c>
    </row>
    <row r="1554" spans="1:24" ht="15" customHeight="1" x14ac:dyDescent="0.35">
      <c r="A1554" s="56" t="s">
        <v>3764</v>
      </c>
      <c r="B1554" s="2">
        <v>1464</v>
      </c>
      <c r="C1554" s="11">
        <v>10142663</v>
      </c>
      <c r="D1554" s="3" t="s">
        <v>1403</v>
      </c>
      <c r="E1554" s="59" t="s">
        <v>2167</v>
      </c>
      <c r="F1554" s="14">
        <v>21</v>
      </c>
      <c r="G1554" s="64" t="s">
        <v>0</v>
      </c>
      <c r="H1554" s="5">
        <v>41091</v>
      </c>
      <c r="I1554" s="4" t="s">
        <v>957</v>
      </c>
      <c r="J1554" s="6" t="s">
        <v>1365</v>
      </c>
      <c r="K1554" s="63" t="s">
        <v>961</v>
      </c>
      <c r="L1554" s="69" t="s">
        <v>950</v>
      </c>
      <c r="M1554" s="70">
        <f t="shared" si="258"/>
        <v>315</v>
      </c>
      <c r="N1554" s="70">
        <f>O1554/F1554</f>
        <v>15</v>
      </c>
      <c r="O1554" s="70">
        <v>315</v>
      </c>
      <c r="P1554" s="65">
        <v>710</v>
      </c>
      <c r="Q1554" s="65">
        <f t="shared" si="250"/>
        <v>156.19999999999999</v>
      </c>
      <c r="R1554" s="65">
        <f t="shared" si="251"/>
        <v>866.2</v>
      </c>
      <c r="S1554" s="276"/>
      <c r="T1554" s="64">
        <v>87</v>
      </c>
      <c r="U1554" s="274"/>
      <c r="V1554" s="38">
        <v>759</v>
      </c>
      <c r="W1554" s="38">
        <f t="shared" si="252"/>
        <v>166.98</v>
      </c>
      <c r="X1554" s="38">
        <f t="shared" si="253"/>
        <v>925.98</v>
      </c>
    </row>
    <row r="1555" spans="1:24" ht="15" customHeight="1" x14ac:dyDescent="0.35">
      <c r="A1555" s="56"/>
      <c r="B1555" s="15"/>
      <c r="C1555" s="11"/>
      <c r="D1555" s="3"/>
      <c r="E1555" s="59"/>
      <c r="F1555" s="14"/>
      <c r="G1555" s="64"/>
      <c r="H1555" s="5"/>
      <c r="I1555" s="4"/>
      <c r="J1555" s="6"/>
      <c r="K1555" s="63"/>
      <c r="L1555" s="69"/>
      <c r="M1555" s="70"/>
      <c r="N1555" s="70"/>
      <c r="O1555" s="71">
        <f>SUM(O1550:O1554)</f>
        <v>303535</v>
      </c>
      <c r="P1555" s="71">
        <f t="shared" ref="P1555:R1555" si="261">SUM(P1550:P1554)</f>
        <v>442970</v>
      </c>
      <c r="Q1555" s="71">
        <f t="shared" si="261"/>
        <v>97453.4</v>
      </c>
      <c r="R1555" s="71">
        <f t="shared" si="261"/>
        <v>540423.4</v>
      </c>
      <c r="S1555" s="72">
        <f>R1555/100*10</f>
        <v>54042.34</v>
      </c>
      <c r="T1555" s="73">
        <v>87</v>
      </c>
      <c r="U1555" s="275"/>
      <c r="V1555" s="38"/>
      <c r="W1555" s="38"/>
      <c r="X1555" s="38"/>
    </row>
    <row r="1556" spans="1:24" ht="15" customHeight="1" x14ac:dyDescent="0.35">
      <c r="A1556" s="56" t="s">
        <v>3765</v>
      </c>
      <c r="B1556" s="32">
        <v>1465</v>
      </c>
      <c r="C1556" s="77">
        <v>10106516</v>
      </c>
      <c r="D1556" s="74" t="s">
        <v>283</v>
      </c>
      <c r="E1556" s="74" t="s">
        <v>2151</v>
      </c>
      <c r="F1556" s="75">
        <v>1</v>
      </c>
      <c r="G1556" s="64" t="s">
        <v>28</v>
      </c>
      <c r="H1556" s="61">
        <v>42824</v>
      </c>
      <c r="I1556" s="61" t="s">
        <v>972</v>
      </c>
      <c r="J1556" s="63" t="s">
        <v>1917</v>
      </c>
      <c r="K1556" s="61" t="s">
        <v>961</v>
      </c>
      <c r="L1556" s="61" t="s">
        <v>845</v>
      </c>
      <c r="M1556" s="65">
        <f t="shared" si="258"/>
        <v>67000</v>
      </c>
      <c r="N1556" s="65">
        <f t="shared" ref="N1556:N1561" si="262">O1556/F1556</f>
        <v>67000</v>
      </c>
      <c r="O1556" s="65">
        <v>67000</v>
      </c>
      <c r="P1556" s="65">
        <v>55160</v>
      </c>
      <c r="Q1556" s="65">
        <f t="shared" si="250"/>
        <v>12135.2</v>
      </c>
      <c r="R1556" s="65">
        <f t="shared" si="251"/>
        <v>67295.199999999997</v>
      </c>
      <c r="S1556" s="267"/>
      <c r="T1556" s="64">
        <v>88</v>
      </c>
      <c r="U1556" s="273" t="s">
        <v>2293</v>
      </c>
      <c r="V1556" s="38">
        <v>60150</v>
      </c>
      <c r="W1556" s="38">
        <f t="shared" si="252"/>
        <v>13233</v>
      </c>
      <c r="X1556" s="38">
        <f t="shared" si="253"/>
        <v>73383</v>
      </c>
    </row>
    <row r="1557" spans="1:24" ht="15" customHeight="1" x14ac:dyDescent="0.35">
      <c r="A1557" s="56" t="s">
        <v>3766</v>
      </c>
      <c r="B1557" s="2">
        <v>1466</v>
      </c>
      <c r="C1557" s="77">
        <v>10106623</v>
      </c>
      <c r="D1557" s="74" t="s">
        <v>284</v>
      </c>
      <c r="E1557" s="74" t="s">
        <v>2151</v>
      </c>
      <c r="F1557" s="75">
        <v>1</v>
      </c>
      <c r="G1557" s="64" t="s">
        <v>28</v>
      </c>
      <c r="H1557" s="61">
        <v>42824</v>
      </c>
      <c r="I1557" s="61" t="s">
        <v>972</v>
      </c>
      <c r="J1557" s="63" t="s">
        <v>1917</v>
      </c>
      <c r="K1557" s="61" t="s">
        <v>961</v>
      </c>
      <c r="L1557" s="61" t="s">
        <v>845</v>
      </c>
      <c r="M1557" s="65">
        <f t="shared" si="258"/>
        <v>99800</v>
      </c>
      <c r="N1557" s="65">
        <f t="shared" si="262"/>
        <v>99800</v>
      </c>
      <c r="O1557" s="65">
        <v>99800</v>
      </c>
      <c r="P1557" s="65">
        <v>82160</v>
      </c>
      <c r="Q1557" s="65">
        <f t="shared" si="250"/>
        <v>18075.2</v>
      </c>
      <c r="R1557" s="65">
        <f t="shared" si="251"/>
        <v>100235.2</v>
      </c>
      <c r="S1557" s="272"/>
      <c r="T1557" s="64">
        <v>88</v>
      </c>
      <c r="U1557" s="274"/>
      <c r="V1557" s="38">
        <v>89596</v>
      </c>
      <c r="W1557" s="38">
        <f t="shared" si="252"/>
        <v>19711.12</v>
      </c>
      <c r="X1557" s="38">
        <f t="shared" si="253"/>
        <v>109307.12</v>
      </c>
    </row>
    <row r="1558" spans="1:24" ht="15" customHeight="1" x14ac:dyDescent="0.35">
      <c r="A1558" s="56" t="s">
        <v>3767</v>
      </c>
      <c r="B1558" s="2">
        <v>1467</v>
      </c>
      <c r="C1558" s="89">
        <v>10051474</v>
      </c>
      <c r="D1558" s="90" t="s">
        <v>577</v>
      </c>
      <c r="E1558" s="74" t="s">
        <v>2184</v>
      </c>
      <c r="F1558" s="91">
        <v>2</v>
      </c>
      <c r="G1558" s="64" t="s">
        <v>0</v>
      </c>
      <c r="H1558" s="61">
        <v>42004</v>
      </c>
      <c r="I1558" s="107" t="s">
        <v>976</v>
      </c>
      <c r="J1558" s="63" t="s">
        <v>1917</v>
      </c>
      <c r="K1558" s="108" t="s">
        <v>738</v>
      </c>
      <c r="L1558" s="64" t="s">
        <v>845</v>
      </c>
      <c r="M1558" s="65">
        <f t="shared" si="258"/>
        <v>1510.6</v>
      </c>
      <c r="N1558" s="65">
        <f t="shared" si="262"/>
        <v>755.3</v>
      </c>
      <c r="O1558" s="65">
        <v>1510.6</v>
      </c>
      <c r="P1558" s="65">
        <v>1550</v>
      </c>
      <c r="Q1558" s="65">
        <f t="shared" si="250"/>
        <v>341</v>
      </c>
      <c r="R1558" s="65">
        <f t="shared" si="251"/>
        <v>1891</v>
      </c>
      <c r="S1558" s="272"/>
      <c r="T1558" s="64">
        <v>88</v>
      </c>
      <c r="U1558" s="274"/>
      <c r="V1558" s="38">
        <v>1688</v>
      </c>
      <c r="W1558" s="38">
        <f t="shared" si="252"/>
        <v>371.36</v>
      </c>
      <c r="X1558" s="38">
        <f t="shared" si="253"/>
        <v>2059.36</v>
      </c>
    </row>
    <row r="1559" spans="1:24" ht="15.75" customHeight="1" x14ac:dyDescent="0.35">
      <c r="A1559" s="56" t="s">
        <v>3768</v>
      </c>
      <c r="B1559" s="263">
        <v>1468</v>
      </c>
      <c r="C1559" s="89">
        <v>10057233</v>
      </c>
      <c r="D1559" s="90" t="s">
        <v>592</v>
      </c>
      <c r="E1559" s="74" t="s">
        <v>2184</v>
      </c>
      <c r="F1559" s="75">
        <v>1</v>
      </c>
      <c r="G1559" s="64" t="s">
        <v>0</v>
      </c>
      <c r="H1559" s="61">
        <v>42004</v>
      </c>
      <c r="I1559" s="107" t="s">
        <v>976</v>
      </c>
      <c r="J1559" s="63" t="s">
        <v>1917</v>
      </c>
      <c r="K1559" s="108" t="s">
        <v>745</v>
      </c>
      <c r="L1559" s="64" t="s">
        <v>845</v>
      </c>
      <c r="M1559" s="155">
        <f t="shared" si="258"/>
        <v>1980</v>
      </c>
      <c r="N1559" s="155">
        <f t="shared" si="262"/>
        <v>1980</v>
      </c>
      <c r="O1559" s="65">
        <v>1980</v>
      </c>
      <c r="P1559" s="65">
        <v>2030</v>
      </c>
      <c r="Q1559" s="65">
        <f t="shared" si="250"/>
        <v>446.6</v>
      </c>
      <c r="R1559" s="65">
        <f t="shared" si="251"/>
        <v>2476.6</v>
      </c>
      <c r="S1559" s="272"/>
      <c r="T1559" s="64">
        <v>88</v>
      </c>
      <c r="U1559" s="274"/>
      <c r="V1559" s="38">
        <v>2213</v>
      </c>
      <c r="W1559" s="38">
        <f t="shared" si="252"/>
        <v>486.86</v>
      </c>
      <c r="X1559" s="38">
        <f t="shared" si="253"/>
        <v>2699.86</v>
      </c>
    </row>
    <row r="1560" spans="1:24" ht="32.25" customHeight="1" x14ac:dyDescent="0.35">
      <c r="A1560" s="56" t="s">
        <v>3769</v>
      </c>
      <c r="B1560" s="2">
        <v>1469</v>
      </c>
      <c r="C1560" s="89">
        <v>10014792</v>
      </c>
      <c r="D1560" s="90" t="s">
        <v>670</v>
      </c>
      <c r="E1560" s="74" t="s">
        <v>686</v>
      </c>
      <c r="F1560" s="91">
        <v>2</v>
      </c>
      <c r="G1560" s="64" t="s">
        <v>0</v>
      </c>
      <c r="H1560" s="61">
        <v>42004</v>
      </c>
      <c r="I1560" s="107" t="s">
        <v>976</v>
      </c>
      <c r="J1560" s="63" t="s">
        <v>1917</v>
      </c>
      <c r="K1560" s="108" t="s">
        <v>839</v>
      </c>
      <c r="L1560" s="64" t="s">
        <v>845</v>
      </c>
      <c r="M1560" s="65">
        <f t="shared" si="258"/>
        <v>130010.04</v>
      </c>
      <c r="N1560" s="65">
        <f t="shared" si="262"/>
        <v>65005.02</v>
      </c>
      <c r="O1560" s="65">
        <v>130010.04</v>
      </c>
      <c r="P1560" s="65">
        <v>116360</v>
      </c>
      <c r="Q1560" s="65">
        <f t="shared" si="250"/>
        <v>25599.200000000001</v>
      </c>
      <c r="R1560" s="65">
        <f t="shared" si="251"/>
        <v>141959.20000000001</v>
      </c>
      <c r="S1560" s="272"/>
      <c r="T1560" s="64">
        <v>88</v>
      </c>
      <c r="U1560" s="274"/>
      <c r="V1560" s="38">
        <v>126895</v>
      </c>
      <c r="W1560" s="38">
        <f t="shared" si="252"/>
        <v>27916.9</v>
      </c>
      <c r="X1560" s="38">
        <f t="shared" si="253"/>
        <v>154811.9</v>
      </c>
    </row>
    <row r="1561" spans="1:24" ht="24.75" customHeight="1" x14ac:dyDescent="0.35">
      <c r="A1561" s="56" t="s">
        <v>3770</v>
      </c>
      <c r="B1561" s="2">
        <v>1470</v>
      </c>
      <c r="C1561" s="89">
        <v>10097882</v>
      </c>
      <c r="D1561" s="90" t="s">
        <v>671</v>
      </c>
      <c r="E1561" s="74" t="s">
        <v>686</v>
      </c>
      <c r="F1561" s="91">
        <v>1</v>
      </c>
      <c r="G1561" s="64" t="s">
        <v>0</v>
      </c>
      <c r="H1561" s="61">
        <v>42004</v>
      </c>
      <c r="I1561" s="107" t="s">
        <v>976</v>
      </c>
      <c r="J1561" s="63" t="s">
        <v>1917</v>
      </c>
      <c r="K1561" s="108" t="s">
        <v>840</v>
      </c>
      <c r="L1561" s="64" t="s">
        <v>845</v>
      </c>
      <c r="M1561" s="65">
        <f t="shared" si="258"/>
        <v>22852</v>
      </c>
      <c r="N1561" s="65">
        <f t="shared" si="262"/>
        <v>22852</v>
      </c>
      <c r="O1561" s="65">
        <v>22852</v>
      </c>
      <c r="P1561" s="65">
        <v>23420</v>
      </c>
      <c r="Q1561" s="65">
        <f t="shared" si="250"/>
        <v>5152.3999999999996</v>
      </c>
      <c r="R1561" s="65">
        <f t="shared" si="251"/>
        <v>28572.400000000001</v>
      </c>
      <c r="S1561" s="276"/>
      <c r="T1561" s="64">
        <v>88</v>
      </c>
      <c r="U1561" s="274"/>
      <c r="V1561" s="38">
        <v>25541</v>
      </c>
      <c r="W1561" s="38">
        <f t="shared" si="252"/>
        <v>5619.02</v>
      </c>
      <c r="X1561" s="38">
        <f t="shared" si="253"/>
        <v>31160.02</v>
      </c>
    </row>
    <row r="1562" spans="1:24" ht="15" customHeight="1" x14ac:dyDescent="0.35">
      <c r="A1562" s="56"/>
      <c r="B1562" s="15"/>
      <c r="C1562" s="89"/>
      <c r="D1562" s="90"/>
      <c r="E1562" s="74"/>
      <c r="F1562" s="91"/>
      <c r="G1562" s="64"/>
      <c r="H1562" s="61"/>
      <c r="I1562" s="107"/>
      <c r="J1562" s="63"/>
      <c r="K1562" s="108"/>
      <c r="L1562" s="64"/>
      <c r="M1562" s="65"/>
      <c r="N1562" s="65"/>
      <c r="O1562" s="195">
        <f>SUM(O1556:O1561)</f>
        <v>323152.64000000001</v>
      </c>
      <c r="P1562" s="195">
        <f t="shared" ref="P1562:R1562" si="263">SUM(P1556:P1561)</f>
        <v>280680</v>
      </c>
      <c r="Q1562" s="195">
        <f t="shared" si="263"/>
        <v>61749.599999999999</v>
      </c>
      <c r="R1562" s="195">
        <f t="shared" si="263"/>
        <v>342429.6</v>
      </c>
      <c r="S1562" s="72">
        <f>R1562/100*10</f>
        <v>34242.959999999999</v>
      </c>
      <c r="T1562" s="73">
        <v>88</v>
      </c>
      <c r="U1562" s="275"/>
      <c r="V1562" s="38"/>
      <c r="W1562" s="38"/>
      <c r="X1562" s="38"/>
    </row>
    <row r="1563" spans="1:24" ht="15" customHeight="1" x14ac:dyDescent="0.35">
      <c r="A1563" s="56" t="s">
        <v>3771</v>
      </c>
      <c r="B1563" s="2">
        <v>1471</v>
      </c>
      <c r="C1563" s="77">
        <v>10142585</v>
      </c>
      <c r="D1563" s="192" t="s">
        <v>525</v>
      </c>
      <c r="E1563" s="74" t="s">
        <v>2171</v>
      </c>
      <c r="F1563" s="75">
        <v>17</v>
      </c>
      <c r="G1563" s="75" t="s">
        <v>0</v>
      </c>
      <c r="H1563" s="61">
        <v>41913</v>
      </c>
      <c r="I1563" s="61" t="s">
        <v>962</v>
      </c>
      <c r="J1563" s="63" t="s">
        <v>1917</v>
      </c>
      <c r="K1563" s="61" t="s">
        <v>968</v>
      </c>
      <c r="L1563" s="61" t="s">
        <v>970</v>
      </c>
      <c r="M1563" s="65">
        <f t="shared" si="258"/>
        <v>217272.95999999999</v>
      </c>
      <c r="N1563" s="65">
        <f>O1563/F1563</f>
        <v>12780.76</v>
      </c>
      <c r="O1563" s="65">
        <v>217272.95999999999</v>
      </c>
      <c r="P1563" s="65">
        <v>87760</v>
      </c>
      <c r="Q1563" s="65">
        <f t="shared" si="250"/>
        <v>19307.2</v>
      </c>
      <c r="R1563" s="65">
        <f t="shared" si="251"/>
        <v>107067.2</v>
      </c>
      <c r="S1563" s="125"/>
      <c r="T1563" s="64">
        <v>89</v>
      </c>
      <c r="U1563" s="282" t="s">
        <v>2294</v>
      </c>
      <c r="V1563" s="38">
        <v>87756</v>
      </c>
      <c r="W1563" s="38">
        <f t="shared" si="252"/>
        <v>19306.32</v>
      </c>
      <c r="X1563" s="38">
        <f t="shared" si="253"/>
        <v>107062.32</v>
      </c>
    </row>
    <row r="1564" spans="1:24" ht="15" customHeight="1" x14ac:dyDescent="0.35">
      <c r="A1564" s="56"/>
      <c r="B1564" s="15"/>
      <c r="C1564" s="77"/>
      <c r="D1564" s="192"/>
      <c r="E1564" s="74"/>
      <c r="F1564" s="75"/>
      <c r="G1564" s="75"/>
      <c r="H1564" s="61"/>
      <c r="I1564" s="61"/>
      <c r="J1564" s="63"/>
      <c r="K1564" s="61"/>
      <c r="L1564" s="61"/>
      <c r="M1564" s="65"/>
      <c r="N1564" s="65"/>
      <c r="O1564" s="126">
        <f>O1563</f>
        <v>217272.95999999999</v>
      </c>
      <c r="P1564" s="126">
        <f t="shared" ref="P1564:R1564" si="264">P1563</f>
        <v>87760</v>
      </c>
      <c r="Q1564" s="126">
        <f t="shared" si="264"/>
        <v>19307.2</v>
      </c>
      <c r="R1564" s="126">
        <f t="shared" si="264"/>
        <v>107067.2</v>
      </c>
      <c r="S1564" s="72">
        <f>R1564/100*10</f>
        <v>10706.72</v>
      </c>
      <c r="T1564" s="73">
        <v>89</v>
      </c>
      <c r="U1564" s="283"/>
      <c r="V1564" s="38"/>
      <c r="W1564" s="38"/>
      <c r="X1564" s="38"/>
    </row>
    <row r="1565" spans="1:24" ht="60" customHeight="1" x14ac:dyDescent="0.35">
      <c r="A1565" s="56" t="s">
        <v>3772</v>
      </c>
      <c r="B1565" s="2">
        <v>1472</v>
      </c>
      <c r="C1565" s="77">
        <v>102001451</v>
      </c>
      <c r="D1565" s="74" t="s">
        <v>1414</v>
      </c>
      <c r="E1565" s="59" t="s">
        <v>2167</v>
      </c>
      <c r="F1565" s="75">
        <v>1</v>
      </c>
      <c r="G1565" s="64" t="s">
        <v>0</v>
      </c>
      <c r="H1565" s="120">
        <v>2015</v>
      </c>
      <c r="I1565" s="4" t="s">
        <v>957</v>
      </c>
      <c r="J1565" s="63" t="s">
        <v>1917</v>
      </c>
      <c r="K1565" s="63" t="s">
        <v>961</v>
      </c>
      <c r="L1565" s="69" t="s">
        <v>950</v>
      </c>
      <c r="M1565" s="70">
        <f t="shared" si="258"/>
        <v>477451.94</v>
      </c>
      <c r="N1565" s="70">
        <f>O1565/F1565</f>
        <v>477451.94</v>
      </c>
      <c r="O1565" s="70">
        <v>477451.94</v>
      </c>
      <c r="P1565" s="65">
        <v>558910</v>
      </c>
      <c r="Q1565" s="65">
        <f t="shared" si="250"/>
        <v>122960.2</v>
      </c>
      <c r="R1565" s="65">
        <f t="shared" si="251"/>
        <v>681870.2</v>
      </c>
      <c r="S1565" s="125"/>
      <c r="T1565" s="64">
        <v>90</v>
      </c>
      <c r="U1565" s="273" t="s">
        <v>4083</v>
      </c>
      <c r="V1565" s="38">
        <v>558915</v>
      </c>
      <c r="W1565" s="38">
        <f t="shared" si="252"/>
        <v>122961.3</v>
      </c>
      <c r="X1565" s="38">
        <f t="shared" si="253"/>
        <v>681876.3</v>
      </c>
    </row>
    <row r="1566" spans="1:24" ht="15" customHeight="1" x14ac:dyDescent="0.35">
      <c r="A1566" s="56"/>
      <c r="B1566" s="15"/>
      <c r="C1566" s="77"/>
      <c r="D1566" s="74"/>
      <c r="E1566" s="74"/>
      <c r="F1566" s="75"/>
      <c r="G1566" s="64"/>
      <c r="H1566" s="120"/>
      <c r="I1566" s="4"/>
      <c r="J1566" s="63"/>
      <c r="K1566" s="63"/>
      <c r="L1566" s="69"/>
      <c r="M1566" s="70"/>
      <c r="N1566" s="70"/>
      <c r="O1566" s="71">
        <f>O1565</f>
        <v>477451.94</v>
      </c>
      <c r="P1566" s="71">
        <f t="shared" ref="P1566:R1566" si="265">P1565</f>
        <v>558910</v>
      </c>
      <c r="Q1566" s="71">
        <f t="shared" si="265"/>
        <v>122960.2</v>
      </c>
      <c r="R1566" s="71">
        <f t="shared" si="265"/>
        <v>681870.2</v>
      </c>
      <c r="S1566" s="72">
        <f>R1566/100*10</f>
        <v>68187.02</v>
      </c>
      <c r="T1566" s="73">
        <v>90</v>
      </c>
      <c r="U1566" s="275"/>
      <c r="V1566" s="38"/>
      <c r="W1566" s="38"/>
      <c r="X1566" s="38"/>
    </row>
    <row r="1567" spans="1:24" ht="15" customHeight="1" x14ac:dyDescent="0.35">
      <c r="A1567" s="56" t="s">
        <v>3778</v>
      </c>
      <c r="B1567" s="2">
        <v>1473</v>
      </c>
      <c r="C1567" s="77">
        <v>10108129</v>
      </c>
      <c r="D1567" s="74" t="s">
        <v>1026</v>
      </c>
      <c r="E1567" s="59" t="s">
        <v>2167</v>
      </c>
      <c r="F1567" s="75">
        <v>2</v>
      </c>
      <c r="G1567" s="64" t="s">
        <v>0</v>
      </c>
      <c r="H1567" s="78">
        <v>42004</v>
      </c>
      <c r="I1567" s="4" t="s">
        <v>957</v>
      </c>
      <c r="J1567" s="63" t="s">
        <v>1917</v>
      </c>
      <c r="K1567" s="63" t="s">
        <v>961</v>
      </c>
      <c r="L1567" s="69" t="s">
        <v>950</v>
      </c>
      <c r="M1567" s="70">
        <f t="shared" si="258"/>
        <v>61193.83</v>
      </c>
      <c r="N1567" s="70">
        <f>O1567/F1567</f>
        <v>30596.92</v>
      </c>
      <c r="O1567" s="70">
        <v>61193.83</v>
      </c>
      <c r="P1567" s="65">
        <v>70880</v>
      </c>
      <c r="Q1567" s="65">
        <f t="shared" si="250"/>
        <v>15593.6</v>
      </c>
      <c r="R1567" s="65">
        <f t="shared" si="251"/>
        <v>86473.600000000006</v>
      </c>
      <c r="S1567" s="267"/>
      <c r="T1567" s="64">
        <v>91</v>
      </c>
      <c r="U1567" s="270" t="s">
        <v>4160</v>
      </c>
      <c r="V1567" s="38">
        <v>76212</v>
      </c>
      <c r="W1567" s="38">
        <f t="shared" si="252"/>
        <v>16766.64</v>
      </c>
      <c r="X1567" s="38">
        <f t="shared" si="253"/>
        <v>92978.64</v>
      </c>
    </row>
    <row r="1568" spans="1:24" ht="15" customHeight="1" x14ac:dyDescent="0.35">
      <c r="A1568" s="56" t="s">
        <v>3779</v>
      </c>
      <c r="B1568" s="2">
        <v>1474</v>
      </c>
      <c r="C1568" s="77">
        <v>10108139</v>
      </c>
      <c r="D1568" s="74" t="s">
        <v>1027</v>
      </c>
      <c r="E1568" s="59" t="s">
        <v>2167</v>
      </c>
      <c r="F1568" s="75">
        <v>1</v>
      </c>
      <c r="G1568" s="64" t="s">
        <v>0</v>
      </c>
      <c r="H1568" s="78">
        <v>42004</v>
      </c>
      <c r="I1568" s="4" t="s">
        <v>957</v>
      </c>
      <c r="J1568" s="63" t="s">
        <v>1917</v>
      </c>
      <c r="K1568" s="63" t="s">
        <v>961</v>
      </c>
      <c r="L1568" s="69" t="s">
        <v>950</v>
      </c>
      <c r="M1568" s="70">
        <f t="shared" si="258"/>
        <v>33382.449999999997</v>
      </c>
      <c r="N1568" s="70">
        <f>O1568/F1568</f>
        <v>33382.449999999997</v>
      </c>
      <c r="O1568" s="70">
        <v>33382.449999999997</v>
      </c>
      <c r="P1568" s="65">
        <v>38660</v>
      </c>
      <c r="Q1568" s="65">
        <f t="shared" si="250"/>
        <v>8505.2000000000007</v>
      </c>
      <c r="R1568" s="65">
        <f t="shared" si="251"/>
        <v>47165.2</v>
      </c>
      <c r="S1568" s="272"/>
      <c r="T1568" s="64">
        <v>91</v>
      </c>
      <c r="U1568" s="270"/>
      <c r="V1568" s="38">
        <v>41575</v>
      </c>
      <c r="W1568" s="38">
        <f t="shared" si="252"/>
        <v>9146.5</v>
      </c>
      <c r="X1568" s="38">
        <f t="shared" si="253"/>
        <v>50721.5</v>
      </c>
    </row>
    <row r="1569" spans="1:24" ht="15" customHeight="1" x14ac:dyDescent="0.35">
      <c r="A1569" s="56" t="s">
        <v>3780</v>
      </c>
      <c r="B1569" s="2">
        <v>1475</v>
      </c>
      <c r="C1569" s="77">
        <v>10108055</v>
      </c>
      <c r="D1569" s="74" t="s">
        <v>1028</v>
      </c>
      <c r="E1569" s="59" t="s">
        <v>2167</v>
      </c>
      <c r="F1569" s="75">
        <v>2</v>
      </c>
      <c r="G1569" s="64" t="s">
        <v>0</v>
      </c>
      <c r="H1569" s="78">
        <v>42004</v>
      </c>
      <c r="I1569" s="4" t="s">
        <v>957</v>
      </c>
      <c r="J1569" s="63" t="s">
        <v>1917</v>
      </c>
      <c r="K1569" s="63" t="s">
        <v>961</v>
      </c>
      <c r="L1569" s="69" t="s">
        <v>950</v>
      </c>
      <c r="M1569" s="70">
        <f t="shared" si="258"/>
        <v>70152.259999999995</v>
      </c>
      <c r="N1569" s="70">
        <f>O1569/F1569</f>
        <v>35076.129999999997</v>
      </c>
      <c r="O1569" s="70">
        <v>70152.259999999995</v>
      </c>
      <c r="P1569" s="65">
        <v>81250</v>
      </c>
      <c r="Q1569" s="65">
        <f t="shared" si="250"/>
        <v>17875</v>
      </c>
      <c r="R1569" s="65">
        <f t="shared" si="251"/>
        <v>99125</v>
      </c>
      <c r="S1569" s="276"/>
      <c r="T1569" s="64">
        <v>91</v>
      </c>
      <c r="U1569" s="270"/>
      <c r="V1569" s="38">
        <v>87369</v>
      </c>
      <c r="W1569" s="38">
        <f t="shared" si="252"/>
        <v>19221.18</v>
      </c>
      <c r="X1569" s="38">
        <f t="shared" si="253"/>
        <v>106590.18</v>
      </c>
    </row>
    <row r="1570" spans="1:24" ht="15" customHeight="1" x14ac:dyDescent="0.35">
      <c r="A1570" s="56"/>
      <c r="B1570" s="15"/>
      <c r="C1570" s="77"/>
      <c r="D1570" s="74"/>
      <c r="E1570" s="74"/>
      <c r="F1570" s="75"/>
      <c r="G1570" s="64"/>
      <c r="H1570" s="78"/>
      <c r="I1570" s="4"/>
      <c r="J1570" s="63"/>
      <c r="K1570" s="63"/>
      <c r="L1570" s="69"/>
      <c r="M1570" s="70"/>
      <c r="N1570" s="70"/>
      <c r="O1570" s="71">
        <f>SUM(O1567:O1569)</f>
        <v>164728.54</v>
      </c>
      <c r="P1570" s="71">
        <f t="shared" ref="P1570:R1570" si="266">SUM(P1567:P1569)</f>
        <v>190790</v>
      </c>
      <c r="Q1570" s="71">
        <f t="shared" si="266"/>
        <v>41973.8</v>
      </c>
      <c r="R1570" s="71">
        <f t="shared" si="266"/>
        <v>232763.8</v>
      </c>
      <c r="S1570" s="72">
        <f>R1570/100*10</f>
        <v>23276.38</v>
      </c>
      <c r="T1570" s="73">
        <v>91</v>
      </c>
      <c r="U1570" s="271"/>
      <c r="V1570" s="38"/>
      <c r="W1570" s="38"/>
      <c r="X1570" s="38"/>
    </row>
    <row r="1571" spans="1:24" ht="15" customHeight="1" x14ac:dyDescent="0.35">
      <c r="A1571" s="56" t="s">
        <v>3782</v>
      </c>
      <c r="B1571" s="2">
        <v>1476</v>
      </c>
      <c r="C1571" s="77">
        <v>102002300</v>
      </c>
      <c r="D1571" s="74" t="s">
        <v>408</v>
      </c>
      <c r="E1571" s="74" t="s">
        <v>2185</v>
      </c>
      <c r="F1571" s="75">
        <v>1</v>
      </c>
      <c r="G1571" s="64" t="s">
        <v>0</v>
      </c>
      <c r="H1571" s="101" t="s">
        <v>2145</v>
      </c>
      <c r="I1571" s="61" t="s">
        <v>962</v>
      </c>
      <c r="J1571" s="63" t="s">
        <v>1917</v>
      </c>
      <c r="K1571" s="61" t="s">
        <v>961</v>
      </c>
      <c r="L1571" s="69" t="s">
        <v>2093</v>
      </c>
      <c r="M1571" s="70">
        <f t="shared" si="258"/>
        <v>17448.79</v>
      </c>
      <c r="N1571" s="70">
        <f t="shared" ref="N1571:N1634" si="267">O1571/F1571</f>
        <v>17448.79</v>
      </c>
      <c r="O1571" s="70">
        <v>17448.79</v>
      </c>
      <c r="P1571" s="65">
        <v>12480</v>
      </c>
      <c r="Q1571" s="65">
        <f t="shared" si="250"/>
        <v>2745.6</v>
      </c>
      <c r="R1571" s="65">
        <f t="shared" si="251"/>
        <v>15225.6</v>
      </c>
      <c r="S1571" s="267"/>
      <c r="T1571" s="64">
        <v>92</v>
      </c>
      <c r="U1571" s="270" t="s">
        <v>4160</v>
      </c>
      <c r="V1571" s="38">
        <v>14334</v>
      </c>
      <c r="W1571" s="38">
        <f t="shared" si="252"/>
        <v>3153.48</v>
      </c>
      <c r="X1571" s="38">
        <f t="shared" si="253"/>
        <v>17487.48</v>
      </c>
    </row>
    <row r="1572" spans="1:24" ht="15" customHeight="1" x14ac:dyDescent="0.35">
      <c r="A1572" s="56" t="s">
        <v>3783</v>
      </c>
      <c r="B1572" s="2">
        <v>1477</v>
      </c>
      <c r="C1572" s="77">
        <v>102002306</v>
      </c>
      <c r="D1572" s="74" t="s">
        <v>411</v>
      </c>
      <c r="E1572" s="74" t="s">
        <v>2185</v>
      </c>
      <c r="F1572" s="75">
        <v>1</v>
      </c>
      <c r="G1572" s="64" t="s">
        <v>0</v>
      </c>
      <c r="H1572" s="61">
        <v>42824</v>
      </c>
      <c r="I1572" s="61" t="s">
        <v>962</v>
      </c>
      <c r="J1572" s="63" t="s">
        <v>1917</v>
      </c>
      <c r="K1572" s="61" t="s">
        <v>961</v>
      </c>
      <c r="L1572" s="69" t="s">
        <v>2093</v>
      </c>
      <c r="M1572" s="70">
        <f t="shared" si="258"/>
        <v>22768.09</v>
      </c>
      <c r="N1572" s="70">
        <f t="shared" si="267"/>
        <v>22768.09</v>
      </c>
      <c r="O1572" s="70">
        <v>22768.09</v>
      </c>
      <c r="P1572" s="65">
        <v>12590</v>
      </c>
      <c r="Q1572" s="65">
        <f t="shared" si="250"/>
        <v>2769.8</v>
      </c>
      <c r="R1572" s="65">
        <f t="shared" si="251"/>
        <v>15359.8</v>
      </c>
      <c r="S1572" s="272"/>
      <c r="T1572" s="64">
        <v>92</v>
      </c>
      <c r="U1572" s="270"/>
      <c r="V1572" s="38">
        <v>14456</v>
      </c>
      <c r="W1572" s="38">
        <f t="shared" si="252"/>
        <v>3180.32</v>
      </c>
      <c r="X1572" s="38">
        <f t="shared" si="253"/>
        <v>17636.32</v>
      </c>
    </row>
    <row r="1573" spans="1:24" ht="15" customHeight="1" x14ac:dyDescent="0.35">
      <c r="A1573" s="56" t="s">
        <v>3785</v>
      </c>
      <c r="B1573" s="2">
        <v>1478</v>
      </c>
      <c r="C1573" s="77">
        <v>102002344</v>
      </c>
      <c r="D1573" s="74" t="s">
        <v>418</v>
      </c>
      <c r="E1573" s="74" t="s">
        <v>2185</v>
      </c>
      <c r="F1573" s="75">
        <v>1</v>
      </c>
      <c r="G1573" s="64" t="s">
        <v>0</v>
      </c>
      <c r="H1573" s="101" t="s">
        <v>2145</v>
      </c>
      <c r="I1573" s="61" t="s">
        <v>962</v>
      </c>
      <c r="J1573" s="63" t="s">
        <v>1917</v>
      </c>
      <c r="K1573" s="61" t="s">
        <v>961</v>
      </c>
      <c r="L1573" s="69" t="s">
        <v>2093</v>
      </c>
      <c r="M1573" s="70">
        <f t="shared" si="258"/>
        <v>22001.919999999998</v>
      </c>
      <c r="N1573" s="70">
        <f t="shared" si="267"/>
        <v>22001.919999999998</v>
      </c>
      <c r="O1573" s="70">
        <v>22001.919999999998</v>
      </c>
      <c r="P1573" s="65">
        <v>15740</v>
      </c>
      <c r="Q1573" s="65">
        <f t="shared" si="250"/>
        <v>3462.8</v>
      </c>
      <c r="R1573" s="65">
        <f t="shared" si="251"/>
        <v>19202.8</v>
      </c>
      <c r="S1573" s="272"/>
      <c r="T1573" s="64">
        <v>92</v>
      </c>
      <c r="U1573" s="270"/>
      <c r="V1573" s="38">
        <v>18074</v>
      </c>
      <c r="W1573" s="38">
        <f t="shared" si="252"/>
        <v>3976.28</v>
      </c>
      <c r="X1573" s="38">
        <f t="shared" si="253"/>
        <v>22050.28</v>
      </c>
    </row>
    <row r="1574" spans="1:24" ht="15" customHeight="1" x14ac:dyDescent="0.35">
      <c r="A1574" s="56" t="s">
        <v>3786</v>
      </c>
      <c r="B1574" s="2">
        <v>1479</v>
      </c>
      <c r="C1574" s="77">
        <v>102002004</v>
      </c>
      <c r="D1574" s="74" t="s">
        <v>428</v>
      </c>
      <c r="E1574" s="74" t="s">
        <v>2185</v>
      </c>
      <c r="F1574" s="75">
        <v>2</v>
      </c>
      <c r="G1574" s="64" t="s">
        <v>0</v>
      </c>
      <c r="H1574" s="101">
        <v>2010</v>
      </c>
      <c r="I1574" s="61" t="s">
        <v>962</v>
      </c>
      <c r="J1574" s="63" t="s">
        <v>1917</v>
      </c>
      <c r="K1574" s="61" t="s">
        <v>961</v>
      </c>
      <c r="L1574" s="69" t="s">
        <v>2093</v>
      </c>
      <c r="M1574" s="70">
        <f t="shared" si="258"/>
        <v>25361.72</v>
      </c>
      <c r="N1574" s="70">
        <f t="shared" si="267"/>
        <v>12680.86</v>
      </c>
      <c r="O1574" s="70">
        <v>25361.72</v>
      </c>
      <c r="P1574" s="65">
        <v>18150</v>
      </c>
      <c r="Q1574" s="65">
        <f t="shared" si="250"/>
        <v>3993</v>
      </c>
      <c r="R1574" s="65">
        <f t="shared" si="251"/>
        <v>22143</v>
      </c>
      <c r="S1574" s="272"/>
      <c r="T1574" s="64">
        <v>92</v>
      </c>
      <c r="U1574" s="270"/>
      <c r="V1574" s="38">
        <v>20834</v>
      </c>
      <c r="W1574" s="38">
        <f t="shared" si="252"/>
        <v>4583.4799999999996</v>
      </c>
      <c r="X1574" s="38">
        <f t="shared" si="253"/>
        <v>25417.48</v>
      </c>
    </row>
    <row r="1575" spans="1:24" ht="15" customHeight="1" x14ac:dyDescent="0.35">
      <c r="A1575" s="56" t="s">
        <v>3788</v>
      </c>
      <c r="B1575" s="2">
        <v>1480</v>
      </c>
      <c r="C1575" s="77">
        <v>102002282</v>
      </c>
      <c r="D1575" s="74" t="s">
        <v>431</v>
      </c>
      <c r="E1575" s="74" t="s">
        <v>2185</v>
      </c>
      <c r="F1575" s="75">
        <v>2</v>
      </c>
      <c r="G1575" s="64" t="s">
        <v>0</v>
      </c>
      <c r="H1575" s="101" t="s">
        <v>2145</v>
      </c>
      <c r="I1575" s="61" t="s">
        <v>962</v>
      </c>
      <c r="J1575" s="63" t="s">
        <v>1917</v>
      </c>
      <c r="K1575" s="61" t="s">
        <v>961</v>
      </c>
      <c r="L1575" s="69" t="s">
        <v>2093</v>
      </c>
      <c r="M1575" s="70">
        <f t="shared" si="258"/>
        <v>36796.870000000003</v>
      </c>
      <c r="N1575" s="70">
        <f t="shared" si="267"/>
        <v>18398.439999999999</v>
      </c>
      <c r="O1575" s="70">
        <v>36796.870000000003</v>
      </c>
      <c r="P1575" s="65">
        <v>26330</v>
      </c>
      <c r="Q1575" s="65">
        <f t="shared" si="250"/>
        <v>5792.6</v>
      </c>
      <c r="R1575" s="65">
        <f t="shared" si="251"/>
        <v>32122.6</v>
      </c>
      <c r="S1575" s="272"/>
      <c r="T1575" s="64">
        <v>92</v>
      </c>
      <c r="U1575" s="270"/>
      <c r="V1575" s="38">
        <v>30228</v>
      </c>
      <c r="W1575" s="38">
        <f t="shared" si="252"/>
        <v>6650.16</v>
      </c>
      <c r="X1575" s="38">
        <f t="shared" si="253"/>
        <v>36878.160000000003</v>
      </c>
    </row>
    <row r="1576" spans="1:24" ht="15" customHeight="1" x14ac:dyDescent="0.35">
      <c r="A1576" s="56" t="s">
        <v>3789</v>
      </c>
      <c r="B1576" s="2">
        <v>1481</v>
      </c>
      <c r="C1576" s="77">
        <v>102002307</v>
      </c>
      <c r="D1576" s="74" t="s">
        <v>433</v>
      </c>
      <c r="E1576" s="74" t="s">
        <v>2185</v>
      </c>
      <c r="F1576" s="75">
        <v>2</v>
      </c>
      <c r="G1576" s="64" t="s">
        <v>0</v>
      </c>
      <c r="H1576" s="101" t="s">
        <v>2145</v>
      </c>
      <c r="I1576" s="61" t="s">
        <v>962</v>
      </c>
      <c r="J1576" s="63" t="s">
        <v>1917</v>
      </c>
      <c r="K1576" s="61" t="s">
        <v>961</v>
      </c>
      <c r="L1576" s="69" t="s">
        <v>2093</v>
      </c>
      <c r="M1576" s="70">
        <f t="shared" si="258"/>
        <v>10806</v>
      </c>
      <c r="N1576" s="70">
        <f t="shared" si="267"/>
        <v>5403</v>
      </c>
      <c r="O1576" s="70">
        <v>10806</v>
      </c>
      <c r="P1576" s="65">
        <v>7730</v>
      </c>
      <c r="Q1576" s="65">
        <f t="shared" si="250"/>
        <v>1700.6</v>
      </c>
      <c r="R1576" s="65">
        <f t="shared" si="251"/>
        <v>9430.6</v>
      </c>
      <c r="S1576" s="272"/>
      <c r="T1576" s="64">
        <v>92</v>
      </c>
      <c r="U1576" s="270"/>
      <c r="V1576" s="38">
        <v>8877</v>
      </c>
      <c r="W1576" s="38">
        <f t="shared" si="252"/>
        <v>1952.94</v>
      </c>
      <c r="X1576" s="38">
        <f t="shared" si="253"/>
        <v>10829.94</v>
      </c>
    </row>
    <row r="1577" spans="1:24" ht="15" customHeight="1" x14ac:dyDescent="0.35">
      <c r="A1577" s="56" t="s">
        <v>3790</v>
      </c>
      <c r="B1577" s="2">
        <v>1482</v>
      </c>
      <c r="C1577" s="77">
        <v>102002319</v>
      </c>
      <c r="D1577" s="74" t="s">
        <v>436</v>
      </c>
      <c r="E1577" s="74" t="s">
        <v>2185</v>
      </c>
      <c r="F1577" s="75">
        <v>2</v>
      </c>
      <c r="G1577" s="64" t="s">
        <v>0</v>
      </c>
      <c r="H1577" s="101" t="s">
        <v>2145</v>
      </c>
      <c r="I1577" s="61" t="s">
        <v>962</v>
      </c>
      <c r="J1577" s="63" t="s">
        <v>1917</v>
      </c>
      <c r="K1577" s="61" t="s">
        <v>961</v>
      </c>
      <c r="L1577" s="69" t="s">
        <v>2093</v>
      </c>
      <c r="M1577" s="70">
        <f t="shared" si="258"/>
        <v>59530.5</v>
      </c>
      <c r="N1577" s="70">
        <f t="shared" si="267"/>
        <v>29765.25</v>
      </c>
      <c r="O1577" s="70">
        <v>59530.5</v>
      </c>
      <c r="P1577" s="65">
        <v>42590</v>
      </c>
      <c r="Q1577" s="65">
        <f t="shared" si="250"/>
        <v>9369.7999999999993</v>
      </c>
      <c r="R1577" s="65">
        <f t="shared" si="251"/>
        <v>51959.8</v>
      </c>
      <c r="S1577" s="272"/>
      <c r="T1577" s="64">
        <v>92</v>
      </c>
      <c r="U1577" s="270"/>
      <c r="V1577" s="38">
        <v>48903</v>
      </c>
      <c r="W1577" s="38">
        <f t="shared" si="252"/>
        <v>10758.66</v>
      </c>
      <c r="X1577" s="38">
        <f t="shared" si="253"/>
        <v>59661.66</v>
      </c>
    </row>
    <row r="1578" spans="1:24" ht="15" customHeight="1" x14ac:dyDescent="0.35">
      <c r="A1578" s="56" t="s">
        <v>3791</v>
      </c>
      <c r="B1578" s="2">
        <v>1483</v>
      </c>
      <c r="C1578" s="77">
        <v>102002302</v>
      </c>
      <c r="D1578" s="74" t="s">
        <v>449</v>
      </c>
      <c r="E1578" s="74" t="s">
        <v>2185</v>
      </c>
      <c r="F1578" s="75">
        <v>4</v>
      </c>
      <c r="G1578" s="64" t="s">
        <v>0</v>
      </c>
      <c r="H1578" s="61">
        <v>42824</v>
      </c>
      <c r="I1578" s="61" t="s">
        <v>962</v>
      </c>
      <c r="J1578" s="63" t="s">
        <v>1917</v>
      </c>
      <c r="K1578" s="61" t="s">
        <v>961</v>
      </c>
      <c r="L1578" s="69" t="s">
        <v>2093</v>
      </c>
      <c r="M1578" s="70">
        <f t="shared" si="258"/>
        <v>93551.53</v>
      </c>
      <c r="N1578" s="70">
        <f t="shared" si="267"/>
        <v>23387.88</v>
      </c>
      <c r="O1578" s="70">
        <v>93551.53</v>
      </c>
      <c r="P1578" s="65">
        <v>51740</v>
      </c>
      <c r="Q1578" s="65">
        <f t="shared" si="250"/>
        <v>11382.8</v>
      </c>
      <c r="R1578" s="65">
        <f t="shared" si="251"/>
        <v>63122.8</v>
      </c>
      <c r="S1578" s="272"/>
      <c r="T1578" s="64">
        <v>92</v>
      </c>
      <c r="U1578" s="270"/>
      <c r="V1578" s="38">
        <v>59398</v>
      </c>
      <c r="W1578" s="38">
        <f t="shared" si="252"/>
        <v>13067.56</v>
      </c>
      <c r="X1578" s="38">
        <f t="shared" si="253"/>
        <v>72465.56</v>
      </c>
    </row>
    <row r="1579" spans="1:24" ht="15" customHeight="1" x14ac:dyDescent="0.35">
      <c r="A1579" s="56" t="s">
        <v>3792</v>
      </c>
      <c r="B1579" s="2">
        <v>1484</v>
      </c>
      <c r="C1579" s="77">
        <v>102002313</v>
      </c>
      <c r="D1579" s="74" t="s">
        <v>450</v>
      </c>
      <c r="E1579" s="74" t="s">
        <v>2185</v>
      </c>
      <c r="F1579" s="75">
        <v>4</v>
      </c>
      <c r="G1579" s="64" t="s">
        <v>0</v>
      </c>
      <c r="H1579" s="61">
        <v>42824</v>
      </c>
      <c r="I1579" s="61" t="s">
        <v>962</v>
      </c>
      <c r="J1579" s="63" t="s">
        <v>1917</v>
      </c>
      <c r="K1579" s="61" t="s">
        <v>961</v>
      </c>
      <c r="L1579" s="69" t="s">
        <v>2093</v>
      </c>
      <c r="M1579" s="70">
        <f t="shared" si="258"/>
        <v>68647.14</v>
      </c>
      <c r="N1579" s="70">
        <f t="shared" si="267"/>
        <v>17161.79</v>
      </c>
      <c r="O1579" s="70">
        <v>68647.14</v>
      </c>
      <c r="P1579" s="65">
        <v>37960</v>
      </c>
      <c r="Q1579" s="65">
        <f t="shared" si="250"/>
        <v>8351.2000000000007</v>
      </c>
      <c r="R1579" s="65">
        <f t="shared" si="251"/>
        <v>46311.199999999997</v>
      </c>
      <c r="S1579" s="272"/>
      <c r="T1579" s="64">
        <v>92</v>
      </c>
      <c r="U1579" s="270"/>
      <c r="V1579" s="38">
        <v>43585</v>
      </c>
      <c r="W1579" s="38">
        <f t="shared" si="252"/>
        <v>9588.7000000000007</v>
      </c>
      <c r="X1579" s="38">
        <f t="shared" si="253"/>
        <v>53173.7</v>
      </c>
    </row>
    <row r="1580" spans="1:24" ht="15" customHeight="1" x14ac:dyDescent="0.35">
      <c r="A1580" s="56" t="s">
        <v>3793</v>
      </c>
      <c r="B1580" s="2">
        <v>1485</v>
      </c>
      <c r="C1580" s="77">
        <v>102002325</v>
      </c>
      <c r="D1580" s="74" t="s">
        <v>451</v>
      </c>
      <c r="E1580" s="74" t="s">
        <v>2185</v>
      </c>
      <c r="F1580" s="75">
        <v>4</v>
      </c>
      <c r="G1580" s="64" t="s">
        <v>0</v>
      </c>
      <c r="H1580" s="61">
        <v>42824</v>
      </c>
      <c r="I1580" s="61" t="s">
        <v>962</v>
      </c>
      <c r="J1580" s="63" t="s">
        <v>1917</v>
      </c>
      <c r="K1580" s="61" t="s">
        <v>961</v>
      </c>
      <c r="L1580" s="69" t="s">
        <v>2093</v>
      </c>
      <c r="M1580" s="70">
        <f t="shared" si="258"/>
        <v>55763.519999999997</v>
      </c>
      <c r="N1580" s="70">
        <f t="shared" si="267"/>
        <v>13940.88</v>
      </c>
      <c r="O1580" s="70">
        <v>55763.519999999997</v>
      </c>
      <c r="P1580" s="65">
        <v>30840</v>
      </c>
      <c r="Q1580" s="65">
        <f t="shared" si="250"/>
        <v>6784.8</v>
      </c>
      <c r="R1580" s="65">
        <f t="shared" si="251"/>
        <v>37624.800000000003</v>
      </c>
      <c r="S1580" s="272"/>
      <c r="T1580" s="64">
        <v>92</v>
      </c>
      <c r="U1580" s="270"/>
      <c r="V1580" s="38">
        <v>35405</v>
      </c>
      <c r="W1580" s="38">
        <f t="shared" si="252"/>
        <v>7789.1</v>
      </c>
      <c r="X1580" s="38">
        <f t="shared" si="253"/>
        <v>43194.1</v>
      </c>
    </row>
    <row r="1581" spans="1:24" ht="15" customHeight="1" x14ac:dyDescent="0.35">
      <c r="A1581" s="56" t="s">
        <v>3794</v>
      </c>
      <c r="B1581" s="2">
        <v>1486</v>
      </c>
      <c r="C1581" s="77">
        <v>102002330</v>
      </c>
      <c r="D1581" s="74" t="s">
        <v>452</v>
      </c>
      <c r="E1581" s="74" t="s">
        <v>2185</v>
      </c>
      <c r="F1581" s="75">
        <v>4</v>
      </c>
      <c r="G1581" s="64" t="s">
        <v>0</v>
      </c>
      <c r="H1581" s="61">
        <v>42824</v>
      </c>
      <c r="I1581" s="61" t="s">
        <v>962</v>
      </c>
      <c r="J1581" s="63" t="s">
        <v>1917</v>
      </c>
      <c r="K1581" s="61" t="s">
        <v>961</v>
      </c>
      <c r="L1581" s="69" t="s">
        <v>2093</v>
      </c>
      <c r="M1581" s="70">
        <f t="shared" si="258"/>
        <v>57505.2</v>
      </c>
      <c r="N1581" s="70">
        <f t="shared" si="267"/>
        <v>14376.3</v>
      </c>
      <c r="O1581" s="70">
        <v>57505.2</v>
      </c>
      <c r="P1581" s="65">
        <v>31800</v>
      </c>
      <c r="Q1581" s="65">
        <f t="shared" si="250"/>
        <v>6996</v>
      </c>
      <c r="R1581" s="65">
        <f t="shared" si="251"/>
        <v>38796</v>
      </c>
      <c r="S1581" s="272"/>
      <c r="T1581" s="64">
        <v>92</v>
      </c>
      <c r="U1581" s="270"/>
      <c r="V1581" s="38">
        <v>36511</v>
      </c>
      <c r="W1581" s="38">
        <f t="shared" si="252"/>
        <v>8032.42</v>
      </c>
      <c r="X1581" s="38">
        <f t="shared" si="253"/>
        <v>44543.42</v>
      </c>
    </row>
    <row r="1582" spans="1:24" ht="15" customHeight="1" x14ac:dyDescent="0.35">
      <c r="A1582" s="56" t="s">
        <v>3796</v>
      </c>
      <c r="B1582" s="2">
        <v>1487</v>
      </c>
      <c r="C1582" s="77">
        <v>102002310</v>
      </c>
      <c r="D1582" s="74" t="s">
        <v>457</v>
      </c>
      <c r="E1582" s="74" t="s">
        <v>2185</v>
      </c>
      <c r="F1582" s="75">
        <v>5</v>
      </c>
      <c r="G1582" s="64" t="s">
        <v>0</v>
      </c>
      <c r="H1582" s="101" t="s">
        <v>2145</v>
      </c>
      <c r="I1582" s="61" t="s">
        <v>962</v>
      </c>
      <c r="J1582" s="63" t="s">
        <v>1917</v>
      </c>
      <c r="K1582" s="61" t="s">
        <v>961</v>
      </c>
      <c r="L1582" s="69" t="s">
        <v>2093</v>
      </c>
      <c r="M1582" s="70">
        <f t="shared" si="258"/>
        <v>132881.17000000001</v>
      </c>
      <c r="N1582" s="70">
        <f t="shared" si="267"/>
        <v>26576.23</v>
      </c>
      <c r="O1582" s="70">
        <v>132881.17000000001</v>
      </c>
      <c r="P1582" s="65">
        <v>95080</v>
      </c>
      <c r="Q1582" s="65">
        <f t="shared" si="250"/>
        <v>20917.599999999999</v>
      </c>
      <c r="R1582" s="65">
        <f t="shared" si="251"/>
        <v>115997.6</v>
      </c>
      <c r="S1582" s="272"/>
      <c r="T1582" s="64">
        <v>92</v>
      </c>
      <c r="U1582" s="270"/>
      <c r="V1582" s="38">
        <v>109159</v>
      </c>
      <c r="W1582" s="38">
        <f t="shared" si="252"/>
        <v>24014.98</v>
      </c>
      <c r="X1582" s="38">
        <f t="shared" si="253"/>
        <v>133173.98000000001</v>
      </c>
    </row>
    <row r="1583" spans="1:24" ht="15" customHeight="1" x14ac:dyDescent="0.35">
      <c r="A1583" s="56" t="s">
        <v>3797</v>
      </c>
      <c r="B1583" s="2">
        <v>1488</v>
      </c>
      <c r="C1583" s="77">
        <v>102002321</v>
      </c>
      <c r="D1583" s="74" t="s">
        <v>458</v>
      </c>
      <c r="E1583" s="74" t="s">
        <v>2185</v>
      </c>
      <c r="F1583" s="75">
        <v>5</v>
      </c>
      <c r="G1583" s="64" t="s">
        <v>0</v>
      </c>
      <c r="H1583" s="101" t="s">
        <v>2145</v>
      </c>
      <c r="I1583" s="61" t="s">
        <v>962</v>
      </c>
      <c r="J1583" s="63" t="s">
        <v>1917</v>
      </c>
      <c r="K1583" s="61" t="s">
        <v>961</v>
      </c>
      <c r="L1583" s="69" t="s">
        <v>2093</v>
      </c>
      <c r="M1583" s="70">
        <f t="shared" si="258"/>
        <v>76429.47</v>
      </c>
      <c r="N1583" s="70">
        <f t="shared" si="267"/>
        <v>15285.89</v>
      </c>
      <c r="O1583" s="70">
        <v>76429.47</v>
      </c>
      <c r="P1583" s="65">
        <v>54690</v>
      </c>
      <c r="Q1583" s="65">
        <f t="shared" si="250"/>
        <v>12031.8</v>
      </c>
      <c r="R1583" s="65">
        <f t="shared" si="251"/>
        <v>66721.8</v>
      </c>
      <c r="S1583" s="272"/>
      <c r="T1583" s="64">
        <v>92</v>
      </c>
      <c r="U1583" s="270"/>
      <c r="V1583" s="38">
        <v>62785</v>
      </c>
      <c r="W1583" s="38">
        <f t="shared" si="252"/>
        <v>13812.7</v>
      </c>
      <c r="X1583" s="38">
        <f t="shared" si="253"/>
        <v>76597.7</v>
      </c>
    </row>
    <row r="1584" spans="1:24" ht="15" customHeight="1" x14ac:dyDescent="0.35">
      <c r="A1584" s="56" t="s">
        <v>3798</v>
      </c>
      <c r="B1584" s="2">
        <v>1489</v>
      </c>
      <c r="C1584" s="77">
        <v>102002356</v>
      </c>
      <c r="D1584" s="74" t="s">
        <v>462</v>
      </c>
      <c r="E1584" s="74" t="s">
        <v>2185</v>
      </c>
      <c r="F1584" s="75">
        <v>5</v>
      </c>
      <c r="G1584" s="64" t="s">
        <v>0</v>
      </c>
      <c r="H1584" s="101" t="s">
        <v>494</v>
      </c>
      <c r="I1584" s="61" t="s">
        <v>962</v>
      </c>
      <c r="J1584" s="63" t="s">
        <v>1917</v>
      </c>
      <c r="K1584" s="61" t="s">
        <v>961</v>
      </c>
      <c r="L1584" s="69" t="s">
        <v>2093</v>
      </c>
      <c r="M1584" s="70">
        <f t="shared" si="258"/>
        <v>71116.72</v>
      </c>
      <c r="N1584" s="70">
        <f t="shared" si="267"/>
        <v>14223.34</v>
      </c>
      <c r="O1584" s="70">
        <v>71116.72</v>
      </c>
      <c r="P1584" s="65">
        <v>45380</v>
      </c>
      <c r="Q1584" s="65">
        <f t="shared" ref="Q1584:Q1647" si="268">P1584*0.22</f>
        <v>9983.6</v>
      </c>
      <c r="R1584" s="65">
        <f t="shared" ref="R1584:R1647" si="269">P1584+Q1584</f>
        <v>55363.6</v>
      </c>
      <c r="S1584" s="272"/>
      <c r="T1584" s="64">
        <v>92</v>
      </c>
      <c r="U1584" s="270"/>
      <c r="V1584" s="38">
        <v>52100</v>
      </c>
      <c r="W1584" s="38">
        <f t="shared" ref="W1584:W1647" si="270">V1584*0.22</f>
        <v>11462</v>
      </c>
      <c r="X1584" s="38">
        <f t="shared" si="253"/>
        <v>63562</v>
      </c>
    </row>
    <row r="1585" spans="1:24" ht="15" customHeight="1" x14ac:dyDescent="0.35">
      <c r="A1585" s="56" t="s">
        <v>3799</v>
      </c>
      <c r="B1585" s="2">
        <v>1490</v>
      </c>
      <c r="C1585" s="77">
        <v>102002284</v>
      </c>
      <c r="D1585" s="74" t="s">
        <v>463</v>
      </c>
      <c r="E1585" s="74" t="s">
        <v>2185</v>
      </c>
      <c r="F1585" s="75">
        <v>6</v>
      </c>
      <c r="G1585" s="64" t="s">
        <v>0</v>
      </c>
      <c r="H1585" s="101" t="s">
        <v>494</v>
      </c>
      <c r="I1585" s="61" t="s">
        <v>962</v>
      </c>
      <c r="J1585" s="63" t="s">
        <v>1917</v>
      </c>
      <c r="K1585" s="61" t="s">
        <v>961</v>
      </c>
      <c r="L1585" s="69" t="s">
        <v>2093</v>
      </c>
      <c r="M1585" s="70">
        <f t="shared" si="258"/>
        <v>85381.34</v>
      </c>
      <c r="N1585" s="70">
        <f t="shared" si="267"/>
        <v>14230.22</v>
      </c>
      <c r="O1585" s="70">
        <v>85381.34</v>
      </c>
      <c r="P1585" s="65">
        <v>54480</v>
      </c>
      <c r="Q1585" s="65">
        <f t="shared" si="268"/>
        <v>11985.6</v>
      </c>
      <c r="R1585" s="65">
        <f t="shared" si="269"/>
        <v>66465.600000000006</v>
      </c>
      <c r="S1585" s="272"/>
      <c r="T1585" s="64">
        <v>92</v>
      </c>
      <c r="U1585" s="270"/>
      <c r="V1585" s="38">
        <v>62550</v>
      </c>
      <c r="W1585" s="38">
        <f t="shared" si="270"/>
        <v>13761</v>
      </c>
      <c r="X1585" s="38">
        <f t="shared" si="253"/>
        <v>76311</v>
      </c>
    </row>
    <row r="1586" spans="1:24" ht="15" customHeight="1" x14ac:dyDescent="0.35">
      <c r="A1586" s="56" t="s">
        <v>3800</v>
      </c>
      <c r="B1586" s="2">
        <v>1491</v>
      </c>
      <c r="C1586" s="77">
        <v>102002353</v>
      </c>
      <c r="D1586" s="74" t="s">
        <v>468</v>
      </c>
      <c r="E1586" s="74" t="s">
        <v>2185</v>
      </c>
      <c r="F1586" s="75">
        <v>7</v>
      </c>
      <c r="G1586" s="64" t="s">
        <v>0</v>
      </c>
      <c r="H1586" s="101" t="s">
        <v>505</v>
      </c>
      <c r="I1586" s="61" t="s">
        <v>962</v>
      </c>
      <c r="J1586" s="63" t="s">
        <v>1917</v>
      </c>
      <c r="K1586" s="61" t="s">
        <v>961</v>
      </c>
      <c r="L1586" s="69" t="s">
        <v>2093</v>
      </c>
      <c r="M1586" s="70">
        <f t="shared" si="258"/>
        <v>125375.55</v>
      </c>
      <c r="N1586" s="70">
        <f t="shared" si="267"/>
        <v>17910.79</v>
      </c>
      <c r="O1586" s="70">
        <v>125375.55</v>
      </c>
      <c r="P1586" s="65">
        <v>69330</v>
      </c>
      <c r="Q1586" s="65">
        <f t="shared" si="268"/>
        <v>15252.6</v>
      </c>
      <c r="R1586" s="65">
        <f t="shared" si="269"/>
        <v>84582.6</v>
      </c>
      <c r="S1586" s="272"/>
      <c r="T1586" s="64">
        <v>92</v>
      </c>
      <c r="U1586" s="270"/>
      <c r="V1586" s="38">
        <v>79603</v>
      </c>
      <c r="W1586" s="38">
        <f t="shared" si="270"/>
        <v>17512.66</v>
      </c>
      <c r="X1586" s="38">
        <f t="shared" ref="X1586:X1649" si="271">V1586+W1586</f>
        <v>97115.66</v>
      </c>
    </row>
    <row r="1587" spans="1:24" ht="15" customHeight="1" x14ac:dyDescent="0.35">
      <c r="A1587" s="56" t="s">
        <v>3801</v>
      </c>
      <c r="B1587" s="2">
        <v>1492</v>
      </c>
      <c r="C1587" s="77">
        <v>102002291</v>
      </c>
      <c r="D1587" s="74" t="s">
        <v>470</v>
      </c>
      <c r="E1587" s="74" t="s">
        <v>2185</v>
      </c>
      <c r="F1587" s="75">
        <v>9</v>
      </c>
      <c r="G1587" s="64" t="s">
        <v>0</v>
      </c>
      <c r="H1587" s="101" t="s">
        <v>505</v>
      </c>
      <c r="I1587" s="61" t="s">
        <v>962</v>
      </c>
      <c r="J1587" s="63" t="s">
        <v>1917</v>
      </c>
      <c r="K1587" s="61" t="s">
        <v>961</v>
      </c>
      <c r="L1587" s="69" t="s">
        <v>2093</v>
      </c>
      <c r="M1587" s="70">
        <f t="shared" si="258"/>
        <v>174673.76</v>
      </c>
      <c r="N1587" s="70">
        <f t="shared" si="267"/>
        <v>19408.2</v>
      </c>
      <c r="O1587" s="70">
        <v>174673.76</v>
      </c>
      <c r="P1587" s="65">
        <v>96600</v>
      </c>
      <c r="Q1587" s="65">
        <f t="shared" si="268"/>
        <v>21252</v>
      </c>
      <c r="R1587" s="65">
        <f t="shared" si="269"/>
        <v>117852</v>
      </c>
      <c r="S1587" s="272"/>
      <c r="T1587" s="64">
        <v>92</v>
      </c>
      <c r="U1587" s="270"/>
      <c r="V1587" s="38">
        <v>110904</v>
      </c>
      <c r="W1587" s="38">
        <f t="shared" si="270"/>
        <v>24398.880000000001</v>
      </c>
      <c r="X1587" s="38">
        <f t="shared" si="271"/>
        <v>135302.88</v>
      </c>
    </row>
    <row r="1588" spans="1:24" ht="30" customHeight="1" x14ac:dyDescent="0.35">
      <c r="A1588" s="56" t="s">
        <v>3802</v>
      </c>
      <c r="B1588" s="2">
        <v>1493</v>
      </c>
      <c r="C1588" s="77">
        <v>102002316</v>
      </c>
      <c r="D1588" s="74" t="s">
        <v>473</v>
      </c>
      <c r="E1588" s="74" t="s">
        <v>2185</v>
      </c>
      <c r="F1588" s="75">
        <v>13</v>
      </c>
      <c r="G1588" s="64" t="s">
        <v>0</v>
      </c>
      <c r="H1588" s="61">
        <v>42734</v>
      </c>
      <c r="I1588" s="61" t="s">
        <v>962</v>
      </c>
      <c r="J1588" s="63" t="s">
        <v>1917</v>
      </c>
      <c r="K1588" s="61" t="s">
        <v>961</v>
      </c>
      <c r="L1588" s="69" t="s">
        <v>2093</v>
      </c>
      <c r="M1588" s="70">
        <f t="shared" si="258"/>
        <v>202119.1</v>
      </c>
      <c r="N1588" s="70">
        <f t="shared" si="267"/>
        <v>15547.62</v>
      </c>
      <c r="O1588" s="70">
        <v>202119.1</v>
      </c>
      <c r="P1588" s="65">
        <v>113400</v>
      </c>
      <c r="Q1588" s="65">
        <f t="shared" si="268"/>
        <v>24948</v>
      </c>
      <c r="R1588" s="65">
        <f t="shared" si="269"/>
        <v>138348</v>
      </c>
      <c r="S1588" s="272"/>
      <c r="T1588" s="64">
        <v>92</v>
      </c>
      <c r="U1588" s="270"/>
      <c r="V1588" s="38">
        <v>130197</v>
      </c>
      <c r="W1588" s="38">
        <f t="shared" si="270"/>
        <v>28643.34</v>
      </c>
      <c r="X1588" s="38">
        <f t="shared" si="271"/>
        <v>158840.34</v>
      </c>
    </row>
    <row r="1589" spans="1:24" ht="15" customHeight="1" x14ac:dyDescent="0.35">
      <c r="A1589" s="56" t="s">
        <v>3803</v>
      </c>
      <c r="B1589" s="2">
        <v>1494</v>
      </c>
      <c r="C1589" s="77">
        <v>102002354</v>
      </c>
      <c r="D1589" s="74" t="s">
        <v>474</v>
      </c>
      <c r="E1589" s="74" t="s">
        <v>2185</v>
      </c>
      <c r="F1589" s="75">
        <v>13</v>
      </c>
      <c r="G1589" s="64" t="s">
        <v>0</v>
      </c>
      <c r="H1589" s="61">
        <v>42734</v>
      </c>
      <c r="I1589" s="61" t="s">
        <v>962</v>
      </c>
      <c r="J1589" s="63" t="s">
        <v>1917</v>
      </c>
      <c r="K1589" s="61" t="s">
        <v>961</v>
      </c>
      <c r="L1589" s="69" t="s">
        <v>2093</v>
      </c>
      <c r="M1589" s="70">
        <f t="shared" si="258"/>
        <v>216461.45</v>
      </c>
      <c r="N1589" s="70">
        <f t="shared" si="267"/>
        <v>16650.88</v>
      </c>
      <c r="O1589" s="70">
        <v>216461.45</v>
      </c>
      <c r="P1589" s="65">
        <v>121450</v>
      </c>
      <c r="Q1589" s="65">
        <f t="shared" si="268"/>
        <v>26719</v>
      </c>
      <c r="R1589" s="65">
        <f t="shared" si="269"/>
        <v>148169</v>
      </c>
      <c r="S1589" s="272"/>
      <c r="T1589" s="64">
        <v>92</v>
      </c>
      <c r="U1589" s="270"/>
      <c r="V1589" s="38">
        <v>139436</v>
      </c>
      <c r="W1589" s="38">
        <f t="shared" si="270"/>
        <v>30675.919999999998</v>
      </c>
      <c r="X1589" s="38">
        <f t="shared" si="271"/>
        <v>170111.92</v>
      </c>
    </row>
    <row r="1590" spans="1:24" ht="15" customHeight="1" x14ac:dyDescent="0.35">
      <c r="A1590" s="56" t="s">
        <v>3804</v>
      </c>
      <c r="B1590" s="2">
        <v>1495</v>
      </c>
      <c r="C1590" s="77">
        <v>102002296</v>
      </c>
      <c r="D1590" s="74" t="s">
        <v>475</v>
      </c>
      <c r="E1590" s="74" t="s">
        <v>2185</v>
      </c>
      <c r="F1590" s="75">
        <v>16</v>
      </c>
      <c r="G1590" s="64" t="s">
        <v>0</v>
      </c>
      <c r="H1590" s="61">
        <v>42824</v>
      </c>
      <c r="I1590" s="61" t="s">
        <v>962</v>
      </c>
      <c r="J1590" s="63" t="s">
        <v>1917</v>
      </c>
      <c r="K1590" s="61" t="s">
        <v>961</v>
      </c>
      <c r="L1590" s="69" t="s">
        <v>2093</v>
      </c>
      <c r="M1590" s="70">
        <f t="shared" si="258"/>
        <v>225117.99</v>
      </c>
      <c r="N1590" s="70">
        <f t="shared" si="267"/>
        <v>14069.87</v>
      </c>
      <c r="O1590" s="70">
        <v>225117.99</v>
      </c>
      <c r="P1590" s="65">
        <v>124490</v>
      </c>
      <c r="Q1590" s="65">
        <f t="shared" si="268"/>
        <v>27387.8</v>
      </c>
      <c r="R1590" s="65">
        <f t="shared" si="269"/>
        <v>151877.79999999999</v>
      </c>
      <c r="S1590" s="272"/>
      <c r="T1590" s="64">
        <v>92</v>
      </c>
      <c r="U1590" s="270"/>
      <c r="V1590" s="38">
        <v>142932</v>
      </c>
      <c r="W1590" s="38">
        <f t="shared" si="270"/>
        <v>31445.040000000001</v>
      </c>
      <c r="X1590" s="38">
        <f t="shared" si="271"/>
        <v>174377.04</v>
      </c>
    </row>
    <row r="1591" spans="1:24" ht="15" customHeight="1" x14ac:dyDescent="0.35">
      <c r="A1591" s="56" t="s">
        <v>3805</v>
      </c>
      <c r="B1591" s="2">
        <v>1496</v>
      </c>
      <c r="C1591" s="77">
        <v>102002346</v>
      </c>
      <c r="D1591" s="74" t="s">
        <v>481</v>
      </c>
      <c r="E1591" s="74" t="s">
        <v>2185</v>
      </c>
      <c r="F1591" s="75">
        <v>23</v>
      </c>
      <c r="G1591" s="64" t="s">
        <v>0</v>
      </c>
      <c r="H1591" s="101" t="s">
        <v>2145</v>
      </c>
      <c r="I1591" s="61" t="s">
        <v>962</v>
      </c>
      <c r="J1591" s="63" t="s">
        <v>1917</v>
      </c>
      <c r="K1591" s="61" t="s">
        <v>961</v>
      </c>
      <c r="L1591" s="69" t="s">
        <v>2093</v>
      </c>
      <c r="M1591" s="70">
        <f t="shared" si="258"/>
        <v>402092.65</v>
      </c>
      <c r="N1591" s="70">
        <f t="shared" si="267"/>
        <v>17482.29</v>
      </c>
      <c r="O1591" s="70">
        <v>402092.65</v>
      </c>
      <c r="P1591" s="65">
        <v>287700</v>
      </c>
      <c r="Q1591" s="65">
        <f t="shared" si="268"/>
        <v>63294</v>
      </c>
      <c r="R1591" s="65">
        <f t="shared" si="269"/>
        <v>350994</v>
      </c>
      <c r="S1591" s="272"/>
      <c r="T1591" s="64">
        <v>92</v>
      </c>
      <c r="U1591" s="270"/>
      <c r="V1591" s="38">
        <v>330311</v>
      </c>
      <c r="W1591" s="38">
        <f t="shared" si="270"/>
        <v>72668.42</v>
      </c>
      <c r="X1591" s="38">
        <f t="shared" si="271"/>
        <v>402979.42</v>
      </c>
    </row>
    <row r="1592" spans="1:24" ht="15" customHeight="1" x14ac:dyDescent="0.35">
      <c r="A1592" s="56" t="s">
        <v>3806</v>
      </c>
      <c r="B1592" s="2">
        <v>1497</v>
      </c>
      <c r="C1592" s="77">
        <v>102002335</v>
      </c>
      <c r="D1592" s="74" t="s">
        <v>483</v>
      </c>
      <c r="E1592" s="74" t="s">
        <v>2185</v>
      </c>
      <c r="F1592" s="75">
        <v>26</v>
      </c>
      <c r="G1592" s="64" t="s">
        <v>0</v>
      </c>
      <c r="H1592" s="101" t="s">
        <v>2145</v>
      </c>
      <c r="I1592" s="61" t="s">
        <v>962</v>
      </c>
      <c r="J1592" s="63" t="s">
        <v>1917</v>
      </c>
      <c r="K1592" s="61" t="s">
        <v>961</v>
      </c>
      <c r="L1592" s="69" t="s">
        <v>2093</v>
      </c>
      <c r="M1592" s="70">
        <f t="shared" si="258"/>
        <v>420734.95</v>
      </c>
      <c r="N1592" s="70">
        <f t="shared" si="267"/>
        <v>16182.11</v>
      </c>
      <c r="O1592" s="70">
        <v>420734.95</v>
      </c>
      <c r="P1592" s="65">
        <v>301040</v>
      </c>
      <c r="Q1592" s="65">
        <f t="shared" si="268"/>
        <v>66228.800000000003</v>
      </c>
      <c r="R1592" s="65">
        <f t="shared" si="269"/>
        <v>367268.8</v>
      </c>
      <c r="S1592" s="272"/>
      <c r="T1592" s="64">
        <v>92</v>
      </c>
      <c r="U1592" s="270"/>
      <c r="V1592" s="38">
        <v>345625</v>
      </c>
      <c r="W1592" s="38">
        <f t="shared" si="270"/>
        <v>76037.5</v>
      </c>
      <c r="X1592" s="38">
        <f t="shared" si="271"/>
        <v>421662.5</v>
      </c>
    </row>
    <row r="1593" spans="1:24" ht="15" customHeight="1" x14ac:dyDescent="0.35">
      <c r="A1593" s="56" t="s">
        <v>3807</v>
      </c>
      <c r="B1593" s="2">
        <v>1498</v>
      </c>
      <c r="C1593" s="77">
        <v>102002280</v>
      </c>
      <c r="D1593" s="74" t="s">
        <v>484</v>
      </c>
      <c r="E1593" s="74" t="s">
        <v>2185</v>
      </c>
      <c r="F1593" s="75">
        <v>27</v>
      </c>
      <c r="G1593" s="64" t="s">
        <v>0</v>
      </c>
      <c r="H1593" s="101" t="s">
        <v>2145</v>
      </c>
      <c r="I1593" s="61" t="s">
        <v>962</v>
      </c>
      <c r="J1593" s="63" t="s">
        <v>1917</v>
      </c>
      <c r="K1593" s="61" t="s">
        <v>961</v>
      </c>
      <c r="L1593" s="69" t="s">
        <v>2093</v>
      </c>
      <c r="M1593" s="70">
        <f t="shared" si="258"/>
        <v>414093.66</v>
      </c>
      <c r="N1593" s="70">
        <f t="shared" si="267"/>
        <v>15336.8</v>
      </c>
      <c r="O1593" s="70">
        <v>414093.66</v>
      </c>
      <c r="P1593" s="65">
        <v>296290</v>
      </c>
      <c r="Q1593" s="65">
        <f t="shared" si="268"/>
        <v>65183.8</v>
      </c>
      <c r="R1593" s="65">
        <f t="shared" si="269"/>
        <v>361473.8</v>
      </c>
      <c r="S1593" s="272"/>
      <c r="T1593" s="64">
        <v>92</v>
      </c>
      <c r="U1593" s="270"/>
      <c r="V1593" s="38">
        <v>340170</v>
      </c>
      <c r="W1593" s="38">
        <f t="shared" si="270"/>
        <v>74837.399999999994</v>
      </c>
      <c r="X1593" s="38">
        <f t="shared" si="271"/>
        <v>415007.4</v>
      </c>
    </row>
    <row r="1594" spans="1:24" ht="20.149999999999999" customHeight="1" x14ac:dyDescent="0.35">
      <c r="A1594" s="56" t="s">
        <v>3813</v>
      </c>
      <c r="B1594" s="2">
        <v>1499</v>
      </c>
      <c r="C1594" s="45">
        <v>10110514</v>
      </c>
      <c r="D1594" s="40" t="s">
        <v>1014</v>
      </c>
      <c r="E1594" s="74" t="s">
        <v>2185</v>
      </c>
      <c r="F1594" s="47">
        <v>45</v>
      </c>
      <c r="G1594" s="64" t="s">
        <v>0</v>
      </c>
      <c r="H1594" s="48" t="s">
        <v>499</v>
      </c>
      <c r="I1594" s="63" t="s">
        <v>962</v>
      </c>
      <c r="J1594" s="42" t="s">
        <v>2232</v>
      </c>
      <c r="K1594" s="49" t="s">
        <v>1202</v>
      </c>
      <c r="L1594" s="88" t="s">
        <v>845</v>
      </c>
      <c r="M1594" s="76">
        <f t="shared" si="258"/>
        <v>49358.58</v>
      </c>
      <c r="N1594" s="76">
        <f t="shared" si="267"/>
        <v>1096.8599999999999</v>
      </c>
      <c r="O1594" s="76">
        <v>49358.58</v>
      </c>
      <c r="P1594" s="65">
        <v>32310</v>
      </c>
      <c r="Q1594" s="65">
        <f t="shared" si="268"/>
        <v>7108.2</v>
      </c>
      <c r="R1594" s="65">
        <f t="shared" si="269"/>
        <v>39418.199999999997</v>
      </c>
      <c r="S1594" s="272"/>
      <c r="T1594" s="64">
        <v>92</v>
      </c>
      <c r="U1594" s="270"/>
      <c r="V1594" s="38">
        <v>37094</v>
      </c>
      <c r="W1594" s="38">
        <f t="shared" si="270"/>
        <v>8160.68</v>
      </c>
      <c r="X1594" s="38">
        <f t="shared" si="271"/>
        <v>45254.68</v>
      </c>
    </row>
    <row r="1595" spans="1:24" ht="30" customHeight="1" x14ac:dyDescent="0.35">
      <c r="A1595" s="56" t="s">
        <v>3814</v>
      </c>
      <c r="B1595" s="2">
        <v>1500</v>
      </c>
      <c r="C1595" s="45">
        <v>10123736</v>
      </c>
      <c r="D1595" s="40" t="s">
        <v>1019</v>
      </c>
      <c r="E1595" s="74" t="s">
        <v>2185</v>
      </c>
      <c r="F1595" s="47">
        <v>1</v>
      </c>
      <c r="G1595" s="64" t="s">
        <v>0</v>
      </c>
      <c r="H1595" s="48" t="s">
        <v>500</v>
      </c>
      <c r="I1595" s="63" t="s">
        <v>962</v>
      </c>
      <c r="J1595" s="42" t="s">
        <v>1166</v>
      </c>
      <c r="K1595" s="49" t="s">
        <v>1019</v>
      </c>
      <c r="L1595" s="88" t="s">
        <v>845</v>
      </c>
      <c r="M1595" s="76">
        <f t="shared" si="258"/>
        <v>23376</v>
      </c>
      <c r="N1595" s="76">
        <f t="shared" si="267"/>
        <v>23376</v>
      </c>
      <c r="O1595" s="76">
        <v>23376</v>
      </c>
      <c r="P1595" s="65">
        <v>15600</v>
      </c>
      <c r="Q1595" s="65">
        <f t="shared" si="268"/>
        <v>3432</v>
      </c>
      <c r="R1595" s="65">
        <f t="shared" si="269"/>
        <v>19032</v>
      </c>
      <c r="S1595" s="272"/>
      <c r="T1595" s="64">
        <v>92</v>
      </c>
      <c r="U1595" s="270"/>
      <c r="V1595" s="38">
        <v>17907</v>
      </c>
      <c r="W1595" s="38">
        <f t="shared" si="270"/>
        <v>3939.54</v>
      </c>
      <c r="X1595" s="38">
        <f t="shared" si="271"/>
        <v>21846.54</v>
      </c>
    </row>
    <row r="1596" spans="1:24" ht="30" customHeight="1" x14ac:dyDescent="0.35">
      <c r="A1596" s="56" t="s">
        <v>3815</v>
      </c>
      <c r="B1596" s="2">
        <v>1501</v>
      </c>
      <c r="C1596" s="45">
        <v>10118614</v>
      </c>
      <c r="D1596" s="40" t="s">
        <v>1020</v>
      </c>
      <c r="E1596" s="74" t="s">
        <v>2185</v>
      </c>
      <c r="F1596" s="47">
        <v>1</v>
      </c>
      <c r="G1596" s="64" t="s">
        <v>0</v>
      </c>
      <c r="H1596" s="48" t="s">
        <v>1124</v>
      </c>
      <c r="I1596" s="63" t="s">
        <v>962</v>
      </c>
      <c r="J1596" s="42" t="s">
        <v>1167</v>
      </c>
      <c r="K1596" s="49" t="s">
        <v>1020</v>
      </c>
      <c r="L1596" s="88" t="s">
        <v>845</v>
      </c>
      <c r="M1596" s="76">
        <f t="shared" si="258"/>
        <v>17856</v>
      </c>
      <c r="N1596" s="76">
        <f t="shared" si="267"/>
        <v>17856</v>
      </c>
      <c r="O1596" s="76">
        <v>17856</v>
      </c>
      <c r="P1596" s="65">
        <v>11720</v>
      </c>
      <c r="Q1596" s="65">
        <f t="shared" si="268"/>
        <v>2578.4</v>
      </c>
      <c r="R1596" s="65">
        <f t="shared" si="269"/>
        <v>14298.4</v>
      </c>
      <c r="S1596" s="272"/>
      <c r="T1596" s="64">
        <v>92</v>
      </c>
      <c r="U1596" s="270"/>
      <c r="V1596" s="38">
        <v>13458</v>
      </c>
      <c r="W1596" s="38">
        <f t="shared" si="270"/>
        <v>2960.76</v>
      </c>
      <c r="X1596" s="38">
        <f t="shared" si="271"/>
        <v>16418.759999999998</v>
      </c>
    </row>
    <row r="1597" spans="1:24" ht="105" customHeight="1" x14ac:dyDescent="0.35">
      <c r="A1597" s="56" t="s">
        <v>3816</v>
      </c>
      <c r="B1597" s="2">
        <v>1502</v>
      </c>
      <c r="C1597" s="45">
        <v>10118489</v>
      </c>
      <c r="D1597" s="40" t="s">
        <v>1021</v>
      </c>
      <c r="E1597" s="74" t="s">
        <v>2185</v>
      </c>
      <c r="F1597" s="47">
        <v>18</v>
      </c>
      <c r="G1597" s="64" t="s">
        <v>0</v>
      </c>
      <c r="H1597" s="48" t="s">
        <v>1124</v>
      </c>
      <c r="I1597" s="63" t="s">
        <v>962</v>
      </c>
      <c r="J1597" s="42" t="s">
        <v>1168</v>
      </c>
      <c r="K1597" s="49" t="s">
        <v>1021</v>
      </c>
      <c r="L1597" s="88" t="s">
        <v>845</v>
      </c>
      <c r="M1597" s="76">
        <f t="shared" si="258"/>
        <v>331440</v>
      </c>
      <c r="N1597" s="76">
        <f t="shared" si="267"/>
        <v>18413.330000000002</v>
      </c>
      <c r="O1597" s="76">
        <v>331440</v>
      </c>
      <c r="P1597" s="65">
        <v>217590</v>
      </c>
      <c r="Q1597" s="65">
        <f t="shared" si="268"/>
        <v>47869.8</v>
      </c>
      <c r="R1597" s="65">
        <f t="shared" si="269"/>
        <v>265459.8</v>
      </c>
      <c r="S1597" s="272"/>
      <c r="T1597" s="64">
        <v>92</v>
      </c>
      <c r="U1597" s="270"/>
      <c r="V1597" s="38">
        <v>249813</v>
      </c>
      <c r="W1597" s="38">
        <f t="shared" si="270"/>
        <v>54958.86</v>
      </c>
      <c r="X1597" s="38">
        <f t="shared" si="271"/>
        <v>304771.86</v>
      </c>
    </row>
    <row r="1598" spans="1:24" ht="60" customHeight="1" x14ac:dyDescent="0.35">
      <c r="A1598" s="56" t="s">
        <v>3817</v>
      </c>
      <c r="B1598" s="2">
        <v>1503</v>
      </c>
      <c r="C1598" s="45">
        <v>10118613</v>
      </c>
      <c r="D1598" s="40" t="s">
        <v>1022</v>
      </c>
      <c r="E1598" s="74" t="s">
        <v>2185</v>
      </c>
      <c r="F1598" s="47">
        <v>3</v>
      </c>
      <c r="G1598" s="64" t="s">
        <v>0</v>
      </c>
      <c r="H1598" s="48" t="s">
        <v>500</v>
      </c>
      <c r="I1598" s="63" t="s">
        <v>962</v>
      </c>
      <c r="J1598" s="42" t="s">
        <v>2232</v>
      </c>
      <c r="K1598" s="49" t="s">
        <v>1022</v>
      </c>
      <c r="L1598" s="88" t="s">
        <v>845</v>
      </c>
      <c r="M1598" s="76">
        <f t="shared" si="258"/>
        <v>56054.38</v>
      </c>
      <c r="N1598" s="76">
        <f t="shared" si="267"/>
        <v>18684.79</v>
      </c>
      <c r="O1598" s="76">
        <v>56054.38</v>
      </c>
      <c r="P1598" s="65">
        <v>37400</v>
      </c>
      <c r="Q1598" s="65">
        <f t="shared" si="268"/>
        <v>8228</v>
      </c>
      <c r="R1598" s="65">
        <f t="shared" si="269"/>
        <v>45628</v>
      </c>
      <c r="S1598" s="272"/>
      <c r="T1598" s="64">
        <v>92</v>
      </c>
      <c r="U1598" s="270"/>
      <c r="V1598" s="38">
        <v>42940</v>
      </c>
      <c r="W1598" s="38">
        <f t="shared" si="270"/>
        <v>9446.7999999999993</v>
      </c>
      <c r="X1598" s="38">
        <f t="shared" si="271"/>
        <v>52386.8</v>
      </c>
    </row>
    <row r="1599" spans="1:24" ht="37.5" customHeight="1" x14ac:dyDescent="0.35">
      <c r="A1599" s="56" t="s">
        <v>3818</v>
      </c>
      <c r="B1599" s="2">
        <v>1504</v>
      </c>
      <c r="C1599" s="45">
        <v>10118574</v>
      </c>
      <c r="D1599" s="40" t="s">
        <v>1023</v>
      </c>
      <c r="E1599" s="74" t="s">
        <v>2185</v>
      </c>
      <c r="F1599" s="47">
        <f>4-1</f>
        <v>3</v>
      </c>
      <c r="G1599" s="64" t="s">
        <v>0</v>
      </c>
      <c r="H1599" s="48" t="s">
        <v>500</v>
      </c>
      <c r="I1599" s="63" t="s">
        <v>962</v>
      </c>
      <c r="J1599" s="42" t="s">
        <v>1169</v>
      </c>
      <c r="K1599" s="49" t="s">
        <v>1023</v>
      </c>
      <c r="L1599" s="88" t="s">
        <v>845</v>
      </c>
      <c r="M1599" s="76">
        <f t="shared" si="258"/>
        <v>59108.32</v>
      </c>
      <c r="N1599" s="76">
        <f t="shared" si="267"/>
        <v>19702.77</v>
      </c>
      <c r="O1599" s="76">
        <f>78811.09/4*3</f>
        <v>59108.32</v>
      </c>
      <c r="P1599" s="65">
        <v>39440</v>
      </c>
      <c r="Q1599" s="65">
        <f t="shared" si="268"/>
        <v>8676.7999999999993</v>
      </c>
      <c r="R1599" s="65">
        <f t="shared" si="269"/>
        <v>48116.800000000003</v>
      </c>
      <c r="S1599" s="272"/>
      <c r="T1599" s="64">
        <v>92</v>
      </c>
      <c r="U1599" s="270"/>
      <c r="V1599" s="38">
        <v>45279</v>
      </c>
      <c r="W1599" s="38">
        <f t="shared" si="270"/>
        <v>9961.3799999999992</v>
      </c>
      <c r="X1599" s="38">
        <f t="shared" si="271"/>
        <v>55240.38</v>
      </c>
    </row>
    <row r="1600" spans="1:24" ht="26.5" customHeight="1" x14ac:dyDescent="0.35">
      <c r="A1600" s="56" t="s">
        <v>3819</v>
      </c>
      <c r="B1600" s="2">
        <v>1505</v>
      </c>
      <c r="C1600" s="45">
        <v>10124556</v>
      </c>
      <c r="D1600" s="40" t="s">
        <v>441</v>
      </c>
      <c r="E1600" s="74" t="s">
        <v>2185</v>
      </c>
      <c r="F1600" s="47">
        <v>3</v>
      </c>
      <c r="G1600" s="64" t="s">
        <v>0</v>
      </c>
      <c r="H1600" s="48" t="s">
        <v>500</v>
      </c>
      <c r="I1600" s="63" t="s">
        <v>962</v>
      </c>
      <c r="J1600" s="42" t="s">
        <v>1170</v>
      </c>
      <c r="K1600" s="49" t="s">
        <v>441</v>
      </c>
      <c r="L1600" s="88" t="s">
        <v>845</v>
      </c>
      <c r="M1600" s="76">
        <f t="shared" si="258"/>
        <v>63237</v>
      </c>
      <c r="N1600" s="76">
        <f t="shared" si="267"/>
        <v>21079</v>
      </c>
      <c r="O1600" s="76">
        <v>63237</v>
      </c>
      <c r="P1600" s="65">
        <v>42190</v>
      </c>
      <c r="Q1600" s="65">
        <f t="shared" si="268"/>
        <v>9281.7999999999993</v>
      </c>
      <c r="R1600" s="65">
        <f t="shared" si="269"/>
        <v>51471.8</v>
      </c>
      <c r="S1600" s="272"/>
      <c r="T1600" s="64">
        <v>92</v>
      </c>
      <c r="U1600" s="270"/>
      <c r="V1600" s="38">
        <v>48442</v>
      </c>
      <c r="W1600" s="38">
        <f t="shared" si="270"/>
        <v>10657.24</v>
      </c>
      <c r="X1600" s="38">
        <f t="shared" si="271"/>
        <v>59099.24</v>
      </c>
    </row>
    <row r="1601" spans="1:24" ht="45" customHeight="1" x14ac:dyDescent="0.35">
      <c r="A1601" s="56" t="s">
        <v>3820</v>
      </c>
      <c r="B1601" s="2">
        <v>1506</v>
      </c>
      <c r="C1601" s="45">
        <v>10118594</v>
      </c>
      <c r="D1601" s="40" t="s">
        <v>1024</v>
      </c>
      <c r="E1601" s="74" t="s">
        <v>2185</v>
      </c>
      <c r="F1601" s="47">
        <v>5</v>
      </c>
      <c r="G1601" s="64" t="s">
        <v>0</v>
      </c>
      <c r="H1601" s="48" t="s">
        <v>500</v>
      </c>
      <c r="I1601" s="63" t="s">
        <v>962</v>
      </c>
      <c r="J1601" s="42" t="s">
        <v>1171</v>
      </c>
      <c r="K1601" s="49" t="s">
        <v>1024</v>
      </c>
      <c r="L1601" s="88" t="s">
        <v>845</v>
      </c>
      <c r="M1601" s="76">
        <f t="shared" si="258"/>
        <v>105928.12</v>
      </c>
      <c r="N1601" s="76">
        <f t="shared" si="267"/>
        <v>21185.62</v>
      </c>
      <c r="O1601" s="76">
        <v>105928.12</v>
      </c>
      <c r="P1601" s="65">
        <v>70680</v>
      </c>
      <c r="Q1601" s="65">
        <f t="shared" si="268"/>
        <v>15549.6</v>
      </c>
      <c r="R1601" s="65">
        <f t="shared" si="269"/>
        <v>86229.6</v>
      </c>
      <c r="S1601" s="272"/>
      <c r="T1601" s="64">
        <v>92</v>
      </c>
      <c r="U1601" s="270"/>
      <c r="V1601" s="38">
        <v>81145</v>
      </c>
      <c r="W1601" s="38">
        <f t="shared" si="270"/>
        <v>17851.900000000001</v>
      </c>
      <c r="X1601" s="38">
        <f t="shared" si="271"/>
        <v>98996.9</v>
      </c>
    </row>
    <row r="1602" spans="1:24" ht="155.25" customHeight="1" x14ac:dyDescent="0.35">
      <c r="A1602" s="56" t="s">
        <v>3821</v>
      </c>
      <c r="B1602" s="2">
        <v>1507</v>
      </c>
      <c r="C1602" s="45">
        <v>10108214</v>
      </c>
      <c r="D1602" s="40" t="s">
        <v>1025</v>
      </c>
      <c r="E1602" s="74" t="s">
        <v>2185</v>
      </c>
      <c r="F1602" s="47">
        <v>9</v>
      </c>
      <c r="G1602" s="64" t="s">
        <v>0</v>
      </c>
      <c r="H1602" s="48" t="s">
        <v>500</v>
      </c>
      <c r="I1602" s="63" t="s">
        <v>962</v>
      </c>
      <c r="J1602" s="42" t="s">
        <v>1172</v>
      </c>
      <c r="K1602" s="49" t="s">
        <v>1025</v>
      </c>
      <c r="L1602" s="88" t="s">
        <v>845</v>
      </c>
      <c r="M1602" s="76">
        <f t="shared" si="258"/>
        <v>244465.8</v>
      </c>
      <c r="N1602" s="76">
        <f t="shared" si="267"/>
        <v>27162.87</v>
      </c>
      <c r="O1602" s="76">
        <v>244465.8</v>
      </c>
      <c r="P1602" s="65">
        <v>163110</v>
      </c>
      <c r="Q1602" s="65">
        <f t="shared" si="268"/>
        <v>35884.199999999997</v>
      </c>
      <c r="R1602" s="65">
        <f t="shared" si="269"/>
        <v>198994.2</v>
      </c>
      <c r="S1602" s="272"/>
      <c r="T1602" s="64">
        <v>92</v>
      </c>
      <c r="U1602" s="270"/>
      <c r="V1602" s="38">
        <v>187271</v>
      </c>
      <c r="W1602" s="38">
        <f t="shared" si="270"/>
        <v>41199.620000000003</v>
      </c>
      <c r="X1602" s="38">
        <f t="shared" si="271"/>
        <v>228470.62</v>
      </c>
    </row>
    <row r="1603" spans="1:24" ht="110.15" customHeight="1" x14ac:dyDescent="0.35">
      <c r="A1603" s="56" t="s">
        <v>3822</v>
      </c>
      <c r="B1603" s="2">
        <v>1508</v>
      </c>
      <c r="C1603" s="45">
        <v>10108129</v>
      </c>
      <c r="D1603" s="40" t="s">
        <v>1026</v>
      </c>
      <c r="E1603" s="74" t="s">
        <v>2185</v>
      </c>
      <c r="F1603" s="47">
        <v>8</v>
      </c>
      <c r="G1603" s="64" t="s">
        <v>0</v>
      </c>
      <c r="H1603" s="48" t="s">
        <v>495</v>
      </c>
      <c r="I1603" s="63" t="s">
        <v>962</v>
      </c>
      <c r="J1603" s="42" t="s">
        <v>1173</v>
      </c>
      <c r="K1603" s="49" t="s">
        <v>1026</v>
      </c>
      <c r="L1603" s="88" t="s">
        <v>845</v>
      </c>
      <c r="M1603" s="76">
        <f t="shared" si="258"/>
        <v>244775.32</v>
      </c>
      <c r="N1603" s="76">
        <f t="shared" si="267"/>
        <v>30596.92</v>
      </c>
      <c r="O1603" s="76">
        <v>244775.32</v>
      </c>
      <c r="P1603" s="65">
        <v>156190</v>
      </c>
      <c r="Q1603" s="65">
        <f t="shared" si="268"/>
        <v>34361.800000000003</v>
      </c>
      <c r="R1603" s="65">
        <f t="shared" si="269"/>
        <v>190551.8</v>
      </c>
      <c r="S1603" s="272"/>
      <c r="T1603" s="64">
        <v>92</v>
      </c>
      <c r="U1603" s="270"/>
      <c r="V1603" s="38">
        <v>179322</v>
      </c>
      <c r="W1603" s="38">
        <f t="shared" si="270"/>
        <v>39450.839999999997</v>
      </c>
      <c r="X1603" s="38">
        <f t="shared" si="271"/>
        <v>218772.84</v>
      </c>
    </row>
    <row r="1604" spans="1:24" ht="110.15" customHeight="1" x14ac:dyDescent="0.35">
      <c r="A1604" s="56" t="s">
        <v>3823</v>
      </c>
      <c r="B1604" s="2">
        <v>1509</v>
      </c>
      <c r="C1604" s="45">
        <v>10108139</v>
      </c>
      <c r="D1604" s="40" t="s">
        <v>1027</v>
      </c>
      <c r="E1604" s="74" t="s">
        <v>2185</v>
      </c>
      <c r="F1604" s="47">
        <v>12</v>
      </c>
      <c r="G1604" s="64" t="s">
        <v>0</v>
      </c>
      <c r="H1604" s="48" t="s">
        <v>500</v>
      </c>
      <c r="I1604" s="63" t="s">
        <v>962</v>
      </c>
      <c r="J1604" s="42" t="s">
        <v>1174</v>
      </c>
      <c r="K1604" s="49" t="s">
        <v>1027</v>
      </c>
      <c r="L1604" s="88" t="s">
        <v>845</v>
      </c>
      <c r="M1604" s="76">
        <f t="shared" si="258"/>
        <v>400589.36</v>
      </c>
      <c r="N1604" s="76">
        <f t="shared" si="267"/>
        <v>33382.449999999997</v>
      </c>
      <c r="O1604" s="76">
        <v>400589.36</v>
      </c>
      <c r="P1604" s="65">
        <v>255610</v>
      </c>
      <c r="Q1604" s="65">
        <f t="shared" si="268"/>
        <v>56234.2</v>
      </c>
      <c r="R1604" s="65">
        <f t="shared" si="269"/>
        <v>311844.2</v>
      </c>
      <c r="S1604" s="272"/>
      <c r="T1604" s="64">
        <v>92</v>
      </c>
      <c r="U1604" s="270"/>
      <c r="V1604" s="38">
        <v>293472</v>
      </c>
      <c r="W1604" s="38">
        <f t="shared" si="270"/>
        <v>64563.839999999997</v>
      </c>
      <c r="X1604" s="38">
        <f t="shared" si="271"/>
        <v>358035.84</v>
      </c>
    </row>
    <row r="1605" spans="1:24" ht="120" customHeight="1" x14ac:dyDescent="0.35">
      <c r="A1605" s="56" t="s">
        <v>3824</v>
      </c>
      <c r="B1605" s="2">
        <v>1510</v>
      </c>
      <c r="C1605" s="45">
        <v>10108055</v>
      </c>
      <c r="D1605" s="40" t="s">
        <v>1028</v>
      </c>
      <c r="E1605" s="74" t="s">
        <v>2185</v>
      </c>
      <c r="F1605" s="47">
        <v>14</v>
      </c>
      <c r="G1605" s="64" t="s">
        <v>0</v>
      </c>
      <c r="H1605" s="48" t="s">
        <v>500</v>
      </c>
      <c r="I1605" s="63" t="s">
        <v>962</v>
      </c>
      <c r="J1605" s="42" t="s">
        <v>1175</v>
      </c>
      <c r="K1605" s="49" t="s">
        <v>1028</v>
      </c>
      <c r="L1605" s="88" t="s">
        <v>845</v>
      </c>
      <c r="M1605" s="76">
        <f t="shared" ref="M1605:M1668" si="272">O1605</f>
        <v>491065.78</v>
      </c>
      <c r="N1605" s="76">
        <f t="shared" si="267"/>
        <v>35076.129999999997</v>
      </c>
      <c r="O1605" s="76">
        <v>491065.78</v>
      </c>
      <c r="P1605" s="65">
        <v>313350</v>
      </c>
      <c r="Q1605" s="65">
        <f t="shared" si="268"/>
        <v>68937</v>
      </c>
      <c r="R1605" s="65">
        <f t="shared" si="269"/>
        <v>382287</v>
      </c>
      <c r="S1605" s="272"/>
      <c r="T1605" s="64">
        <v>92</v>
      </c>
      <c r="U1605" s="270"/>
      <c r="V1605" s="38">
        <v>359755</v>
      </c>
      <c r="W1605" s="38">
        <f t="shared" si="270"/>
        <v>79146.100000000006</v>
      </c>
      <c r="X1605" s="38">
        <f t="shared" si="271"/>
        <v>438901.1</v>
      </c>
    </row>
    <row r="1606" spans="1:24" ht="120" customHeight="1" x14ac:dyDescent="0.35">
      <c r="A1606" s="56" t="s">
        <v>3825</v>
      </c>
      <c r="B1606" s="2">
        <v>1511</v>
      </c>
      <c r="C1606" s="45">
        <v>10108250</v>
      </c>
      <c r="D1606" s="40" t="s">
        <v>1029</v>
      </c>
      <c r="E1606" s="74" t="s">
        <v>2185</v>
      </c>
      <c r="F1606" s="47">
        <v>7</v>
      </c>
      <c r="G1606" s="64" t="s">
        <v>0</v>
      </c>
      <c r="H1606" s="48" t="s">
        <v>500</v>
      </c>
      <c r="I1606" s="63" t="s">
        <v>962</v>
      </c>
      <c r="J1606" s="42" t="s">
        <v>1176</v>
      </c>
      <c r="K1606" s="49" t="s">
        <v>1029</v>
      </c>
      <c r="L1606" s="88" t="s">
        <v>845</v>
      </c>
      <c r="M1606" s="76">
        <f t="shared" si="272"/>
        <v>252271.98</v>
      </c>
      <c r="N1606" s="76">
        <f t="shared" si="267"/>
        <v>36038.85</v>
      </c>
      <c r="O1606" s="76">
        <v>252271.98</v>
      </c>
      <c r="P1606" s="65">
        <v>168320</v>
      </c>
      <c r="Q1606" s="65">
        <f t="shared" si="268"/>
        <v>37030.400000000001</v>
      </c>
      <c r="R1606" s="65">
        <f t="shared" si="269"/>
        <v>205350.39999999999</v>
      </c>
      <c r="S1606" s="272"/>
      <c r="T1606" s="64">
        <v>92</v>
      </c>
      <c r="U1606" s="270"/>
      <c r="V1606" s="38">
        <v>193250</v>
      </c>
      <c r="W1606" s="38">
        <f t="shared" si="270"/>
        <v>42515</v>
      </c>
      <c r="X1606" s="38">
        <f t="shared" si="271"/>
        <v>235765</v>
      </c>
    </row>
    <row r="1607" spans="1:24" ht="120" customHeight="1" x14ac:dyDescent="0.35">
      <c r="A1607" s="56" t="s">
        <v>3826</v>
      </c>
      <c r="B1607" s="2">
        <v>1512</v>
      </c>
      <c r="C1607" s="45">
        <v>10108215</v>
      </c>
      <c r="D1607" s="40" t="s">
        <v>1030</v>
      </c>
      <c r="E1607" s="74" t="s">
        <v>2185</v>
      </c>
      <c r="F1607" s="47">
        <v>13</v>
      </c>
      <c r="G1607" s="64" t="s">
        <v>0</v>
      </c>
      <c r="H1607" s="48" t="s">
        <v>499</v>
      </c>
      <c r="I1607" s="63" t="s">
        <v>962</v>
      </c>
      <c r="J1607" s="42" t="s">
        <v>1177</v>
      </c>
      <c r="K1607" s="49" t="s">
        <v>1030</v>
      </c>
      <c r="L1607" s="88" t="s">
        <v>845</v>
      </c>
      <c r="M1607" s="76">
        <f t="shared" si="272"/>
        <v>496448.86</v>
      </c>
      <c r="N1607" s="76">
        <f t="shared" si="267"/>
        <v>38188.370000000003</v>
      </c>
      <c r="O1607" s="76">
        <v>496448.86</v>
      </c>
      <c r="P1607" s="65">
        <v>324960</v>
      </c>
      <c r="Q1607" s="65">
        <f t="shared" si="268"/>
        <v>71491.199999999997</v>
      </c>
      <c r="R1607" s="65">
        <f t="shared" si="269"/>
        <v>396451.2</v>
      </c>
      <c r="S1607" s="272"/>
      <c r="T1607" s="64">
        <v>92</v>
      </c>
      <c r="U1607" s="270"/>
      <c r="V1607" s="38">
        <v>373091</v>
      </c>
      <c r="W1607" s="38">
        <f t="shared" si="270"/>
        <v>82080.02</v>
      </c>
      <c r="X1607" s="38">
        <f t="shared" si="271"/>
        <v>455171.02</v>
      </c>
    </row>
    <row r="1608" spans="1:24" ht="45" customHeight="1" x14ac:dyDescent="0.35">
      <c r="A1608" s="56" t="s">
        <v>3827</v>
      </c>
      <c r="B1608" s="2">
        <v>1513</v>
      </c>
      <c r="C1608" s="45">
        <v>10118558</v>
      </c>
      <c r="D1608" s="40" t="s">
        <v>1031</v>
      </c>
      <c r="E1608" s="74" t="s">
        <v>2185</v>
      </c>
      <c r="F1608" s="47">
        <v>8</v>
      </c>
      <c r="G1608" s="64" t="s">
        <v>0</v>
      </c>
      <c r="H1608" s="48" t="s">
        <v>500</v>
      </c>
      <c r="I1608" s="63" t="s">
        <v>962</v>
      </c>
      <c r="J1608" s="42" t="s">
        <v>1178</v>
      </c>
      <c r="K1608" s="49" t="s">
        <v>1031</v>
      </c>
      <c r="L1608" s="88" t="s">
        <v>845</v>
      </c>
      <c r="M1608" s="76">
        <f t="shared" si="272"/>
        <v>314404</v>
      </c>
      <c r="N1608" s="76">
        <f t="shared" si="267"/>
        <v>39300.5</v>
      </c>
      <c r="O1608" s="76">
        <v>314404</v>
      </c>
      <c r="P1608" s="65">
        <v>209780</v>
      </c>
      <c r="Q1608" s="65">
        <f t="shared" si="268"/>
        <v>46151.6</v>
      </c>
      <c r="R1608" s="65">
        <f t="shared" si="269"/>
        <v>255931.6</v>
      </c>
      <c r="S1608" s="272"/>
      <c r="T1608" s="64">
        <v>92</v>
      </c>
      <c r="U1608" s="270"/>
      <c r="V1608" s="38">
        <v>240846</v>
      </c>
      <c r="W1608" s="38">
        <f t="shared" si="270"/>
        <v>52986.12</v>
      </c>
      <c r="X1608" s="38">
        <f t="shared" si="271"/>
        <v>293832.12</v>
      </c>
    </row>
    <row r="1609" spans="1:24" ht="200.15" customHeight="1" x14ac:dyDescent="0.35">
      <c r="A1609" s="56" t="s">
        <v>3828</v>
      </c>
      <c r="B1609" s="2">
        <v>1514</v>
      </c>
      <c r="C1609" s="45">
        <v>10108241</v>
      </c>
      <c r="D1609" s="40" t="s">
        <v>1032</v>
      </c>
      <c r="E1609" s="74" t="s">
        <v>2185</v>
      </c>
      <c r="F1609" s="47">
        <v>26</v>
      </c>
      <c r="G1609" s="64" t="s">
        <v>0</v>
      </c>
      <c r="H1609" s="48" t="s">
        <v>500</v>
      </c>
      <c r="I1609" s="63" t="s">
        <v>962</v>
      </c>
      <c r="J1609" s="42" t="s">
        <v>1179</v>
      </c>
      <c r="K1609" s="49" t="s">
        <v>1032</v>
      </c>
      <c r="L1609" s="88" t="s">
        <v>845</v>
      </c>
      <c r="M1609" s="76">
        <f t="shared" si="272"/>
        <v>772494.25</v>
      </c>
      <c r="N1609" s="76">
        <f t="shared" si="267"/>
        <v>29711.32</v>
      </c>
      <c r="O1609" s="76">
        <v>772494.25</v>
      </c>
      <c r="P1609" s="65">
        <v>515420</v>
      </c>
      <c r="Q1609" s="65">
        <f t="shared" si="268"/>
        <v>113392.4</v>
      </c>
      <c r="R1609" s="65">
        <f t="shared" si="269"/>
        <v>628812.4</v>
      </c>
      <c r="S1609" s="272"/>
      <c r="T1609" s="64">
        <v>92</v>
      </c>
      <c r="U1609" s="270"/>
      <c r="V1609" s="38">
        <v>591761</v>
      </c>
      <c r="W1609" s="38">
        <f t="shared" si="270"/>
        <v>130187.42</v>
      </c>
      <c r="X1609" s="38">
        <f t="shared" si="271"/>
        <v>721948.42</v>
      </c>
    </row>
    <row r="1610" spans="1:24" ht="45" customHeight="1" x14ac:dyDescent="0.35">
      <c r="A1610" s="56" t="s">
        <v>3829</v>
      </c>
      <c r="B1610" s="2">
        <v>1515</v>
      </c>
      <c r="C1610" s="45">
        <v>10118616</v>
      </c>
      <c r="D1610" s="40" t="s">
        <v>1033</v>
      </c>
      <c r="E1610" s="74" t="s">
        <v>2185</v>
      </c>
      <c r="F1610" s="47">
        <v>2</v>
      </c>
      <c r="G1610" s="64" t="s">
        <v>0</v>
      </c>
      <c r="H1610" s="48" t="s">
        <v>500</v>
      </c>
      <c r="I1610" s="63" t="s">
        <v>962</v>
      </c>
      <c r="J1610" s="42" t="s">
        <v>2232</v>
      </c>
      <c r="K1610" s="49" t="s">
        <v>1033</v>
      </c>
      <c r="L1610" s="88" t="s">
        <v>845</v>
      </c>
      <c r="M1610" s="76">
        <f t="shared" si="272"/>
        <v>61807.33</v>
      </c>
      <c r="N1610" s="76">
        <f t="shared" si="267"/>
        <v>30903.67</v>
      </c>
      <c r="O1610" s="76">
        <v>61807.33</v>
      </c>
      <c r="P1610" s="65">
        <v>41240</v>
      </c>
      <c r="Q1610" s="65">
        <f t="shared" si="268"/>
        <v>9072.7999999999993</v>
      </c>
      <c r="R1610" s="65">
        <f t="shared" si="269"/>
        <v>50312.800000000003</v>
      </c>
      <c r="S1610" s="272"/>
      <c r="T1610" s="64">
        <v>92</v>
      </c>
      <c r="U1610" s="270"/>
      <c r="V1610" s="38">
        <v>47347</v>
      </c>
      <c r="W1610" s="38">
        <f t="shared" si="270"/>
        <v>10416.34</v>
      </c>
      <c r="X1610" s="38">
        <f t="shared" si="271"/>
        <v>57763.34</v>
      </c>
    </row>
    <row r="1611" spans="1:24" ht="33.65" customHeight="1" x14ac:dyDescent="0.35">
      <c r="A1611" s="56" t="s">
        <v>3830</v>
      </c>
      <c r="B1611" s="2">
        <v>1516</v>
      </c>
      <c r="C1611" s="45">
        <v>10108229</v>
      </c>
      <c r="D1611" s="40" t="s">
        <v>1034</v>
      </c>
      <c r="E1611" s="74" t="s">
        <v>2185</v>
      </c>
      <c r="F1611" s="47">
        <v>5</v>
      </c>
      <c r="G1611" s="64" t="s">
        <v>0</v>
      </c>
      <c r="H1611" s="48" t="s">
        <v>500</v>
      </c>
      <c r="I1611" s="63" t="s">
        <v>962</v>
      </c>
      <c r="J1611" s="42" t="s">
        <v>2232</v>
      </c>
      <c r="K1611" s="49" t="s">
        <v>1034</v>
      </c>
      <c r="L1611" s="88" t="s">
        <v>845</v>
      </c>
      <c r="M1611" s="76">
        <f t="shared" si="272"/>
        <v>158634.75</v>
      </c>
      <c r="N1611" s="76">
        <f t="shared" si="267"/>
        <v>31726.95</v>
      </c>
      <c r="O1611" s="76">
        <v>158634.75</v>
      </c>
      <c r="P1611" s="65">
        <v>105840</v>
      </c>
      <c r="Q1611" s="65">
        <f t="shared" si="268"/>
        <v>23284.799999999999</v>
      </c>
      <c r="R1611" s="65">
        <f t="shared" si="269"/>
        <v>129124.8</v>
      </c>
      <c r="S1611" s="272"/>
      <c r="T1611" s="64">
        <v>92</v>
      </c>
      <c r="U1611" s="270"/>
      <c r="V1611" s="38">
        <v>121521</v>
      </c>
      <c r="W1611" s="38">
        <f t="shared" si="270"/>
        <v>26734.62</v>
      </c>
      <c r="X1611" s="38">
        <f t="shared" si="271"/>
        <v>148255.62</v>
      </c>
    </row>
    <row r="1612" spans="1:24" ht="96" customHeight="1" x14ac:dyDescent="0.35">
      <c r="A1612" s="56" t="s">
        <v>3831</v>
      </c>
      <c r="B1612" s="2">
        <v>1517</v>
      </c>
      <c r="C1612" s="45">
        <v>10118625</v>
      </c>
      <c r="D1612" s="40" t="s">
        <v>1035</v>
      </c>
      <c r="E1612" s="74" t="s">
        <v>2185</v>
      </c>
      <c r="F1612" s="47">
        <v>7</v>
      </c>
      <c r="G1612" s="64" t="s">
        <v>0</v>
      </c>
      <c r="H1612" s="48" t="s">
        <v>500</v>
      </c>
      <c r="I1612" s="63" t="s">
        <v>962</v>
      </c>
      <c r="J1612" s="42" t="s">
        <v>1180</v>
      </c>
      <c r="K1612" s="49" t="s">
        <v>1035</v>
      </c>
      <c r="L1612" s="88" t="s">
        <v>845</v>
      </c>
      <c r="M1612" s="76">
        <f t="shared" si="272"/>
        <v>214618.7</v>
      </c>
      <c r="N1612" s="76">
        <f t="shared" si="267"/>
        <v>30659.81</v>
      </c>
      <c r="O1612" s="76">
        <v>214618.7</v>
      </c>
      <c r="P1612" s="65">
        <v>143200</v>
      </c>
      <c r="Q1612" s="65">
        <f t="shared" si="268"/>
        <v>31504</v>
      </c>
      <c r="R1612" s="65">
        <f t="shared" si="269"/>
        <v>174704</v>
      </c>
      <c r="S1612" s="272"/>
      <c r="T1612" s="64">
        <v>92</v>
      </c>
      <c r="U1612" s="270"/>
      <c r="V1612" s="38">
        <v>164407</v>
      </c>
      <c r="W1612" s="38">
        <f t="shared" si="270"/>
        <v>36169.54</v>
      </c>
      <c r="X1612" s="38">
        <f t="shared" si="271"/>
        <v>200576.54</v>
      </c>
    </row>
    <row r="1613" spans="1:24" ht="81.75" customHeight="1" x14ac:dyDescent="0.35">
      <c r="A1613" s="56" t="s">
        <v>3832</v>
      </c>
      <c r="B1613" s="2">
        <v>1518</v>
      </c>
      <c r="C1613" s="45">
        <v>10108243</v>
      </c>
      <c r="D1613" s="40" t="s">
        <v>1036</v>
      </c>
      <c r="E1613" s="74" t="s">
        <v>2185</v>
      </c>
      <c r="F1613" s="47">
        <v>8</v>
      </c>
      <c r="G1613" s="64" t="s">
        <v>0</v>
      </c>
      <c r="H1613" s="48" t="s">
        <v>500</v>
      </c>
      <c r="I1613" s="63" t="s">
        <v>962</v>
      </c>
      <c r="J1613" s="42" t="s">
        <v>1181</v>
      </c>
      <c r="K1613" s="49" t="s">
        <v>1036</v>
      </c>
      <c r="L1613" s="88" t="s">
        <v>845</v>
      </c>
      <c r="M1613" s="76">
        <f t="shared" si="272"/>
        <v>267191.48</v>
      </c>
      <c r="N1613" s="76">
        <f t="shared" si="267"/>
        <v>33398.94</v>
      </c>
      <c r="O1613" s="76">
        <v>267191.48</v>
      </c>
      <c r="P1613" s="65">
        <v>178280</v>
      </c>
      <c r="Q1613" s="65">
        <f t="shared" si="268"/>
        <v>39221.599999999999</v>
      </c>
      <c r="R1613" s="65">
        <f t="shared" si="269"/>
        <v>217501.6</v>
      </c>
      <c r="S1613" s="272"/>
      <c r="T1613" s="64">
        <v>92</v>
      </c>
      <c r="U1613" s="270"/>
      <c r="V1613" s="38">
        <v>204679</v>
      </c>
      <c r="W1613" s="38">
        <f t="shared" si="270"/>
        <v>45029.38</v>
      </c>
      <c r="X1613" s="38">
        <f t="shared" si="271"/>
        <v>249708.38</v>
      </c>
    </row>
    <row r="1614" spans="1:24" ht="87" customHeight="1" x14ac:dyDescent="0.35">
      <c r="A1614" s="56" t="s">
        <v>3833</v>
      </c>
      <c r="B1614" s="2">
        <v>1519</v>
      </c>
      <c r="C1614" s="45">
        <v>10118615</v>
      </c>
      <c r="D1614" s="40" t="s">
        <v>1037</v>
      </c>
      <c r="E1614" s="74" t="s">
        <v>2185</v>
      </c>
      <c r="F1614" s="47">
        <v>5</v>
      </c>
      <c r="G1614" s="64" t="s">
        <v>0</v>
      </c>
      <c r="H1614" s="48" t="s">
        <v>500</v>
      </c>
      <c r="I1614" s="63" t="s">
        <v>962</v>
      </c>
      <c r="J1614" s="42" t="s">
        <v>1182</v>
      </c>
      <c r="K1614" s="49" t="s">
        <v>1037</v>
      </c>
      <c r="L1614" s="88" t="s">
        <v>845</v>
      </c>
      <c r="M1614" s="76">
        <f t="shared" si="272"/>
        <v>165362.5</v>
      </c>
      <c r="N1614" s="76">
        <f t="shared" si="267"/>
        <v>33072.5</v>
      </c>
      <c r="O1614" s="76">
        <v>165362.5</v>
      </c>
      <c r="P1614" s="65">
        <v>110330</v>
      </c>
      <c r="Q1614" s="65">
        <f t="shared" si="268"/>
        <v>24272.6</v>
      </c>
      <c r="R1614" s="65">
        <f t="shared" si="269"/>
        <v>134602.6</v>
      </c>
      <c r="S1614" s="272"/>
      <c r="T1614" s="64">
        <v>92</v>
      </c>
      <c r="U1614" s="270"/>
      <c r="V1614" s="38">
        <v>126674</v>
      </c>
      <c r="W1614" s="38">
        <f t="shared" si="270"/>
        <v>27868.28</v>
      </c>
      <c r="X1614" s="38">
        <f t="shared" si="271"/>
        <v>154542.28</v>
      </c>
    </row>
    <row r="1615" spans="1:24" ht="150" customHeight="1" x14ac:dyDescent="0.35">
      <c r="A1615" s="56" t="s">
        <v>3834</v>
      </c>
      <c r="B1615" s="2">
        <v>1520</v>
      </c>
      <c r="C1615" s="45">
        <v>10118593</v>
      </c>
      <c r="D1615" s="40" t="s">
        <v>1038</v>
      </c>
      <c r="E1615" s="74" t="s">
        <v>2185</v>
      </c>
      <c r="F1615" s="47">
        <v>21</v>
      </c>
      <c r="G1615" s="64" t="s">
        <v>0</v>
      </c>
      <c r="H1615" s="48" t="s">
        <v>500</v>
      </c>
      <c r="I1615" s="63" t="s">
        <v>962</v>
      </c>
      <c r="J1615" s="42" t="s">
        <v>1183</v>
      </c>
      <c r="K1615" s="49" t="s">
        <v>1038</v>
      </c>
      <c r="L1615" s="88" t="s">
        <v>845</v>
      </c>
      <c r="M1615" s="76">
        <f t="shared" si="272"/>
        <v>690952.1</v>
      </c>
      <c r="N1615" s="76">
        <f t="shared" si="267"/>
        <v>32902.480000000003</v>
      </c>
      <c r="O1615" s="76">
        <v>690952.1</v>
      </c>
      <c r="P1615" s="65">
        <v>461020</v>
      </c>
      <c r="Q1615" s="65">
        <f t="shared" si="268"/>
        <v>101424.4</v>
      </c>
      <c r="R1615" s="65">
        <f t="shared" si="269"/>
        <v>562444.4</v>
      </c>
      <c r="S1615" s="272"/>
      <c r="T1615" s="64">
        <v>92</v>
      </c>
      <c r="U1615" s="270"/>
      <c r="V1615" s="38">
        <v>529297</v>
      </c>
      <c r="W1615" s="38">
        <f t="shared" si="270"/>
        <v>116445.34</v>
      </c>
      <c r="X1615" s="38">
        <f t="shared" si="271"/>
        <v>645742.34</v>
      </c>
    </row>
    <row r="1616" spans="1:24" ht="40.5" customHeight="1" x14ac:dyDescent="0.35">
      <c r="A1616" s="56" t="s">
        <v>3835</v>
      </c>
      <c r="B1616" s="2">
        <v>1521</v>
      </c>
      <c r="C1616" s="45">
        <v>10108272</v>
      </c>
      <c r="D1616" s="40" t="s">
        <v>1039</v>
      </c>
      <c r="E1616" s="74" t="s">
        <v>2185</v>
      </c>
      <c r="F1616" s="47">
        <v>4</v>
      </c>
      <c r="G1616" s="64" t="s">
        <v>0</v>
      </c>
      <c r="H1616" s="48" t="s">
        <v>500</v>
      </c>
      <c r="I1616" s="63" t="s">
        <v>962</v>
      </c>
      <c r="J1616" s="42" t="s">
        <v>1184</v>
      </c>
      <c r="K1616" s="49" t="s">
        <v>1039</v>
      </c>
      <c r="L1616" s="88" t="s">
        <v>845</v>
      </c>
      <c r="M1616" s="76">
        <f t="shared" si="272"/>
        <v>140324</v>
      </c>
      <c r="N1616" s="76">
        <f t="shared" si="267"/>
        <v>35081</v>
      </c>
      <c r="O1616" s="76">
        <v>140324</v>
      </c>
      <c r="P1616" s="65">
        <v>93630</v>
      </c>
      <c r="Q1616" s="65">
        <f t="shared" si="268"/>
        <v>20598.599999999999</v>
      </c>
      <c r="R1616" s="65">
        <f t="shared" si="269"/>
        <v>114228.6</v>
      </c>
      <c r="S1616" s="272"/>
      <c r="T1616" s="64">
        <v>92</v>
      </c>
      <c r="U1616" s="270"/>
      <c r="V1616" s="38">
        <v>107494</v>
      </c>
      <c r="W1616" s="38">
        <f t="shared" si="270"/>
        <v>23648.68</v>
      </c>
      <c r="X1616" s="38">
        <f t="shared" si="271"/>
        <v>131142.68</v>
      </c>
    </row>
    <row r="1617" spans="1:24" ht="100" customHeight="1" x14ac:dyDescent="0.35">
      <c r="A1617" s="56" t="s">
        <v>3836</v>
      </c>
      <c r="B1617" s="2">
        <v>1522</v>
      </c>
      <c r="C1617" s="45">
        <v>10118624</v>
      </c>
      <c r="D1617" s="40" t="s">
        <v>1040</v>
      </c>
      <c r="E1617" s="74" t="s">
        <v>2185</v>
      </c>
      <c r="F1617" s="47">
        <v>9</v>
      </c>
      <c r="G1617" s="64" t="s">
        <v>0</v>
      </c>
      <c r="H1617" s="48" t="s">
        <v>500</v>
      </c>
      <c r="I1617" s="63" t="s">
        <v>962</v>
      </c>
      <c r="J1617" s="42" t="s">
        <v>1185</v>
      </c>
      <c r="K1617" s="49" t="s">
        <v>1040</v>
      </c>
      <c r="L1617" s="88" t="s">
        <v>845</v>
      </c>
      <c r="M1617" s="76">
        <f t="shared" si="272"/>
        <v>325052.40999999997</v>
      </c>
      <c r="N1617" s="76">
        <f t="shared" si="267"/>
        <v>36116.93</v>
      </c>
      <c r="O1617" s="76">
        <v>325052.40999999997</v>
      </c>
      <c r="P1617" s="65">
        <v>216880</v>
      </c>
      <c r="Q1617" s="65">
        <f t="shared" si="268"/>
        <v>47713.599999999999</v>
      </c>
      <c r="R1617" s="65">
        <f t="shared" si="269"/>
        <v>264593.59999999998</v>
      </c>
      <c r="S1617" s="272"/>
      <c r="T1617" s="64">
        <v>92</v>
      </c>
      <c r="U1617" s="270"/>
      <c r="V1617" s="38">
        <v>249003</v>
      </c>
      <c r="W1617" s="38">
        <f t="shared" si="270"/>
        <v>54780.66</v>
      </c>
      <c r="X1617" s="38">
        <f t="shared" si="271"/>
        <v>303783.65999999997</v>
      </c>
    </row>
    <row r="1618" spans="1:24" ht="100" customHeight="1" x14ac:dyDescent="0.35">
      <c r="A1618" s="56" t="s">
        <v>3837</v>
      </c>
      <c r="B1618" s="2">
        <v>1523</v>
      </c>
      <c r="C1618" s="45">
        <v>10108128</v>
      </c>
      <c r="D1618" s="40" t="s">
        <v>1041</v>
      </c>
      <c r="E1618" s="74" t="s">
        <v>2185</v>
      </c>
      <c r="F1618" s="47">
        <v>7</v>
      </c>
      <c r="G1618" s="64" t="s">
        <v>0</v>
      </c>
      <c r="H1618" s="48" t="s">
        <v>495</v>
      </c>
      <c r="I1618" s="63" t="s">
        <v>962</v>
      </c>
      <c r="J1618" s="42" t="s">
        <v>1186</v>
      </c>
      <c r="K1618" s="49" t="s">
        <v>1041</v>
      </c>
      <c r="L1618" s="88" t="s">
        <v>845</v>
      </c>
      <c r="M1618" s="76">
        <f t="shared" si="272"/>
        <v>240013.42</v>
      </c>
      <c r="N1618" s="76">
        <f t="shared" si="267"/>
        <v>34287.629999999997</v>
      </c>
      <c r="O1618" s="76">
        <v>240013.42</v>
      </c>
      <c r="P1618" s="65">
        <v>171730</v>
      </c>
      <c r="Q1618" s="65">
        <f t="shared" si="268"/>
        <v>37780.6</v>
      </c>
      <c r="R1618" s="65">
        <f t="shared" si="269"/>
        <v>209510.6</v>
      </c>
      <c r="S1618" s="272"/>
      <c r="T1618" s="64">
        <v>92</v>
      </c>
      <c r="U1618" s="270"/>
      <c r="V1618" s="38">
        <v>197166</v>
      </c>
      <c r="W1618" s="38">
        <f t="shared" si="270"/>
        <v>43376.52</v>
      </c>
      <c r="X1618" s="38">
        <f t="shared" si="271"/>
        <v>240542.52</v>
      </c>
    </row>
    <row r="1619" spans="1:24" ht="61.5" customHeight="1" x14ac:dyDescent="0.35">
      <c r="A1619" s="56" t="s">
        <v>3838</v>
      </c>
      <c r="B1619" s="2">
        <v>1524</v>
      </c>
      <c r="C1619" s="45">
        <v>10118632</v>
      </c>
      <c r="D1619" s="40" t="s">
        <v>1042</v>
      </c>
      <c r="E1619" s="74" t="s">
        <v>2185</v>
      </c>
      <c r="F1619" s="47">
        <v>6</v>
      </c>
      <c r="G1619" s="64" t="s">
        <v>0</v>
      </c>
      <c r="H1619" s="48" t="s">
        <v>500</v>
      </c>
      <c r="I1619" s="63" t="s">
        <v>962</v>
      </c>
      <c r="J1619" s="42" t="s">
        <v>1187</v>
      </c>
      <c r="K1619" s="49" t="s">
        <v>1042</v>
      </c>
      <c r="L1619" s="88" t="s">
        <v>845</v>
      </c>
      <c r="M1619" s="76">
        <f t="shared" si="272"/>
        <v>220138.5</v>
      </c>
      <c r="N1619" s="76">
        <f t="shared" si="267"/>
        <v>36689.75</v>
      </c>
      <c r="O1619" s="76">
        <v>220138.5</v>
      </c>
      <c r="P1619" s="65">
        <v>146880</v>
      </c>
      <c r="Q1619" s="65">
        <f t="shared" si="268"/>
        <v>32313.599999999999</v>
      </c>
      <c r="R1619" s="65">
        <f t="shared" si="269"/>
        <v>179193.60000000001</v>
      </c>
      <c r="S1619" s="272"/>
      <c r="T1619" s="64">
        <v>92</v>
      </c>
      <c r="U1619" s="270"/>
      <c r="V1619" s="38">
        <v>168635</v>
      </c>
      <c r="W1619" s="38">
        <f t="shared" si="270"/>
        <v>37099.699999999997</v>
      </c>
      <c r="X1619" s="38">
        <f t="shared" si="271"/>
        <v>205734.7</v>
      </c>
    </row>
    <row r="1620" spans="1:24" ht="95.15" customHeight="1" x14ac:dyDescent="0.35">
      <c r="A1620" s="56" t="s">
        <v>3839</v>
      </c>
      <c r="B1620" s="2">
        <v>1525</v>
      </c>
      <c r="C1620" s="45">
        <v>10108310</v>
      </c>
      <c r="D1620" s="40" t="s">
        <v>1043</v>
      </c>
      <c r="E1620" s="74" t="s">
        <v>2185</v>
      </c>
      <c r="F1620" s="47">
        <v>6</v>
      </c>
      <c r="G1620" s="64" t="s">
        <v>0</v>
      </c>
      <c r="H1620" s="48" t="s">
        <v>500</v>
      </c>
      <c r="I1620" s="63" t="s">
        <v>962</v>
      </c>
      <c r="J1620" s="42" t="s">
        <v>1188</v>
      </c>
      <c r="K1620" s="49" t="s">
        <v>1043</v>
      </c>
      <c r="L1620" s="88" t="s">
        <v>845</v>
      </c>
      <c r="M1620" s="76">
        <f t="shared" si="272"/>
        <v>228375.97</v>
      </c>
      <c r="N1620" s="76">
        <f t="shared" si="267"/>
        <v>38062.660000000003</v>
      </c>
      <c r="O1620" s="76">
        <v>228375.97</v>
      </c>
      <c r="P1620" s="65">
        <v>152380</v>
      </c>
      <c r="Q1620" s="65">
        <f t="shared" si="268"/>
        <v>33523.599999999999</v>
      </c>
      <c r="R1620" s="65">
        <f t="shared" si="269"/>
        <v>185903.6</v>
      </c>
      <c r="S1620" s="272"/>
      <c r="T1620" s="64">
        <v>92</v>
      </c>
      <c r="U1620" s="270"/>
      <c r="V1620" s="38">
        <v>174945</v>
      </c>
      <c r="W1620" s="38">
        <f t="shared" si="270"/>
        <v>38487.9</v>
      </c>
      <c r="X1620" s="38">
        <f t="shared" si="271"/>
        <v>213432.9</v>
      </c>
    </row>
    <row r="1621" spans="1:24" ht="65.150000000000006" customHeight="1" x14ac:dyDescent="0.35">
      <c r="A1621" s="56" t="s">
        <v>3840</v>
      </c>
      <c r="B1621" s="2">
        <v>1526</v>
      </c>
      <c r="C1621" s="45">
        <v>10117101</v>
      </c>
      <c r="D1621" s="40" t="s">
        <v>1103</v>
      </c>
      <c r="E1621" s="74" t="s">
        <v>2185</v>
      </c>
      <c r="F1621" s="47">
        <v>10</v>
      </c>
      <c r="G1621" s="64" t="s">
        <v>0</v>
      </c>
      <c r="H1621" s="48" t="s">
        <v>500</v>
      </c>
      <c r="I1621" s="63" t="s">
        <v>962</v>
      </c>
      <c r="J1621" s="42" t="s">
        <v>1189</v>
      </c>
      <c r="K1621" s="49" t="s">
        <v>1103</v>
      </c>
      <c r="L1621" s="88" t="s">
        <v>845</v>
      </c>
      <c r="M1621" s="76">
        <f t="shared" si="272"/>
        <v>103824</v>
      </c>
      <c r="N1621" s="76">
        <f t="shared" si="267"/>
        <v>10382.4</v>
      </c>
      <c r="O1621" s="76">
        <v>103824</v>
      </c>
      <c r="P1621" s="65">
        <v>69270</v>
      </c>
      <c r="Q1621" s="65">
        <f t="shared" si="268"/>
        <v>15239.4</v>
      </c>
      <c r="R1621" s="65">
        <f t="shared" si="269"/>
        <v>84509.4</v>
      </c>
      <c r="S1621" s="272"/>
      <c r="T1621" s="64">
        <v>92</v>
      </c>
      <c r="U1621" s="270"/>
      <c r="V1621" s="38">
        <v>79533</v>
      </c>
      <c r="W1621" s="38">
        <f t="shared" si="270"/>
        <v>17497.259999999998</v>
      </c>
      <c r="X1621" s="38">
        <f t="shared" si="271"/>
        <v>97030.26</v>
      </c>
    </row>
    <row r="1622" spans="1:24" ht="61.5" customHeight="1" x14ac:dyDescent="0.35">
      <c r="A1622" s="56" t="s">
        <v>3841</v>
      </c>
      <c r="B1622" s="2">
        <v>1527</v>
      </c>
      <c r="C1622" s="45">
        <v>10117121</v>
      </c>
      <c r="D1622" s="40" t="s">
        <v>1104</v>
      </c>
      <c r="E1622" s="74" t="s">
        <v>2185</v>
      </c>
      <c r="F1622" s="47">
        <v>10</v>
      </c>
      <c r="G1622" s="64" t="s">
        <v>0</v>
      </c>
      <c r="H1622" s="48" t="s">
        <v>1122</v>
      </c>
      <c r="I1622" s="63" t="s">
        <v>962</v>
      </c>
      <c r="J1622" s="42" t="s">
        <v>1190</v>
      </c>
      <c r="K1622" s="49" t="s">
        <v>1104</v>
      </c>
      <c r="L1622" s="88" t="s">
        <v>845</v>
      </c>
      <c r="M1622" s="76">
        <f t="shared" si="272"/>
        <v>116704</v>
      </c>
      <c r="N1622" s="76">
        <f t="shared" si="267"/>
        <v>11670.4</v>
      </c>
      <c r="O1622" s="76">
        <v>116704</v>
      </c>
      <c r="P1622" s="65">
        <v>83500</v>
      </c>
      <c r="Q1622" s="65">
        <f t="shared" si="268"/>
        <v>18370</v>
      </c>
      <c r="R1622" s="65">
        <f t="shared" si="269"/>
        <v>101870</v>
      </c>
      <c r="S1622" s="272"/>
      <c r="T1622" s="64">
        <v>92</v>
      </c>
      <c r="U1622" s="270"/>
      <c r="V1622" s="38">
        <v>95870</v>
      </c>
      <c r="W1622" s="38">
        <f t="shared" si="270"/>
        <v>21091.4</v>
      </c>
      <c r="X1622" s="38">
        <f t="shared" si="271"/>
        <v>116961.4</v>
      </c>
    </row>
    <row r="1623" spans="1:24" ht="55.5" customHeight="1" x14ac:dyDescent="0.35">
      <c r="A1623" s="56" t="s">
        <v>3842</v>
      </c>
      <c r="B1623" s="2">
        <v>1528</v>
      </c>
      <c r="C1623" s="45">
        <v>10117033</v>
      </c>
      <c r="D1623" s="40" t="s">
        <v>1105</v>
      </c>
      <c r="E1623" s="74" t="s">
        <v>2185</v>
      </c>
      <c r="F1623" s="47">
        <v>10</v>
      </c>
      <c r="G1623" s="64" t="s">
        <v>0</v>
      </c>
      <c r="H1623" s="48" t="s">
        <v>1122</v>
      </c>
      <c r="I1623" s="63" t="s">
        <v>962</v>
      </c>
      <c r="J1623" s="42" t="s">
        <v>1191</v>
      </c>
      <c r="K1623" s="49" t="s">
        <v>1105</v>
      </c>
      <c r="L1623" s="88" t="s">
        <v>845</v>
      </c>
      <c r="M1623" s="76">
        <f t="shared" si="272"/>
        <v>126224</v>
      </c>
      <c r="N1623" s="76">
        <f t="shared" si="267"/>
        <v>12622.4</v>
      </c>
      <c r="O1623" s="76">
        <v>126224</v>
      </c>
      <c r="P1623" s="65">
        <v>90310</v>
      </c>
      <c r="Q1623" s="65">
        <f t="shared" si="268"/>
        <v>19868.2</v>
      </c>
      <c r="R1623" s="65">
        <f t="shared" si="269"/>
        <v>110178.2</v>
      </c>
      <c r="S1623" s="272"/>
      <c r="T1623" s="64">
        <v>92</v>
      </c>
      <c r="U1623" s="270"/>
      <c r="V1623" s="38">
        <v>103690</v>
      </c>
      <c r="W1623" s="38">
        <f t="shared" si="270"/>
        <v>22811.8</v>
      </c>
      <c r="X1623" s="38">
        <f t="shared" si="271"/>
        <v>126501.8</v>
      </c>
    </row>
    <row r="1624" spans="1:24" ht="46.5" customHeight="1" x14ac:dyDescent="0.35">
      <c r="A1624" s="56" t="s">
        <v>3843</v>
      </c>
      <c r="B1624" s="2">
        <v>1529</v>
      </c>
      <c r="C1624" s="45">
        <v>10120467</v>
      </c>
      <c r="D1624" s="40" t="s">
        <v>1106</v>
      </c>
      <c r="E1624" s="74" t="s">
        <v>2185</v>
      </c>
      <c r="F1624" s="47">
        <v>6</v>
      </c>
      <c r="G1624" s="64" t="s">
        <v>0</v>
      </c>
      <c r="H1624" s="48" t="s">
        <v>497</v>
      </c>
      <c r="I1624" s="63" t="s">
        <v>962</v>
      </c>
      <c r="J1624" s="42" t="s">
        <v>1192</v>
      </c>
      <c r="K1624" s="49" t="s">
        <v>1106</v>
      </c>
      <c r="L1624" s="88" t="s">
        <v>845</v>
      </c>
      <c r="M1624" s="76">
        <f t="shared" si="272"/>
        <v>223926.21</v>
      </c>
      <c r="N1624" s="76">
        <f t="shared" si="267"/>
        <v>37321.040000000001</v>
      </c>
      <c r="O1624" s="76">
        <v>223926.21</v>
      </c>
      <c r="P1624" s="65">
        <v>146580</v>
      </c>
      <c r="Q1624" s="65">
        <f t="shared" si="268"/>
        <v>32247.599999999999</v>
      </c>
      <c r="R1624" s="65">
        <f t="shared" si="269"/>
        <v>178827.6</v>
      </c>
      <c r="S1624" s="272"/>
      <c r="T1624" s="64">
        <v>92</v>
      </c>
      <c r="U1624" s="270"/>
      <c r="V1624" s="38">
        <v>168285</v>
      </c>
      <c r="W1624" s="38">
        <f t="shared" si="270"/>
        <v>37022.699999999997</v>
      </c>
      <c r="X1624" s="38">
        <f t="shared" si="271"/>
        <v>205307.7</v>
      </c>
    </row>
    <row r="1625" spans="1:24" ht="69" customHeight="1" x14ac:dyDescent="0.35">
      <c r="A1625" s="56" t="s">
        <v>3844</v>
      </c>
      <c r="B1625" s="2">
        <v>1530</v>
      </c>
      <c r="C1625" s="45">
        <v>10118640</v>
      </c>
      <c r="D1625" s="40" t="s">
        <v>1107</v>
      </c>
      <c r="E1625" s="74" t="s">
        <v>2185</v>
      </c>
      <c r="F1625" s="47">
        <v>11</v>
      </c>
      <c r="G1625" s="64" t="s">
        <v>0</v>
      </c>
      <c r="H1625" s="48" t="s">
        <v>500</v>
      </c>
      <c r="I1625" s="63" t="s">
        <v>962</v>
      </c>
      <c r="J1625" s="42" t="s">
        <v>1193</v>
      </c>
      <c r="K1625" s="49" t="s">
        <v>1107</v>
      </c>
      <c r="L1625" s="88" t="s">
        <v>845</v>
      </c>
      <c r="M1625" s="76">
        <f t="shared" si="272"/>
        <v>346376.8</v>
      </c>
      <c r="N1625" s="76">
        <f t="shared" si="267"/>
        <v>31488.799999999999</v>
      </c>
      <c r="O1625" s="76">
        <v>346376.8</v>
      </c>
      <c r="P1625" s="65">
        <v>231110</v>
      </c>
      <c r="Q1625" s="65">
        <f t="shared" si="268"/>
        <v>50844.2</v>
      </c>
      <c r="R1625" s="65">
        <f t="shared" si="269"/>
        <v>281954.2</v>
      </c>
      <c r="S1625" s="272"/>
      <c r="T1625" s="64">
        <v>92</v>
      </c>
      <c r="U1625" s="270"/>
      <c r="V1625" s="38">
        <v>265338</v>
      </c>
      <c r="W1625" s="38">
        <f t="shared" si="270"/>
        <v>58374.36</v>
      </c>
      <c r="X1625" s="38">
        <f t="shared" si="271"/>
        <v>323712.36</v>
      </c>
    </row>
    <row r="1626" spans="1:24" ht="80.150000000000006" customHeight="1" x14ac:dyDescent="0.35">
      <c r="A1626" s="56" t="s">
        <v>3845</v>
      </c>
      <c r="B1626" s="2">
        <v>1531</v>
      </c>
      <c r="C1626" s="45">
        <v>10118479</v>
      </c>
      <c r="D1626" s="40" t="s">
        <v>1108</v>
      </c>
      <c r="E1626" s="74" t="s">
        <v>2185</v>
      </c>
      <c r="F1626" s="47">
        <v>15</v>
      </c>
      <c r="G1626" s="64" t="s">
        <v>0</v>
      </c>
      <c r="H1626" s="48" t="s">
        <v>500</v>
      </c>
      <c r="I1626" s="63" t="s">
        <v>962</v>
      </c>
      <c r="J1626" s="42" t="s">
        <v>1194</v>
      </c>
      <c r="K1626" s="49" t="s">
        <v>1108</v>
      </c>
      <c r="L1626" s="88" t="s">
        <v>845</v>
      </c>
      <c r="M1626" s="76">
        <f t="shared" si="272"/>
        <v>502320</v>
      </c>
      <c r="N1626" s="76">
        <f t="shared" si="267"/>
        <v>33488</v>
      </c>
      <c r="O1626" s="76">
        <v>502320</v>
      </c>
      <c r="P1626" s="65">
        <v>335160</v>
      </c>
      <c r="Q1626" s="65">
        <f t="shared" si="268"/>
        <v>73735.199999999997</v>
      </c>
      <c r="R1626" s="65">
        <f t="shared" si="269"/>
        <v>408895.2</v>
      </c>
      <c r="S1626" s="272"/>
      <c r="T1626" s="64">
        <v>92</v>
      </c>
      <c r="U1626" s="270"/>
      <c r="V1626" s="38">
        <v>384797</v>
      </c>
      <c r="W1626" s="38">
        <f t="shared" si="270"/>
        <v>84655.34</v>
      </c>
      <c r="X1626" s="38">
        <f t="shared" si="271"/>
        <v>469452.34</v>
      </c>
    </row>
    <row r="1627" spans="1:24" ht="49.5" customHeight="1" x14ac:dyDescent="0.35">
      <c r="A1627" s="56" t="s">
        <v>3846</v>
      </c>
      <c r="B1627" s="2">
        <v>1532</v>
      </c>
      <c r="C1627" s="45">
        <v>10117102</v>
      </c>
      <c r="D1627" s="40" t="s">
        <v>1109</v>
      </c>
      <c r="E1627" s="74" t="s">
        <v>2185</v>
      </c>
      <c r="F1627" s="47">
        <v>6</v>
      </c>
      <c r="G1627" s="64" t="s">
        <v>0</v>
      </c>
      <c r="H1627" s="48" t="s">
        <v>500</v>
      </c>
      <c r="I1627" s="63" t="s">
        <v>962</v>
      </c>
      <c r="J1627" s="42" t="s">
        <v>1195</v>
      </c>
      <c r="K1627" s="49" t="s">
        <v>1109</v>
      </c>
      <c r="L1627" s="88" t="s">
        <v>845</v>
      </c>
      <c r="M1627" s="76">
        <f t="shared" si="272"/>
        <v>124588.8</v>
      </c>
      <c r="N1627" s="76">
        <f t="shared" si="267"/>
        <v>20764.8</v>
      </c>
      <c r="O1627" s="76">
        <v>124588.8</v>
      </c>
      <c r="P1627" s="65">
        <v>83130</v>
      </c>
      <c r="Q1627" s="65">
        <f t="shared" si="268"/>
        <v>18288.599999999999</v>
      </c>
      <c r="R1627" s="65">
        <f t="shared" si="269"/>
        <v>101418.6</v>
      </c>
      <c r="S1627" s="272"/>
      <c r="T1627" s="64">
        <v>92</v>
      </c>
      <c r="U1627" s="270"/>
      <c r="V1627" s="38">
        <v>95440</v>
      </c>
      <c r="W1627" s="38">
        <f t="shared" si="270"/>
        <v>20996.799999999999</v>
      </c>
      <c r="X1627" s="38">
        <f t="shared" si="271"/>
        <v>116436.8</v>
      </c>
    </row>
    <row r="1628" spans="1:24" ht="57" customHeight="1" x14ac:dyDescent="0.35">
      <c r="A1628" s="56" t="s">
        <v>3847</v>
      </c>
      <c r="B1628" s="2">
        <v>1533</v>
      </c>
      <c r="C1628" s="45">
        <v>10120540</v>
      </c>
      <c r="D1628" s="40" t="s">
        <v>1110</v>
      </c>
      <c r="E1628" s="74" t="s">
        <v>2185</v>
      </c>
      <c r="F1628" s="47">
        <v>9</v>
      </c>
      <c r="G1628" s="64" t="s">
        <v>0</v>
      </c>
      <c r="H1628" s="48" t="s">
        <v>500</v>
      </c>
      <c r="I1628" s="63" t="s">
        <v>962</v>
      </c>
      <c r="J1628" s="42" t="s">
        <v>1196</v>
      </c>
      <c r="K1628" s="49" t="s">
        <v>1110</v>
      </c>
      <c r="L1628" s="88" t="s">
        <v>845</v>
      </c>
      <c r="M1628" s="76">
        <f t="shared" si="272"/>
        <v>209129.4</v>
      </c>
      <c r="N1628" s="76">
        <f t="shared" si="267"/>
        <v>23236.6</v>
      </c>
      <c r="O1628" s="76">
        <v>209129.4</v>
      </c>
      <c r="P1628" s="65">
        <v>139540</v>
      </c>
      <c r="Q1628" s="65">
        <f t="shared" si="268"/>
        <v>30698.799999999999</v>
      </c>
      <c r="R1628" s="65">
        <f t="shared" si="269"/>
        <v>170238.8</v>
      </c>
      <c r="S1628" s="272"/>
      <c r="T1628" s="64">
        <v>92</v>
      </c>
      <c r="U1628" s="270"/>
      <c r="V1628" s="38">
        <v>160201</v>
      </c>
      <c r="W1628" s="38">
        <f t="shared" si="270"/>
        <v>35244.22</v>
      </c>
      <c r="X1628" s="38">
        <f t="shared" si="271"/>
        <v>195445.22</v>
      </c>
    </row>
    <row r="1629" spans="1:24" ht="66" customHeight="1" x14ac:dyDescent="0.35">
      <c r="A1629" s="56" t="s">
        <v>3848</v>
      </c>
      <c r="B1629" s="2">
        <v>1534</v>
      </c>
      <c r="C1629" s="45">
        <v>10118650</v>
      </c>
      <c r="D1629" s="40" t="s">
        <v>1111</v>
      </c>
      <c r="E1629" s="74" t="s">
        <v>2185</v>
      </c>
      <c r="F1629" s="47">
        <v>11</v>
      </c>
      <c r="G1629" s="64" t="s">
        <v>0</v>
      </c>
      <c r="H1629" s="48" t="s">
        <v>500</v>
      </c>
      <c r="I1629" s="63" t="s">
        <v>962</v>
      </c>
      <c r="J1629" s="42" t="s">
        <v>1197</v>
      </c>
      <c r="K1629" s="49" t="s">
        <v>1111</v>
      </c>
      <c r="L1629" s="88" t="s">
        <v>845</v>
      </c>
      <c r="M1629" s="76">
        <f t="shared" si="272"/>
        <v>264316.25</v>
      </c>
      <c r="N1629" s="76">
        <f t="shared" si="267"/>
        <v>24028.75</v>
      </c>
      <c r="O1629" s="76">
        <v>264316.25</v>
      </c>
      <c r="P1629" s="65">
        <v>176360</v>
      </c>
      <c r="Q1629" s="65">
        <f t="shared" si="268"/>
        <v>38799.199999999997</v>
      </c>
      <c r="R1629" s="65">
        <f t="shared" si="269"/>
        <v>215159.2</v>
      </c>
      <c r="S1629" s="272"/>
      <c r="T1629" s="64">
        <v>92</v>
      </c>
      <c r="U1629" s="270"/>
      <c r="V1629" s="38">
        <v>202477</v>
      </c>
      <c r="W1629" s="38">
        <f t="shared" si="270"/>
        <v>44544.94</v>
      </c>
      <c r="X1629" s="38">
        <f t="shared" si="271"/>
        <v>247021.94</v>
      </c>
    </row>
    <row r="1630" spans="1:24" ht="30.65" customHeight="1" x14ac:dyDescent="0.35">
      <c r="A1630" s="56" t="s">
        <v>3849</v>
      </c>
      <c r="B1630" s="2">
        <v>1535</v>
      </c>
      <c r="C1630" s="45">
        <v>10120439</v>
      </c>
      <c r="D1630" s="40" t="s">
        <v>1112</v>
      </c>
      <c r="E1630" s="74" t="s">
        <v>2185</v>
      </c>
      <c r="F1630" s="47">
        <v>3</v>
      </c>
      <c r="G1630" s="64" t="s">
        <v>0</v>
      </c>
      <c r="H1630" s="48" t="s">
        <v>497</v>
      </c>
      <c r="I1630" s="63" t="s">
        <v>962</v>
      </c>
      <c r="J1630" s="42" t="s">
        <v>1198</v>
      </c>
      <c r="K1630" s="49" t="s">
        <v>1112</v>
      </c>
      <c r="L1630" s="88" t="s">
        <v>845</v>
      </c>
      <c r="M1630" s="76">
        <f t="shared" si="272"/>
        <v>74230.240000000005</v>
      </c>
      <c r="N1630" s="76">
        <f t="shared" si="267"/>
        <v>24743.41</v>
      </c>
      <c r="O1630" s="76">
        <v>74230.240000000005</v>
      </c>
      <c r="P1630" s="65">
        <v>48590</v>
      </c>
      <c r="Q1630" s="65">
        <f t="shared" si="268"/>
        <v>10689.8</v>
      </c>
      <c r="R1630" s="65">
        <f t="shared" si="269"/>
        <v>59279.8</v>
      </c>
      <c r="S1630" s="272"/>
      <c r="T1630" s="64">
        <v>92</v>
      </c>
      <c r="U1630" s="270"/>
      <c r="V1630" s="38">
        <v>55786</v>
      </c>
      <c r="W1630" s="38">
        <f t="shared" si="270"/>
        <v>12272.92</v>
      </c>
      <c r="X1630" s="38">
        <f t="shared" si="271"/>
        <v>68058.92</v>
      </c>
    </row>
    <row r="1631" spans="1:24" ht="82.5" customHeight="1" x14ac:dyDescent="0.35">
      <c r="A1631" s="56" t="s">
        <v>3850</v>
      </c>
      <c r="B1631" s="2">
        <v>1536</v>
      </c>
      <c r="C1631" s="45">
        <v>10118633</v>
      </c>
      <c r="D1631" s="40" t="s">
        <v>1113</v>
      </c>
      <c r="E1631" s="74" t="s">
        <v>2185</v>
      </c>
      <c r="F1631" s="47">
        <v>13</v>
      </c>
      <c r="G1631" s="64" t="s">
        <v>0</v>
      </c>
      <c r="H1631" s="48" t="s">
        <v>497</v>
      </c>
      <c r="I1631" s="63" t="s">
        <v>962</v>
      </c>
      <c r="J1631" s="42" t="s">
        <v>1199</v>
      </c>
      <c r="K1631" s="49" t="s">
        <v>1113</v>
      </c>
      <c r="L1631" s="88" t="s">
        <v>845</v>
      </c>
      <c r="M1631" s="76">
        <f t="shared" si="272"/>
        <v>348656.44</v>
      </c>
      <c r="N1631" s="76">
        <f t="shared" si="267"/>
        <v>26819.73</v>
      </c>
      <c r="O1631" s="76">
        <v>348656.44</v>
      </c>
      <c r="P1631" s="65">
        <v>228220</v>
      </c>
      <c r="Q1631" s="65">
        <f t="shared" si="268"/>
        <v>50208.4</v>
      </c>
      <c r="R1631" s="65">
        <f t="shared" si="269"/>
        <v>278428.40000000002</v>
      </c>
      <c r="S1631" s="272"/>
      <c r="T1631" s="64">
        <v>92</v>
      </c>
      <c r="U1631" s="270"/>
      <c r="V1631" s="38">
        <v>262022</v>
      </c>
      <c r="W1631" s="38">
        <f t="shared" si="270"/>
        <v>57644.84</v>
      </c>
      <c r="X1631" s="38">
        <f t="shared" si="271"/>
        <v>319666.84000000003</v>
      </c>
    </row>
    <row r="1632" spans="1:24" ht="75.75" customHeight="1" x14ac:dyDescent="0.35">
      <c r="A1632" s="56" t="s">
        <v>3851</v>
      </c>
      <c r="B1632" s="2">
        <v>1537</v>
      </c>
      <c r="C1632" s="45">
        <v>10120468</v>
      </c>
      <c r="D1632" s="40" t="s">
        <v>1114</v>
      </c>
      <c r="E1632" s="74" t="s">
        <v>2185</v>
      </c>
      <c r="F1632" s="47">
        <v>14</v>
      </c>
      <c r="G1632" s="64" t="s">
        <v>0</v>
      </c>
      <c r="H1632" s="48" t="s">
        <v>497</v>
      </c>
      <c r="I1632" s="63" t="s">
        <v>962</v>
      </c>
      <c r="J1632" s="42" t="s">
        <v>1200</v>
      </c>
      <c r="K1632" s="49" t="s">
        <v>1114</v>
      </c>
      <c r="L1632" s="88" t="s">
        <v>845</v>
      </c>
      <c r="M1632" s="76">
        <f t="shared" si="272"/>
        <v>422198.7</v>
      </c>
      <c r="N1632" s="76">
        <f t="shared" si="267"/>
        <v>30157.05</v>
      </c>
      <c r="O1632" s="76">
        <v>422198.7</v>
      </c>
      <c r="P1632" s="65">
        <v>276360</v>
      </c>
      <c r="Q1632" s="65">
        <f t="shared" si="268"/>
        <v>60799.199999999997</v>
      </c>
      <c r="R1632" s="65">
        <f t="shared" si="269"/>
        <v>337159.2</v>
      </c>
      <c r="S1632" s="272"/>
      <c r="T1632" s="64">
        <v>92</v>
      </c>
      <c r="U1632" s="270"/>
      <c r="V1632" s="38">
        <v>317291</v>
      </c>
      <c r="W1632" s="38">
        <f t="shared" si="270"/>
        <v>69804.02</v>
      </c>
      <c r="X1632" s="38">
        <f t="shared" si="271"/>
        <v>387095.02</v>
      </c>
    </row>
    <row r="1633" spans="1:24" ht="15" customHeight="1" x14ac:dyDescent="0.35">
      <c r="A1633" s="56" t="s">
        <v>3852</v>
      </c>
      <c r="B1633" s="2">
        <v>1538</v>
      </c>
      <c r="C1633" s="45">
        <v>10118651</v>
      </c>
      <c r="D1633" s="40" t="s">
        <v>1115</v>
      </c>
      <c r="E1633" s="74" t="s">
        <v>2185</v>
      </c>
      <c r="F1633" s="47">
        <v>8</v>
      </c>
      <c r="G1633" s="64" t="s">
        <v>0</v>
      </c>
      <c r="H1633" s="48" t="s">
        <v>500</v>
      </c>
      <c r="I1633" s="63" t="s">
        <v>962</v>
      </c>
      <c r="J1633" s="42" t="s">
        <v>2232</v>
      </c>
      <c r="K1633" s="49" t="s">
        <v>1115</v>
      </c>
      <c r="L1633" s="88" t="s">
        <v>845</v>
      </c>
      <c r="M1633" s="76">
        <f t="shared" si="272"/>
        <v>253692</v>
      </c>
      <c r="N1633" s="76">
        <f t="shared" si="267"/>
        <v>31711.5</v>
      </c>
      <c r="O1633" s="76">
        <v>253692</v>
      </c>
      <c r="P1633" s="65">
        <v>169270</v>
      </c>
      <c r="Q1633" s="65">
        <f t="shared" si="268"/>
        <v>37239.4</v>
      </c>
      <c r="R1633" s="65">
        <f t="shared" si="269"/>
        <v>206509.4</v>
      </c>
      <c r="S1633" s="272"/>
      <c r="T1633" s="64">
        <v>92</v>
      </c>
      <c r="U1633" s="270"/>
      <c r="V1633" s="38">
        <v>194338</v>
      </c>
      <c r="W1633" s="38">
        <f t="shared" si="270"/>
        <v>42754.36</v>
      </c>
      <c r="X1633" s="38">
        <f t="shared" si="271"/>
        <v>237092.36</v>
      </c>
    </row>
    <row r="1634" spans="1:24" ht="15" customHeight="1" x14ac:dyDescent="0.35">
      <c r="A1634" s="56" t="s">
        <v>3853</v>
      </c>
      <c r="B1634" s="2">
        <v>1539</v>
      </c>
      <c r="C1634" s="45">
        <v>10117114</v>
      </c>
      <c r="D1634" s="40" t="s">
        <v>1116</v>
      </c>
      <c r="E1634" s="74" t="s">
        <v>2185</v>
      </c>
      <c r="F1634" s="47">
        <v>15</v>
      </c>
      <c r="G1634" s="64" t="s">
        <v>0</v>
      </c>
      <c r="H1634" s="48" t="s">
        <v>500</v>
      </c>
      <c r="I1634" s="63" t="s">
        <v>962</v>
      </c>
      <c r="J1634" s="42" t="s">
        <v>2232</v>
      </c>
      <c r="K1634" s="49" t="s">
        <v>1116</v>
      </c>
      <c r="L1634" s="88" t="s">
        <v>845</v>
      </c>
      <c r="M1634" s="76">
        <f t="shared" si="272"/>
        <v>387258.75</v>
      </c>
      <c r="N1634" s="76">
        <f t="shared" si="267"/>
        <v>25817.25</v>
      </c>
      <c r="O1634" s="76">
        <v>387258.75</v>
      </c>
      <c r="P1634" s="65">
        <v>258390</v>
      </c>
      <c r="Q1634" s="65">
        <f t="shared" si="268"/>
        <v>56845.8</v>
      </c>
      <c r="R1634" s="65">
        <f t="shared" si="269"/>
        <v>315235.8</v>
      </c>
      <c r="S1634" s="272"/>
      <c r="T1634" s="64">
        <v>92</v>
      </c>
      <c r="U1634" s="270"/>
      <c r="V1634" s="38">
        <v>296656</v>
      </c>
      <c r="W1634" s="38">
        <f t="shared" si="270"/>
        <v>65264.32</v>
      </c>
      <c r="X1634" s="38">
        <f t="shared" si="271"/>
        <v>361920.32</v>
      </c>
    </row>
    <row r="1635" spans="1:24" ht="15.75" customHeight="1" x14ac:dyDescent="0.35">
      <c r="A1635" s="56" t="s">
        <v>3854</v>
      </c>
      <c r="B1635" s="2">
        <v>1540</v>
      </c>
      <c r="C1635" s="45">
        <v>10117115</v>
      </c>
      <c r="D1635" s="40" t="s">
        <v>1117</v>
      </c>
      <c r="E1635" s="74" t="s">
        <v>2185</v>
      </c>
      <c r="F1635" s="47">
        <v>9</v>
      </c>
      <c r="G1635" s="64" t="s">
        <v>0</v>
      </c>
      <c r="H1635" s="48" t="s">
        <v>500</v>
      </c>
      <c r="I1635" s="63" t="s">
        <v>962</v>
      </c>
      <c r="J1635" s="42" t="s">
        <v>2232</v>
      </c>
      <c r="K1635" s="49" t="s">
        <v>1117</v>
      </c>
      <c r="L1635" s="88" t="s">
        <v>845</v>
      </c>
      <c r="M1635" s="148">
        <f t="shared" si="272"/>
        <v>247623.75</v>
      </c>
      <c r="N1635" s="148">
        <f>O1635/F1635</f>
        <v>27513.75</v>
      </c>
      <c r="O1635" s="76">
        <v>247623.75</v>
      </c>
      <c r="P1635" s="65">
        <v>165220</v>
      </c>
      <c r="Q1635" s="65">
        <f t="shared" si="268"/>
        <v>36348.400000000001</v>
      </c>
      <c r="R1635" s="65">
        <f t="shared" si="269"/>
        <v>201568.4</v>
      </c>
      <c r="S1635" s="272"/>
      <c r="T1635" s="64">
        <v>92</v>
      </c>
      <c r="U1635" s="270"/>
      <c r="V1635" s="38">
        <v>189690</v>
      </c>
      <c r="W1635" s="38">
        <f t="shared" si="270"/>
        <v>41731.800000000003</v>
      </c>
      <c r="X1635" s="38">
        <f t="shared" si="271"/>
        <v>231421.8</v>
      </c>
    </row>
    <row r="1636" spans="1:24" ht="19.5" customHeight="1" x14ac:dyDescent="0.35">
      <c r="A1636" s="56" t="s">
        <v>3855</v>
      </c>
      <c r="B1636" s="2">
        <v>1541</v>
      </c>
      <c r="C1636" s="45">
        <v>10120419</v>
      </c>
      <c r="D1636" s="40" t="s">
        <v>1118</v>
      </c>
      <c r="E1636" s="74" t="s">
        <v>2185</v>
      </c>
      <c r="F1636" s="47">
        <v>11</v>
      </c>
      <c r="G1636" s="64" t="s">
        <v>0</v>
      </c>
      <c r="H1636" s="48" t="s">
        <v>500</v>
      </c>
      <c r="I1636" s="63" t="s">
        <v>962</v>
      </c>
      <c r="J1636" s="42" t="s">
        <v>2232</v>
      </c>
      <c r="K1636" s="49" t="s">
        <v>1118</v>
      </c>
      <c r="L1636" s="88" t="s">
        <v>845</v>
      </c>
      <c r="M1636" s="76">
        <f t="shared" si="272"/>
        <v>306718.5</v>
      </c>
      <c r="N1636" s="76">
        <f>O1636/F1636</f>
        <v>27883.5</v>
      </c>
      <c r="O1636" s="76">
        <v>306718.5</v>
      </c>
      <c r="P1636" s="65">
        <v>204650</v>
      </c>
      <c r="Q1636" s="65">
        <f t="shared" si="268"/>
        <v>45023</v>
      </c>
      <c r="R1636" s="65">
        <f t="shared" si="269"/>
        <v>249673</v>
      </c>
      <c r="S1636" s="272"/>
      <c r="T1636" s="64">
        <v>92</v>
      </c>
      <c r="U1636" s="270"/>
      <c r="V1636" s="38">
        <v>234959</v>
      </c>
      <c r="W1636" s="38">
        <f t="shared" si="270"/>
        <v>51690.98</v>
      </c>
      <c r="X1636" s="38">
        <f t="shared" si="271"/>
        <v>286649.98</v>
      </c>
    </row>
    <row r="1637" spans="1:24" ht="15" customHeight="1" x14ac:dyDescent="0.35">
      <c r="A1637" s="56" t="s">
        <v>3856</v>
      </c>
      <c r="B1637" s="2">
        <v>1542</v>
      </c>
      <c r="C1637" s="45">
        <v>10118635</v>
      </c>
      <c r="D1637" s="40" t="s">
        <v>1119</v>
      </c>
      <c r="E1637" s="74" t="s">
        <v>2185</v>
      </c>
      <c r="F1637" s="47">
        <v>8</v>
      </c>
      <c r="G1637" s="64" t="s">
        <v>0</v>
      </c>
      <c r="H1637" s="48" t="s">
        <v>500</v>
      </c>
      <c r="I1637" s="63" t="s">
        <v>962</v>
      </c>
      <c r="J1637" s="42" t="s">
        <v>2232</v>
      </c>
      <c r="K1637" s="49" t="s">
        <v>1119</v>
      </c>
      <c r="L1637" s="88" t="s">
        <v>845</v>
      </c>
      <c r="M1637" s="76">
        <f t="shared" si="272"/>
        <v>235683.04</v>
      </c>
      <c r="N1637" s="76">
        <f>O1637/F1637</f>
        <v>29460.38</v>
      </c>
      <c r="O1637" s="76">
        <v>235683.04</v>
      </c>
      <c r="P1637" s="65">
        <v>294640</v>
      </c>
      <c r="Q1637" s="65">
        <f t="shared" si="268"/>
        <v>64820.800000000003</v>
      </c>
      <c r="R1637" s="65">
        <f t="shared" si="269"/>
        <v>359460.8</v>
      </c>
      <c r="S1637" s="276"/>
      <c r="T1637" s="64">
        <v>92</v>
      </c>
      <c r="U1637" s="270"/>
      <c r="V1637" s="38">
        <v>338283</v>
      </c>
      <c r="W1637" s="38">
        <f t="shared" si="270"/>
        <v>74422.259999999995</v>
      </c>
      <c r="X1637" s="38">
        <f t="shared" si="271"/>
        <v>412705.26</v>
      </c>
    </row>
    <row r="1638" spans="1:24" ht="15" customHeight="1" x14ac:dyDescent="0.35">
      <c r="A1638" s="56"/>
      <c r="B1638" s="15"/>
      <c r="C1638" s="77"/>
      <c r="D1638" s="74"/>
      <c r="E1638" s="74"/>
      <c r="F1638" s="75"/>
      <c r="G1638" s="64"/>
      <c r="H1638" s="61"/>
      <c r="I1638" s="101"/>
      <c r="J1638" s="63"/>
      <c r="K1638" s="61"/>
      <c r="L1638" s="61"/>
      <c r="M1638" s="65"/>
      <c r="N1638" s="65"/>
      <c r="O1638" s="126">
        <f>SUM(O1571:O1637)</f>
        <v>13945474.880000001</v>
      </c>
      <c r="P1638" s="126">
        <f t="shared" ref="P1638:R1638" si="273">SUM(P1571:P1637)</f>
        <v>9343260</v>
      </c>
      <c r="Q1638" s="126">
        <f t="shared" si="273"/>
        <v>2055517.2</v>
      </c>
      <c r="R1638" s="126">
        <f t="shared" si="273"/>
        <v>11398777.199999999</v>
      </c>
      <c r="S1638" s="72">
        <f>R1638/100*10</f>
        <v>1139877.72</v>
      </c>
      <c r="T1638" s="73">
        <v>92</v>
      </c>
      <c r="U1638" s="271"/>
      <c r="V1638" s="38"/>
      <c r="W1638" s="38"/>
      <c r="X1638" s="38"/>
    </row>
    <row r="1639" spans="1:24" ht="15" customHeight="1" x14ac:dyDescent="0.35">
      <c r="A1639" s="56" t="s">
        <v>3858</v>
      </c>
      <c r="B1639" s="2">
        <v>1543</v>
      </c>
      <c r="C1639" s="77">
        <v>10109957</v>
      </c>
      <c r="D1639" s="74" t="s">
        <v>1468</v>
      </c>
      <c r="E1639" s="59" t="s">
        <v>2167</v>
      </c>
      <c r="F1639" s="75">
        <v>4</v>
      </c>
      <c r="G1639" s="64" t="s">
        <v>0</v>
      </c>
      <c r="H1639" s="78">
        <v>41375</v>
      </c>
      <c r="I1639" s="4" t="s">
        <v>957</v>
      </c>
      <c r="J1639" s="63" t="s">
        <v>1917</v>
      </c>
      <c r="K1639" s="63" t="s">
        <v>961</v>
      </c>
      <c r="L1639" s="69" t="s">
        <v>950</v>
      </c>
      <c r="M1639" s="70">
        <f t="shared" si="272"/>
        <v>15241.8</v>
      </c>
      <c r="N1639" s="70">
        <f t="shared" ref="N1639:N1645" si="274">O1639/F1639</f>
        <v>3810.45</v>
      </c>
      <c r="O1639" s="70">
        <v>15241.8</v>
      </c>
      <c r="P1639" s="65">
        <v>32730</v>
      </c>
      <c r="Q1639" s="65">
        <f t="shared" si="268"/>
        <v>7200.6</v>
      </c>
      <c r="R1639" s="65">
        <f t="shared" si="269"/>
        <v>39930.6</v>
      </c>
      <c r="S1639" s="267"/>
      <c r="T1639" s="64">
        <v>93</v>
      </c>
      <c r="U1639" s="270" t="s">
        <v>2295</v>
      </c>
      <c r="V1639" s="38">
        <v>35690</v>
      </c>
      <c r="W1639" s="38">
        <f t="shared" si="270"/>
        <v>7851.8</v>
      </c>
      <c r="X1639" s="38">
        <f t="shared" si="271"/>
        <v>43541.8</v>
      </c>
    </row>
    <row r="1640" spans="1:24" ht="15" customHeight="1" x14ac:dyDescent="0.35">
      <c r="A1640" s="56" t="s">
        <v>3859</v>
      </c>
      <c r="B1640" s="2">
        <v>1544</v>
      </c>
      <c r="C1640" s="77">
        <v>10105151</v>
      </c>
      <c r="D1640" s="74" t="s">
        <v>1482</v>
      </c>
      <c r="E1640" s="59" t="s">
        <v>2167</v>
      </c>
      <c r="F1640" s="75">
        <v>1</v>
      </c>
      <c r="G1640" s="64" t="s">
        <v>0</v>
      </c>
      <c r="H1640" s="78">
        <v>41484</v>
      </c>
      <c r="I1640" s="4" t="s">
        <v>957</v>
      </c>
      <c r="J1640" s="63" t="s">
        <v>1917</v>
      </c>
      <c r="K1640" s="63" t="s">
        <v>961</v>
      </c>
      <c r="L1640" s="69" t="s">
        <v>950</v>
      </c>
      <c r="M1640" s="70">
        <f t="shared" si="272"/>
        <v>1510.35</v>
      </c>
      <c r="N1640" s="70">
        <f t="shared" si="274"/>
        <v>1510.35</v>
      </c>
      <c r="O1640" s="70">
        <v>1510.35</v>
      </c>
      <c r="P1640" s="65">
        <v>3140</v>
      </c>
      <c r="Q1640" s="65">
        <f t="shared" si="268"/>
        <v>690.8</v>
      </c>
      <c r="R1640" s="65">
        <f t="shared" si="269"/>
        <v>3830.8</v>
      </c>
      <c r="S1640" s="272"/>
      <c r="T1640" s="64">
        <v>93</v>
      </c>
      <c r="U1640" s="270"/>
      <c r="V1640" s="38">
        <v>3427</v>
      </c>
      <c r="W1640" s="38">
        <f t="shared" si="270"/>
        <v>753.94</v>
      </c>
      <c r="X1640" s="38">
        <f t="shared" si="271"/>
        <v>4180.9399999999996</v>
      </c>
    </row>
    <row r="1641" spans="1:24" ht="15" customHeight="1" x14ac:dyDescent="0.35">
      <c r="A1641" s="56" t="s">
        <v>3860</v>
      </c>
      <c r="B1641" s="2">
        <v>1545</v>
      </c>
      <c r="C1641" s="77">
        <v>10093762</v>
      </c>
      <c r="D1641" s="74" t="s">
        <v>1726</v>
      </c>
      <c r="E1641" s="59" t="s">
        <v>2167</v>
      </c>
      <c r="F1641" s="75">
        <v>8</v>
      </c>
      <c r="G1641" s="64" t="s">
        <v>0</v>
      </c>
      <c r="H1641" s="78">
        <v>41249</v>
      </c>
      <c r="I1641" s="4" t="s">
        <v>957</v>
      </c>
      <c r="J1641" s="63" t="s">
        <v>1917</v>
      </c>
      <c r="K1641" s="63" t="s">
        <v>961</v>
      </c>
      <c r="L1641" s="69" t="s">
        <v>950</v>
      </c>
      <c r="M1641" s="70">
        <f t="shared" si="272"/>
        <v>14796.42</v>
      </c>
      <c r="N1641" s="70">
        <f t="shared" si="274"/>
        <v>1849.55</v>
      </c>
      <c r="O1641" s="70">
        <v>14796.42</v>
      </c>
      <c r="P1641" s="65">
        <v>32390</v>
      </c>
      <c r="Q1641" s="65">
        <f t="shared" si="268"/>
        <v>7125.8</v>
      </c>
      <c r="R1641" s="65">
        <f t="shared" si="269"/>
        <v>39515.800000000003</v>
      </c>
      <c r="S1641" s="272"/>
      <c r="T1641" s="64">
        <v>93</v>
      </c>
      <c r="U1641" s="270"/>
      <c r="V1641" s="38">
        <v>35319</v>
      </c>
      <c r="W1641" s="38">
        <f t="shared" si="270"/>
        <v>7770.18</v>
      </c>
      <c r="X1641" s="38">
        <f t="shared" si="271"/>
        <v>43089.18</v>
      </c>
    </row>
    <row r="1642" spans="1:24" ht="15" customHeight="1" x14ac:dyDescent="0.35">
      <c r="A1642" s="56" t="s">
        <v>3861</v>
      </c>
      <c r="B1642" s="2">
        <v>1546</v>
      </c>
      <c r="C1642" s="11">
        <v>102002209</v>
      </c>
      <c r="D1642" s="3" t="s">
        <v>1385</v>
      </c>
      <c r="E1642" s="59" t="s">
        <v>2167</v>
      </c>
      <c r="F1642" s="14">
        <f>2-1</f>
        <v>1</v>
      </c>
      <c r="G1642" s="64" t="s">
        <v>0</v>
      </c>
      <c r="H1642" s="5">
        <v>41548</v>
      </c>
      <c r="I1642" s="4" t="s">
        <v>957</v>
      </c>
      <c r="J1642" s="63" t="s">
        <v>1917</v>
      </c>
      <c r="K1642" s="63" t="s">
        <v>961</v>
      </c>
      <c r="L1642" s="69" t="s">
        <v>950</v>
      </c>
      <c r="M1642" s="70">
        <f t="shared" si="272"/>
        <v>62492.800000000003</v>
      </c>
      <c r="N1642" s="70">
        <f t="shared" si="274"/>
        <v>62492.800000000003</v>
      </c>
      <c r="O1642" s="70">
        <f>124985.6/2*1</f>
        <v>62492.800000000003</v>
      </c>
      <c r="P1642" s="65">
        <v>130660</v>
      </c>
      <c r="Q1642" s="65">
        <f t="shared" si="268"/>
        <v>28745.200000000001</v>
      </c>
      <c r="R1642" s="65">
        <f t="shared" si="269"/>
        <v>159405.20000000001</v>
      </c>
      <c r="S1642" s="272"/>
      <c r="T1642" s="64">
        <v>93</v>
      </c>
      <c r="U1642" s="270"/>
      <c r="V1642" s="38">
        <v>142487</v>
      </c>
      <c r="W1642" s="38">
        <f t="shared" si="270"/>
        <v>31347.14</v>
      </c>
      <c r="X1642" s="38">
        <f t="shared" si="271"/>
        <v>173834.14</v>
      </c>
    </row>
    <row r="1643" spans="1:24" ht="15" customHeight="1" x14ac:dyDescent="0.35">
      <c r="A1643" s="56" t="s">
        <v>3862</v>
      </c>
      <c r="B1643" s="2">
        <v>1547</v>
      </c>
      <c r="C1643" s="11">
        <v>102002210</v>
      </c>
      <c r="D1643" s="3" t="s">
        <v>1386</v>
      </c>
      <c r="E1643" s="59" t="s">
        <v>2167</v>
      </c>
      <c r="F1643" s="14">
        <v>3</v>
      </c>
      <c r="G1643" s="64" t="s">
        <v>0</v>
      </c>
      <c r="H1643" s="5">
        <v>41548</v>
      </c>
      <c r="I1643" s="4" t="s">
        <v>957</v>
      </c>
      <c r="J1643" s="6" t="s">
        <v>1362</v>
      </c>
      <c r="K1643" s="63" t="s">
        <v>961</v>
      </c>
      <c r="L1643" s="69" t="s">
        <v>950</v>
      </c>
      <c r="M1643" s="70">
        <f t="shared" si="272"/>
        <v>1652420.58</v>
      </c>
      <c r="N1643" s="70">
        <f t="shared" si="274"/>
        <v>550806.86</v>
      </c>
      <c r="O1643" s="70">
        <v>1652420.58</v>
      </c>
      <c r="P1643" s="65">
        <v>3454900</v>
      </c>
      <c r="Q1643" s="65">
        <f t="shared" si="268"/>
        <v>760078</v>
      </c>
      <c r="R1643" s="65">
        <f t="shared" si="269"/>
        <v>4214978</v>
      </c>
      <c r="S1643" s="272"/>
      <c r="T1643" s="64">
        <v>93</v>
      </c>
      <c r="U1643" s="270"/>
      <c r="V1643" s="38">
        <v>3767613</v>
      </c>
      <c r="W1643" s="38">
        <f t="shared" si="270"/>
        <v>828874.86</v>
      </c>
      <c r="X1643" s="38">
        <f t="shared" si="271"/>
        <v>4596487.8600000003</v>
      </c>
    </row>
    <row r="1644" spans="1:24" ht="15" customHeight="1" x14ac:dyDescent="0.35">
      <c r="A1644" s="56" t="s">
        <v>3863</v>
      </c>
      <c r="B1644" s="2">
        <v>1548</v>
      </c>
      <c r="C1644" s="11">
        <v>10144657</v>
      </c>
      <c r="D1644" s="3" t="s">
        <v>1406</v>
      </c>
      <c r="E1644" s="59" t="s">
        <v>2167</v>
      </c>
      <c r="F1644" s="14">
        <v>2</v>
      </c>
      <c r="G1644" s="64" t="s">
        <v>0</v>
      </c>
      <c r="H1644" s="5">
        <v>41365</v>
      </c>
      <c r="I1644" s="4" t="s">
        <v>957</v>
      </c>
      <c r="J1644" s="63" t="s">
        <v>1917</v>
      </c>
      <c r="K1644" s="63" t="s">
        <v>961</v>
      </c>
      <c r="L1644" s="69" t="s">
        <v>950</v>
      </c>
      <c r="M1644" s="70">
        <f t="shared" si="272"/>
        <v>1322.24</v>
      </c>
      <c r="N1644" s="70">
        <f t="shared" si="274"/>
        <v>661.12</v>
      </c>
      <c r="O1644" s="70">
        <v>1322.24</v>
      </c>
      <c r="P1644" s="65">
        <v>2840</v>
      </c>
      <c r="Q1644" s="65">
        <f t="shared" si="268"/>
        <v>624.79999999999995</v>
      </c>
      <c r="R1644" s="65">
        <f t="shared" si="269"/>
        <v>3464.8</v>
      </c>
      <c r="S1644" s="272"/>
      <c r="T1644" s="64">
        <v>93</v>
      </c>
      <c r="U1644" s="270"/>
      <c r="V1644" s="38">
        <v>3096</v>
      </c>
      <c r="W1644" s="38">
        <f t="shared" si="270"/>
        <v>681.12</v>
      </c>
      <c r="X1644" s="38">
        <f t="shared" si="271"/>
        <v>3777.12</v>
      </c>
    </row>
    <row r="1645" spans="1:24" ht="15" customHeight="1" x14ac:dyDescent="0.35">
      <c r="A1645" s="56" t="s">
        <v>3864</v>
      </c>
      <c r="B1645" s="2">
        <v>1549</v>
      </c>
      <c r="C1645" s="11">
        <v>10144656</v>
      </c>
      <c r="D1645" s="3" t="s">
        <v>1407</v>
      </c>
      <c r="E1645" s="59" t="s">
        <v>2167</v>
      </c>
      <c r="F1645" s="14">
        <v>15</v>
      </c>
      <c r="G1645" s="64" t="s">
        <v>0</v>
      </c>
      <c r="H1645" s="5">
        <v>41365</v>
      </c>
      <c r="I1645" s="4" t="s">
        <v>957</v>
      </c>
      <c r="J1645" s="63" t="s">
        <v>1917</v>
      </c>
      <c r="K1645" s="63" t="s">
        <v>961</v>
      </c>
      <c r="L1645" s="69" t="s">
        <v>950</v>
      </c>
      <c r="M1645" s="70">
        <f t="shared" si="272"/>
        <v>19833.3</v>
      </c>
      <c r="N1645" s="70">
        <f t="shared" si="274"/>
        <v>1322.22</v>
      </c>
      <c r="O1645" s="70">
        <v>19833.3</v>
      </c>
      <c r="P1645" s="65">
        <v>42590</v>
      </c>
      <c r="Q1645" s="65">
        <f t="shared" si="268"/>
        <v>9369.7999999999993</v>
      </c>
      <c r="R1645" s="65">
        <f t="shared" si="269"/>
        <v>51959.8</v>
      </c>
      <c r="S1645" s="276"/>
      <c r="T1645" s="64">
        <v>93</v>
      </c>
      <c r="U1645" s="270"/>
      <c r="V1645" s="38">
        <v>46442</v>
      </c>
      <c r="W1645" s="38">
        <f t="shared" si="270"/>
        <v>10217.24</v>
      </c>
      <c r="X1645" s="38">
        <f t="shared" si="271"/>
        <v>56659.24</v>
      </c>
    </row>
    <row r="1646" spans="1:24" ht="15" customHeight="1" x14ac:dyDescent="0.35">
      <c r="A1646" s="56"/>
      <c r="B1646" s="15"/>
      <c r="C1646" s="11"/>
      <c r="D1646" s="3"/>
      <c r="E1646" s="59"/>
      <c r="F1646" s="14"/>
      <c r="G1646" s="64"/>
      <c r="H1646" s="5"/>
      <c r="I1646" s="4"/>
      <c r="J1646" s="63"/>
      <c r="K1646" s="63"/>
      <c r="L1646" s="69"/>
      <c r="M1646" s="70"/>
      <c r="N1646" s="70"/>
      <c r="O1646" s="71">
        <f>SUM(O1639:O1645)</f>
        <v>1767617.49</v>
      </c>
      <c r="P1646" s="71">
        <f t="shared" ref="P1646:R1646" si="275">SUM(P1639:P1645)</f>
        <v>3699250</v>
      </c>
      <c r="Q1646" s="71">
        <f t="shared" si="275"/>
        <v>813835</v>
      </c>
      <c r="R1646" s="71">
        <f t="shared" si="275"/>
        <v>4513085</v>
      </c>
      <c r="S1646" s="72">
        <f>R1646/100*10</f>
        <v>451308.5</v>
      </c>
      <c r="T1646" s="73">
        <v>93</v>
      </c>
      <c r="U1646" s="271"/>
      <c r="V1646" s="38"/>
      <c r="W1646" s="38"/>
      <c r="X1646" s="38"/>
    </row>
    <row r="1647" spans="1:24" ht="52.5" customHeight="1" x14ac:dyDescent="0.35">
      <c r="A1647" s="56" t="s">
        <v>3865</v>
      </c>
      <c r="B1647" s="2">
        <v>1550</v>
      </c>
      <c r="C1647" s="77">
        <v>10097725</v>
      </c>
      <c r="D1647" s="74" t="s">
        <v>328</v>
      </c>
      <c r="E1647" s="74" t="s">
        <v>2147</v>
      </c>
      <c r="F1647" s="75">
        <v>2</v>
      </c>
      <c r="G1647" s="64" t="s">
        <v>28</v>
      </c>
      <c r="H1647" s="101" t="s">
        <v>2145</v>
      </c>
      <c r="I1647" s="61" t="s">
        <v>972</v>
      </c>
      <c r="J1647" s="63" t="s">
        <v>1917</v>
      </c>
      <c r="K1647" s="61" t="s">
        <v>961</v>
      </c>
      <c r="L1647" s="61" t="s">
        <v>845</v>
      </c>
      <c r="M1647" s="65">
        <f t="shared" si="272"/>
        <v>171513.21</v>
      </c>
      <c r="N1647" s="65">
        <f t="shared" ref="N1647:N1675" si="276">O1647/F1647</f>
        <v>85756.61</v>
      </c>
      <c r="O1647" s="65">
        <v>171513.21</v>
      </c>
      <c r="P1647" s="65">
        <v>230960</v>
      </c>
      <c r="Q1647" s="65">
        <f t="shared" si="268"/>
        <v>50811.199999999997</v>
      </c>
      <c r="R1647" s="65">
        <f t="shared" si="269"/>
        <v>281771.2</v>
      </c>
      <c r="S1647" s="267"/>
      <c r="T1647" s="64">
        <v>94</v>
      </c>
      <c r="U1647" s="273" t="s">
        <v>2295</v>
      </c>
      <c r="V1647" s="38">
        <v>258052</v>
      </c>
      <c r="W1647" s="38">
        <f t="shared" si="270"/>
        <v>56771.44</v>
      </c>
      <c r="X1647" s="38">
        <f t="shared" si="271"/>
        <v>314823.44</v>
      </c>
    </row>
    <row r="1648" spans="1:24" ht="15" customHeight="1" x14ac:dyDescent="0.35">
      <c r="A1648" s="56" t="s">
        <v>3866</v>
      </c>
      <c r="B1648" s="2">
        <v>1551</v>
      </c>
      <c r="C1648" s="77">
        <v>10102792</v>
      </c>
      <c r="D1648" s="74" t="s">
        <v>329</v>
      </c>
      <c r="E1648" s="74" t="s">
        <v>2147</v>
      </c>
      <c r="F1648" s="75">
        <v>2</v>
      </c>
      <c r="G1648" s="64" t="s">
        <v>0</v>
      </c>
      <c r="H1648" s="101" t="s">
        <v>2145</v>
      </c>
      <c r="I1648" s="61" t="s">
        <v>972</v>
      </c>
      <c r="J1648" s="63" t="s">
        <v>1917</v>
      </c>
      <c r="K1648" s="61" t="s">
        <v>961</v>
      </c>
      <c r="L1648" s="61" t="s">
        <v>845</v>
      </c>
      <c r="M1648" s="65">
        <f t="shared" si="272"/>
        <v>19960</v>
      </c>
      <c r="N1648" s="65">
        <f t="shared" si="276"/>
        <v>9980</v>
      </c>
      <c r="O1648" s="65">
        <v>19960</v>
      </c>
      <c r="P1648" s="65">
        <v>26880</v>
      </c>
      <c r="Q1648" s="65">
        <f t="shared" ref="Q1648:Q1711" si="277">P1648*0.22</f>
        <v>5913.6</v>
      </c>
      <c r="R1648" s="65">
        <f t="shared" ref="R1648:R1711" si="278">P1648+Q1648</f>
        <v>32793.599999999999</v>
      </c>
      <c r="S1648" s="272"/>
      <c r="T1648" s="64">
        <v>94</v>
      </c>
      <c r="U1648" s="270"/>
      <c r="V1648" s="38">
        <v>30031</v>
      </c>
      <c r="W1648" s="38">
        <f t="shared" ref="W1648:W1711" si="279">V1648*0.22</f>
        <v>6606.82</v>
      </c>
      <c r="X1648" s="38">
        <f t="shared" si="271"/>
        <v>36637.82</v>
      </c>
    </row>
    <row r="1649" spans="1:24" ht="15" customHeight="1" x14ac:dyDescent="0.35">
      <c r="A1649" s="56" t="s">
        <v>3867</v>
      </c>
      <c r="B1649" s="2">
        <v>1552</v>
      </c>
      <c r="C1649" s="77">
        <v>10105591</v>
      </c>
      <c r="D1649" s="74" t="s">
        <v>330</v>
      </c>
      <c r="E1649" s="74" t="s">
        <v>2147</v>
      </c>
      <c r="F1649" s="75">
        <v>2</v>
      </c>
      <c r="G1649" s="64" t="s">
        <v>0</v>
      </c>
      <c r="H1649" s="101" t="s">
        <v>2145</v>
      </c>
      <c r="I1649" s="61" t="s">
        <v>972</v>
      </c>
      <c r="J1649" s="63" t="s">
        <v>1917</v>
      </c>
      <c r="K1649" s="61" t="s">
        <v>961</v>
      </c>
      <c r="L1649" s="61" t="s">
        <v>845</v>
      </c>
      <c r="M1649" s="65">
        <f t="shared" si="272"/>
        <v>170933.4</v>
      </c>
      <c r="N1649" s="65">
        <f t="shared" si="276"/>
        <v>85466.7</v>
      </c>
      <c r="O1649" s="65">
        <v>170933.4</v>
      </c>
      <c r="P1649" s="65">
        <v>230180</v>
      </c>
      <c r="Q1649" s="65">
        <f t="shared" si="277"/>
        <v>50639.6</v>
      </c>
      <c r="R1649" s="65">
        <f t="shared" si="278"/>
        <v>280819.59999999998</v>
      </c>
      <c r="S1649" s="272"/>
      <c r="T1649" s="64">
        <v>94</v>
      </c>
      <c r="U1649" s="270"/>
      <c r="V1649" s="38">
        <v>257180</v>
      </c>
      <c r="W1649" s="38">
        <f t="shared" si="279"/>
        <v>56579.6</v>
      </c>
      <c r="X1649" s="38">
        <f t="shared" si="271"/>
        <v>313759.59999999998</v>
      </c>
    </row>
    <row r="1650" spans="1:24" ht="15" customHeight="1" x14ac:dyDescent="0.35">
      <c r="A1650" s="56" t="s">
        <v>3868</v>
      </c>
      <c r="B1650" s="2">
        <v>1553</v>
      </c>
      <c r="C1650" s="77">
        <v>10105400</v>
      </c>
      <c r="D1650" s="74" t="s">
        <v>329</v>
      </c>
      <c r="E1650" s="74" t="s">
        <v>2147</v>
      </c>
      <c r="F1650" s="75">
        <v>3</v>
      </c>
      <c r="G1650" s="64" t="s">
        <v>0</v>
      </c>
      <c r="H1650" s="101" t="s">
        <v>2145</v>
      </c>
      <c r="I1650" s="61" t="s">
        <v>972</v>
      </c>
      <c r="J1650" s="63" t="s">
        <v>1917</v>
      </c>
      <c r="K1650" s="61" t="s">
        <v>961</v>
      </c>
      <c r="L1650" s="61" t="s">
        <v>845</v>
      </c>
      <c r="M1650" s="65">
        <f t="shared" si="272"/>
        <v>29640.6</v>
      </c>
      <c r="N1650" s="65">
        <f t="shared" si="276"/>
        <v>9880.2000000000007</v>
      </c>
      <c r="O1650" s="65">
        <v>29640.6</v>
      </c>
      <c r="P1650" s="65">
        <v>39910</v>
      </c>
      <c r="Q1650" s="65">
        <f t="shared" si="277"/>
        <v>8780.2000000000007</v>
      </c>
      <c r="R1650" s="65">
        <f t="shared" si="278"/>
        <v>48690.2</v>
      </c>
      <c r="S1650" s="272"/>
      <c r="T1650" s="64">
        <v>94</v>
      </c>
      <c r="U1650" s="270"/>
      <c r="V1650" s="38">
        <v>44596</v>
      </c>
      <c r="W1650" s="38">
        <f t="shared" si="279"/>
        <v>9811.1200000000008</v>
      </c>
      <c r="X1650" s="38">
        <f t="shared" ref="X1650:X1713" si="280">V1650+W1650</f>
        <v>54407.12</v>
      </c>
    </row>
    <row r="1651" spans="1:24" ht="15" customHeight="1" x14ac:dyDescent="0.35">
      <c r="A1651" s="56" t="s">
        <v>3869</v>
      </c>
      <c r="B1651" s="2">
        <v>1554</v>
      </c>
      <c r="C1651" s="77">
        <v>10097772</v>
      </c>
      <c r="D1651" s="74" t="s">
        <v>354</v>
      </c>
      <c r="E1651" s="74" t="s">
        <v>2147</v>
      </c>
      <c r="F1651" s="75">
        <v>4</v>
      </c>
      <c r="G1651" s="64" t="s">
        <v>28</v>
      </c>
      <c r="H1651" s="101" t="s">
        <v>2145</v>
      </c>
      <c r="I1651" s="61" t="s">
        <v>972</v>
      </c>
      <c r="J1651" s="63" t="s">
        <v>1917</v>
      </c>
      <c r="K1651" s="61" t="s">
        <v>961</v>
      </c>
      <c r="L1651" s="61" t="s">
        <v>845</v>
      </c>
      <c r="M1651" s="65">
        <f t="shared" si="272"/>
        <v>268864.43</v>
      </c>
      <c r="N1651" s="65">
        <f t="shared" si="276"/>
        <v>67216.11</v>
      </c>
      <c r="O1651" s="65">
        <v>268864.43</v>
      </c>
      <c r="P1651" s="65">
        <v>362050</v>
      </c>
      <c r="Q1651" s="65">
        <f t="shared" si="277"/>
        <v>79651</v>
      </c>
      <c r="R1651" s="65">
        <f t="shared" si="278"/>
        <v>441701</v>
      </c>
      <c r="S1651" s="272"/>
      <c r="T1651" s="64">
        <v>94</v>
      </c>
      <c r="U1651" s="270"/>
      <c r="V1651" s="38">
        <v>404523</v>
      </c>
      <c r="W1651" s="38">
        <f t="shared" si="279"/>
        <v>88995.06</v>
      </c>
      <c r="X1651" s="38">
        <f t="shared" si="280"/>
        <v>493518.06</v>
      </c>
    </row>
    <row r="1652" spans="1:24" ht="15" customHeight="1" x14ac:dyDescent="0.35">
      <c r="A1652" s="56" t="s">
        <v>3870</v>
      </c>
      <c r="B1652" s="2">
        <v>1555</v>
      </c>
      <c r="C1652" s="77">
        <v>10097781</v>
      </c>
      <c r="D1652" s="74" t="s">
        <v>355</v>
      </c>
      <c r="E1652" s="74" t="s">
        <v>2147</v>
      </c>
      <c r="F1652" s="75">
        <v>4</v>
      </c>
      <c r="G1652" s="64" t="s">
        <v>0</v>
      </c>
      <c r="H1652" s="101" t="s">
        <v>2145</v>
      </c>
      <c r="I1652" s="61" t="s">
        <v>972</v>
      </c>
      <c r="J1652" s="63" t="s">
        <v>1917</v>
      </c>
      <c r="K1652" s="61" t="s">
        <v>961</v>
      </c>
      <c r="L1652" s="61" t="s">
        <v>845</v>
      </c>
      <c r="M1652" s="65">
        <f t="shared" si="272"/>
        <v>236164.05</v>
      </c>
      <c r="N1652" s="65">
        <f t="shared" si="276"/>
        <v>59041.01</v>
      </c>
      <c r="O1652" s="65">
        <v>236164.05</v>
      </c>
      <c r="P1652" s="65">
        <v>318010</v>
      </c>
      <c r="Q1652" s="65">
        <f t="shared" si="277"/>
        <v>69962.2</v>
      </c>
      <c r="R1652" s="65">
        <f t="shared" si="278"/>
        <v>387972.2</v>
      </c>
      <c r="S1652" s="272"/>
      <c r="T1652" s="64">
        <v>94</v>
      </c>
      <c r="U1652" s="270"/>
      <c r="V1652" s="38">
        <v>355324</v>
      </c>
      <c r="W1652" s="38">
        <f t="shared" si="279"/>
        <v>78171.28</v>
      </c>
      <c r="X1652" s="38">
        <f t="shared" si="280"/>
        <v>433495.28</v>
      </c>
    </row>
    <row r="1653" spans="1:24" ht="45" customHeight="1" x14ac:dyDescent="0.35">
      <c r="A1653" s="56" t="s">
        <v>3871</v>
      </c>
      <c r="B1653" s="2">
        <v>1556</v>
      </c>
      <c r="C1653" s="77">
        <v>10131166</v>
      </c>
      <c r="D1653" s="74" t="s">
        <v>362</v>
      </c>
      <c r="E1653" s="74" t="s">
        <v>2147</v>
      </c>
      <c r="F1653" s="75">
        <v>5</v>
      </c>
      <c r="G1653" s="64" t="s">
        <v>0</v>
      </c>
      <c r="H1653" s="101" t="s">
        <v>2145</v>
      </c>
      <c r="I1653" s="61" t="s">
        <v>972</v>
      </c>
      <c r="J1653" s="63" t="s">
        <v>1917</v>
      </c>
      <c r="K1653" s="61" t="s">
        <v>961</v>
      </c>
      <c r="L1653" s="61" t="s">
        <v>845</v>
      </c>
      <c r="M1653" s="65">
        <f t="shared" si="272"/>
        <v>25192.799999999999</v>
      </c>
      <c r="N1653" s="65">
        <f t="shared" si="276"/>
        <v>5038.5600000000004</v>
      </c>
      <c r="O1653" s="65">
        <v>25192.799999999999</v>
      </c>
      <c r="P1653" s="65">
        <v>33920</v>
      </c>
      <c r="Q1653" s="65">
        <f t="shared" si="277"/>
        <v>7462.4</v>
      </c>
      <c r="R1653" s="65">
        <f t="shared" si="278"/>
        <v>41382.400000000001</v>
      </c>
      <c r="S1653" s="272"/>
      <c r="T1653" s="64">
        <v>94</v>
      </c>
      <c r="U1653" s="270"/>
      <c r="V1653" s="38">
        <v>37904</v>
      </c>
      <c r="W1653" s="38">
        <f t="shared" si="279"/>
        <v>8338.8799999999992</v>
      </c>
      <c r="X1653" s="38">
        <f t="shared" si="280"/>
        <v>46242.879999999997</v>
      </c>
    </row>
    <row r="1654" spans="1:24" ht="15" customHeight="1" x14ac:dyDescent="0.35">
      <c r="A1654" s="56" t="s">
        <v>3872</v>
      </c>
      <c r="B1654" s="2">
        <v>1557</v>
      </c>
      <c r="C1654" s="77">
        <v>10131165</v>
      </c>
      <c r="D1654" s="74" t="s">
        <v>368</v>
      </c>
      <c r="E1654" s="74" t="s">
        <v>2147</v>
      </c>
      <c r="F1654" s="75">
        <v>6</v>
      </c>
      <c r="G1654" s="64" t="s">
        <v>0</v>
      </c>
      <c r="H1654" s="101" t="s">
        <v>2145</v>
      </c>
      <c r="I1654" s="61" t="s">
        <v>972</v>
      </c>
      <c r="J1654" s="63" t="s">
        <v>1917</v>
      </c>
      <c r="K1654" s="61" t="s">
        <v>961</v>
      </c>
      <c r="L1654" s="61" t="s">
        <v>845</v>
      </c>
      <c r="M1654" s="65">
        <f t="shared" si="272"/>
        <v>16947.48</v>
      </c>
      <c r="N1654" s="65">
        <f t="shared" si="276"/>
        <v>2824.58</v>
      </c>
      <c r="O1654" s="65">
        <v>16947.48</v>
      </c>
      <c r="P1654" s="65">
        <v>22820</v>
      </c>
      <c r="Q1654" s="65">
        <f t="shared" si="277"/>
        <v>5020.3999999999996</v>
      </c>
      <c r="R1654" s="65">
        <f t="shared" si="278"/>
        <v>27840.400000000001</v>
      </c>
      <c r="S1654" s="272"/>
      <c r="T1654" s="64">
        <v>94</v>
      </c>
      <c r="U1654" s="270"/>
      <c r="V1654" s="38">
        <v>25499</v>
      </c>
      <c r="W1654" s="38">
        <f t="shared" si="279"/>
        <v>5609.78</v>
      </c>
      <c r="X1654" s="38">
        <f t="shared" si="280"/>
        <v>31108.78</v>
      </c>
    </row>
    <row r="1655" spans="1:24" ht="15" customHeight="1" x14ac:dyDescent="0.35">
      <c r="A1655" s="56" t="s">
        <v>3873</v>
      </c>
      <c r="B1655" s="2">
        <v>1558</v>
      </c>
      <c r="C1655" s="77">
        <v>10117971</v>
      </c>
      <c r="D1655" s="74" t="s">
        <v>375</v>
      </c>
      <c r="E1655" s="74" t="s">
        <v>2147</v>
      </c>
      <c r="F1655" s="75">
        <v>7</v>
      </c>
      <c r="G1655" s="64" t="s">
        <v>0</v>
      </c>
      <c r="H1655" s="101" t="s">
        <v>2145</v>
      </c>
      <c r="I1655" s="61" t="s">
        <v>972</v>
      </c>
      <c r="J1655" s="63" t="s">
        <v>1917</v>
      </c>
      <c r="K1655" s="61" t="s">
        <v>961</v>
      </c>
      <c r="L1655" s="61" t="s">
        <v>845</v>
      </c>
      <c r="M1655" s="65">
        <f t="shared" si="272"/>
        <v>7997.5</v>
      </c>
      <c r="N1655" s="65">
        <f t="shared" si="276"/>
        <v>1142.5</v>
      </c>
      <c r="O1655" s="65">
        <v>7997.5</v>
      </c>
      <c r="P1655" s="65">
        <v>10770</v>
      </c>
      <c r="Q1655" s="65">
        <f t="shared" si="277"/>
        <v>2369.4</v>
      </c>
      <c r="R1655" s="65">
        <f t="shared" si="278"/>
        <v>13139.4</v>
      </c>
      <c r="S1655" s="272"/>
      <c r="T1655" s="64">
        <v>94</v>
      </c>
      <c r="U1655" s="270"/>
      <c r="V1655" s="38">
        <v>12033</v>
      </c>
      <c r="W1655" s="38">
        <f t="shared" si="279"/>
        <v>2647.26</v>
      </c>
      <c r="X1655" s="38">
        <f t="shared" si="280"/>
        <v>14680.26</v>
      </c>
    </row>
    <row r="1656" spans="1:24" ht="15" customHeight="1" x14ac:dyDescent="0.35">
      <c r="A1656" s="56" t="s">
        <v>3874</v>
      </c>
      <c r="B1656" s="2">
        <v>1559</v>
      </c>
      <c r="C1656" s="77">
        <v>10097780</v>
      </c>
      <c r="D1656" s="74" t="s">
        <v>376</v>
      </c>
      <c r="E1656" s="74" t="s">
        <v>2147</v>
      </c>
      <c r="F1656" s="75">
        <v>8</v>
      </c>
      <c r="G1656" s="64" t="s">
        <v>0</v>
      </c>
      <c r="H1656" s="101" t="s">
        <v>2145</v>
      </c>
      <c r="I1656" s="61" t="s">
        <v>972</v>
      </c>
      <c r="J1656" s="63" t="s">
        <v>1917</v>
      </c>
      <c r="K1656" s="61" t="s">
        <v>961</v>
      </c>
      <c r="L1656" s="61" t="s">
        <v>845</v>
      </c>
      <c r="M1656" s="65">
        <f t="shared" si="272"/>
        <v>215908.7</v>
      </c>
      <c r="N1656" s="65">
        <f t="shared" si="276"/>
        <v>26988.59</v>
      </c>
      <c r="O1656" s="65">
        <v>215908.7</v>
      </c>
      <c r="P1656" s="65">
        <v>290740</v>
      </c>
      <c r="Q1656" s="65">
        <f t="shared" si="277"/>
        <v>63962.8</v>
      </c>
      <c r="R1656" s="65">
        <f t="shared" si="278"/>
        <v>354702.8</v>
      </c>
      <c r="S1656" s="272"/>
      <c r="T1656" s="64">
        <v>94</v>
      </c>
      <c r="U1656" s="270"/>
      <c r="V1656" s="38">
        <v>324848</v>
      </c>
      <c r="W1656" s="38">
        <f t="shared" si="279"/>
        <v>71466.559999999998</v>
      </c>
      <c r="X1656" s="38">
        <f t="shared" si="280"/>
        <v>396314.56</v>
      </c>
    </row>
    <row r="1657" spans="1:24" ht="45" customHeight="1" x14ac:dyDescent="0.35">
      <c r="A1657" s="56" t="s">
        <v>3875</v>
      </c>
      <c r="B1657" s="2">
        <v>1560</v>
      </c>
      <c r="C1657" s="77">
        <v>10117972</v>
      </c>
      <c r="D1657" s="74" t="s">
        <v>378</v>
      </c>
      <c r="E1657" s="74" t="s">
        <v>2147</v>
      </c>
      <c r="F1657" s="75">
        <v>10</v>
      </c>
      <c r="G1657" s="64" t="s">
        <v>0</v>
      </c>
      <c r="H1657" s="101" t="s">
        <v>2145</v>
      </c>
      <c r="I1657" s="61" t="s">
        <v>972</v>
      </c>
      <c r="J1657" s="63" t="s">
        <v>1917</v>
      </c>
      <c r="K1657" s="61" t="s">
        <v>961</v>
      </c>
      <c r="L1657" s="61" t="s">
        <v>845</v>
      </c>
      <c r="M1657" s="65">
        <f t="shared" si="272"/>
        <v>11992</v>
      </c>
      <c r="N1657" s="65">
        <f t="shared" si="276"/>
        <v>1199.2</v>
      </c>
      <c r="O1657" s="65">
        <v>11992</v>
      </c>
      <c r="P1657" s="65">
        <v>16150</v>
      </c>
      <c r="Q1657" s="65">
        <f t="shared" si="277"/>
        <v>3553</v>
      </c>
      <c r="R1657" s="65">
        <f t="shared" si="278"/>
        <v>19703</v>
      </c>
      <c r="S1657" s="272"/>
      <c r="T1657" s="64">
        <v>94</v>
      </c>
      <c r="U1657" s="270"/>
      <c r="V1657" s="38">
        <v>18043</v>
      </c>
      <c r="W1657" s="38">
        <f t="shared" si="279"/>
        <v>3969.46</v>
      </c>
      <c r="X1657" s="38">
        <f t="shared" si="280"/>
        <v>22012.46</v>
      </c>
    </row>
    <row r="1658" spans="1:24" ht="45" customHeight="1" x14ac:dyDescent="0.35">
      <c r="A1658" s="56" t="s">
        <v>3876</v>
      </c>
      <c r="B1658" s="2">
        <v>1561</v>
      </c>
      <c r="C1658" s="77">
        <v>10117973</v>
      </c>
      <c r="D1658" s="74" t="s">
        <v>379</v>
      </c>
      <c r="E1658" s="74" t="s">
        <v>2147</v>
      </c>
      <c r="F1658" s="75">
        <v>10</v>
      </c>
      <c r="G1658" s="64" t="s">
        <v>0</v>
      </c>
      <c r="H1658" s="101" t="s">
        <v>2145</v>
      </c>
      <c r="I1658" s="61" t="s">
        <v>972</v>
      </c>
      <c r="J1658" s="63" t="s">
        <v>1917</v>
      </c>
      <c r="K1658" s="61" t="s">
        <v>961</v>
      </c>
      <c r="L1658" s="61" t="s">
        <v>845</v>
      </c>
      <c r="M1658" s="65">
        <f t="shared" si="272"/>
        <v>4292</v>
      </c>
      <c r="N1658" s="65">
        <f t="shared" si="276"/>
        <v>429.2</v>
      </c>
      <c r="O1658" s="65">
        <v>4292</v>
      </c>
      <c r="P1658" s="65">
        <v>5780</v>
      </c>
      <c r="Q1658" s="65">
        <f t="shared" si="277"/>
        <v>1271.5999999999999</v>
      </c>
      <c r="R1658" s="65">
        <f t="shared" si="278"/>
        <v>7051.6</v>
      </c>
      <c r="S1658" s="272"/>
      <c r="T1658" s="64">
        <v>94</v>
      </c>
      <c r="U1658" s="270"/>
      <c r="V1658" s="38">
        <v>6458</v>
      </c>
      <c r="W1658" s="38">
        <f t="shared" si="279"/>
        <v>1420.76</v>
      </c>
      <c r="X1658" s="38">
        <f t="shared" si="280"/>
        <v>7878.76</v>
      </c>
    </row>
    <row r="1659" spans="1:24" ht="15" customHeight="1" x14ac:dyDescent="0.35">
      <c r="A1659" s="56" t="s">
        <v>3877</v>
      </c>
      <c r="B1659" s="2">
        <v>1562</v>
      </c>
      <c r="C1659" s="77">
        <v>10094520</v>
      </c>
      <c r="D1659" s="74" t="s">
        <v>381</v>
      </c>
      <c r="E1659" s="74" t="s">
        <v>2147</v>
      </c>
      <c r="F1659" s="75">
        <v>12</v>
      </c>
      <c r="G1659" s="64" t="s">
        <v>28</v>
      </c>
      <c r="H1659" s="101" t="s">
        <v>2145</v>
      </c>
      <c r="I1659" s="61" t="s">
        <v>972</v>
      </c>
      <c r="J1659" s="63" t="s">
        <v>1917</v>
      </c>
      <c r="K1659" s="61" t="s">
        <v>961</v>
      </c>
      <c r="L1659" s="61" t="s">
        <v>845</v>
      </c>
      <c r="M1659" s="65">
        <f t="shared" si="272"/>
        <v>616146.93999999994</v>
      </c>
      <c r="N1659" s="65">
        <f t="shared" si="276"/>
        <v>51345.58</v>
      </c>
      <c r="O1659" s="65">
        <v>616146.93999999994</v>
      </c>
      <c r="P1659" s="65">
        <v>829690</v>
      </c>
      <c r="Q1659" s="65">
        <f t="shared" si="277"/>
        <v>182531.8</v>
      </c>
      <c r="R1659" s="65">
        <f t="shared" si="278"/>
        <v>1012221.8</v>
      </c>
      <c r="S1659" s="272"/>
      <c r="T1659" s="64">
        <v>94</v>
      </c>
      <c r="U1659" s="270"/>
      <c r="V1659" s="38">
        <v>927032</v>
      </c>
      <c r="W1659" s="38">
        <f t="shared" si="279"/>
        <v>203947.04</v>
      </c>
      <c r="X1659" s="38">
        <f t="shared" si="280"/>
        <v>1130979.04</v>
      </c>
    </row>
    <row r="1660" spans="1:24" ht="15" customHeight="1" x14ac:dyDescent="0.35">
      <c r="A1660" s="56" t="s">
        <v>3878</v>
      </c>
      <c r="B1660" s="2">
        <v>1563</v>
      </c>
      <c r="C1660" s="77">
        <v>10094229</v>
      </c>
      <c r="D1660" s="74" t="s">
        <v>382</v>
      </c>
      <c r="E1660" s="74" t="s">
        <v>2147</v>
      </c>
      <c r="F1660" s="75">
        <v>14</v>
      </c>
      <c r="G1660" s="64" t="s">
        <v>0</v>
      </c>
      <c r="H1660" s="101" t="s">
        <v>2145</v>
      </c>
      <c r="I1660" s="61" t="s">
        <v>972</v>
      </c>
      <c r="J1660" s="63" t="s">
        <v>1917</v>
      </c>
      <c r="K1660" s="61" t="s">
        <v>961</v>
      </c>
      <c r="L1660" s="61" t="s">
        <v>845</v>
      </c>
      <c r="M1660" s="65">
        <f t="shared" si="272"/>
        <v>103764.4</v>
      </c>
      <c r="N1660" s="65">
        <f t="shared" si="276"/>
        <v>7411.74</v>
      </c>
      <c r="O1660" s="65">
        <v>103764.4</v>
      </c>
      <c r="P1660" s="65">
        <v>139730</v>
      </c>
      <c r="Q1660" s="65">
        <f t="shared" si="277"/>
        <v>30740.6</v>
      </c>
      <c r="R1660" s="65">
        <f t="shared" si="278"/>
        <v>170470.6</v>
      </c>
      <c r="S1660" s="272"/>
      <c r="T1660" s="64">
        <v>94</v>
      </c>
      <c r="U1660" s="270"/>
      <c r="V1660" s="38">
        <v>156120</v>
      </c>
      <c r="W1660" s="38">
        <f t="shared" si="279"/>
        <v>34346.400000000001</v>
      </c>
      <c r="X1660" s="38">
        <f t="shared" si="280"/>
        <v>190466.4</v>
      </c>
    </row>
    <row r="1661" spans="1:24" ht="15" customHeight="1" x14ac:dyDescent="0.35">
      <c r="A1661" s="56" t="s">
        <v>3879</v>
      </c>
      <c r="B1661" s="2">
        <v>1564</v>
      </c>
      <c r="C1661" s="77">
        <v>10094458</v>
      </c>
      <c r="D1661" s="74" t="s">
        <v>385</v>
      </c>
      <c r="E1661" s="74" t="s">
        <v>2147</v>
      </c>
      <c r="F1661" s="75">
        <v>26</v>
      </c>
      <c r="G1661" s="64" t="s">
        <v>0</v>
      </c>
      <c r="H1661" s="101" t="s">
        <v>2145</v>
      </c>
      <c r="I1661" s="61" t="s">
        <v>972</v>
      </c>
      <c r="J1661" s="63" t="s">
        <v>1917</v>
      </c>
      <c r="K1661" s="61" t="s">
        <v>961</v>
      </c>
      <c r="L1661" s="61" t="s">
        <v>845</v>
      </c>
      <c r="M1661" s="65">
        <f t="shared" si="272"/>
        <v>192308</v>
      </c>
      <c r="N1661" s="65">
        <f t="shared" si="276"/>
        <v>7396.46</v>
      </c>
      <c r="O1661" s="65">
        <v>192308</v>
      </c>
      <c r="P1661" s="65">
        <v>258960</v>
      </c>
      <c r="Q1661" s="65">
        <f t="shared" si="277"/>
        <v>56971.199999999997</v>
      </c>
      <c r="R1661" s="65">
        <f t="shared" si="278"/>
        <v>315931.2</v>
      </c>
      <c r="S1661" s="272"/>
      <c r="T1661" s="64">
        <v>94</v>
      </c>
      <c r="U1661" s="270"/>
      <c r="V1661" s="38">
        <v>289339</v>
      </c>
      <c r="W1661" s="38">
        <f t="shared" si="279"/>
        <v>63654.58</v>
      </c>
      <c r="X1661" s="38">
        <f t="shared" si="280"/>
        <v>352993.58</v>
      </c>
    </row>
    <row r="1662" spans="1:24" ht="15" customHeight="1" x14ac:dyDescent="0.35">
      <c r="A1662" s="56" t="s">
        <v>3880</v>
      </c>
      <c r="B1662" s="2">
        <v>1565</v>
      </c>
      <c r="C1662" s="77">
        <v>10094057</v>
      </c>
      <c r="D1662" s="74" t="s">
        <v>386</v>
      </c>
      <c r="E1662" s="74" t="s">
        <v>2147</v>
      </c>
      <c r="F1662" s="75">
        <v>88</v>
      </c>
      <c r="G1662" s="64" t="s">
        <v>0</v>
      </c>
      <c r="H1662" s="101" t="s">
        <v>2145</v>
      </c>
      <c r="I1662" s="61" t="s">
        <v>972</v>
      </c>
      <c r="J1662" s="63" t="s">
        <v>1917</v>
      </c>
      <c r="K1662" s="61" t="s">
        <v>961</v>
      </c>
      <c r="L1662" s="61" t="s">
        <v>845</v>
      </c>
      <c r="M1662" s="65">
        <f t="shared" si="272"/>
        <v>284217.17</v>
      </c>
      <c r="N1662" s="65">
        <f t="shared" si="276"/>
        <v>3229.74</v>
      </c>
      <c r="O1662" s="65">
        <v>284217.17</v>
      </c>
      <c r="P1662" s="65">
        <v>382720</v>
      </c>
      <c r="Q1662" s="65">
        <f t="shared" si="277"/>
        <v>84198.399999999994</v>
      </c>
      <c r="R1662" s="65">
        <f t="shared" si="278"/>
        <v>466918.40000000002</v>
      </c>
      <c r="S1662" s="272"/>
      <c r="T1662" s="64">
        <v>94</v>
      </c>
      <c r="U1662" s="270"/>
      <c r="V1662" s="38">
        <v>427622</v>
      </c>
      <c r="W1662" s="38">
        <f t="shared" si="279"/>
        <v>94076.84</v>
      </c>
      <c r="X1662" s="38">
        <f t="shared" si="280"/>
        <v>521698.84</v>
      </c>
    </row>
    <row r="1663" spans="1:24" ht="15" customHeight="1" x14ac:dyDescent="0.35">
      <c r="A1663" s="56" t="s">
        <v>3881</v>
      </c>
      <c r="B1663" s="2">
        <v>1566</v>
      </c>
      <c r="C1663" s="77">
        <v>10144877</v>
      </c>
      <c r="D1663" s="74" t="s">
        <v>387</v>
      </c>
      <c r="E1663" s="74" t="s">
        <v>2147</v>
      </c>
      <c r="F1663" s="75">
        <v>88</v>
      </c>
      <c r="G1663" s="64" t="s">
        <v>0</v>
      </c>
      <c r="H1663" s="101" t="s">
        <v>2145</v>
      </c>
      <c r="I1663" s="61" t="s">
        <v>972</v>
      </c>
      <c r="J1663" s="63" t="s">
        <v>1917</v>
      </c>
      <c r="K1663" s="61" t="s">
        <v>961</v>
      </c>
      <c r="L1663" s="61" t="s">
        <v>845</v>
      </c>
      <c r="M1663" s="65">
        <f t="shared" si="272"/>
        <v>841280</v>
      </c>
      <c r="N1663" s="65">
        <f t="shared" si="276"/>
        <v>9560</v>
      </c>
      <c r="O1663" s="65">
        <v>841280</v>
      </c>
      <c r="P1663" s="65">
        <v>1132850</v>
      </c>
      <c r="Q1663" s="65">
        <f t="shared" si="277"/>
        <v>249227</v>
      </c>
      <c r="R1663" s="65">
        <f t="shared" si="278"/>
        <v>1382077</v>
      </c>
      <c r="S1663" s="272"/>
      <c r="T1663" s="64">
        <v>94</v>
      </c>
      <c r="U1663" s="270"/>
      <c r="V1663" s="38">
        <v>1265758</v>
      </c>
      <c r="W1663" s="38">
        <f t="shared" si="279"/>
        <v>278466.76</v>
      </c>
      <c r="X1663" s="38">
        <f t="shared" si="280"/>
        <v>1544224.76</v>
      </c>
    </row>
    <row r="1664" spans="1:24" ht="15" customHeight="1" x14ac:dyDescent="0.35">
      <c r="A1664" s="56" t="s">
        <v>3882</v>
      </c>
      <c r="B1664" s="2">
        <v>1567</v>
      </c>
      <c r="C1664" s="77">
        <v>10116883</v>
      </c>
      <c r="D1664" s="74" t="s">
        <v>388</v>
      </c>
      <c r="E1664" s="74" t="s">
        <v>2147</v>
      </c>
      <c r="F1664" s="75">
        <v>212</v>
      </c>
      <c r="G1664" s="64" t="s">
        <v>0</v>
      </c>
      <c r="H1664" s="101" t="s">
        <v>2145</v>
      </c>
      <c r="I1664" s="61" t="s">
        <v>972</v>
      </c>
      <c r="J1664" s="63" t="s">
        <v>1917</v>
      </c>
      <c r="K1664" s="61" t="s">
        <v>961</v>
      </c>
      <c r="L1664" s="61" t="s">
        <v>845</v>
      </c>
      <c r="M1664" s="65">
        <f t="shared" si="272"/>
        <v>642699.19999999995</v>
      </c>
      <c r="N1664" s="65">
        <f t="shared" si="276"/>
        <v>3031.6</v>
      </c>
      <c r="O1664" s="65">
        <v>642699.19999999995</v>
      </c>
      <c r="P1664" s="65">
        <v>865450</v>
      </c>
      <c r="Q1664" s="65">
        <f t="shared" si="277"/>
        <v>190399</v>
      </c>
      <c r="R1664" s="65">
        <f t="shared" si="278"/>
        <v>1055849</v>
      </c>
      <c r="S1664" s="272"/>
      <c r="T1664" s="64">
        <v>94</v>
      </c>
      <c r="U1664" s="270"/>
      <c r="V1664" s="38">
        <v>966981</v>
      </c>
      <c r="W1664" s="38">
        <f t="shared" si="279"/>
        <v>212735.82</v>
      </c>
      <c r="X1664" s="38">
        <f t="shared" si="280"/>
        <v>1179716.82</v>
      </c>
    </row>
    <row r="1665" spans="1:24" ht="15" customHeight="1" x14ac:dyDescent="0.35">
      <c r="A1665" s="56" t="s">
        <v>3883</v>
      </c>
      <c r="B1665" s="2">
        <v>1568</v>
      </c>
      <c r="C1665" s="77">
        <v>10144896</v>
      </c>
      <c r="D1665" s="74" t="s">
        <v>389</v>
      </c>
      <c r="E1665" s="74" t="s">
        <v>2147</v>
      </c>
      <c r="F1665" s="75">
        <v>300</v>
      </c>
      <c r="G1665" s="64" t="s">
        <v>0</v>
      </c>
      <c r="H1665" s="101" t="s">
        <v>2145</v>
      </c>
      <c r="I1665" s="61" t="s">
        <v>972</v>
      </c>
      <c r="J1665" s="63" t="s">
        <v>1917</v>
      </c>
      <c r="K1665" s="61" t="s">
        <v>961</v>
      </c>
      <c r="L1665" s="61" t="s">
        <v>845</v>
      </c>
      <c r="M1665" s="65">
        <f t="shared" si="272"/>
        <v>1332000</v>
      </c>
      <c r="N1665" s="65">
        <f t="shared" si="276"/>
        <v>4440</v>
      </c>
      <c r="O1665" s="65">
        <v>1332000</v>
      </c>
      <c r="P1665" s="65">
        <v>1793650</v>
      </c>
      <c r="Q1665" s="65">
        <f t="shared" si="277"/>
        <v>394603</v>
      </c>
      <c r="R1665" s="65">
        <f t="shared" si="278"/>
        <v>2188253</v>
      </c>
      <c r="S1665" s="272"/>
      <c r="T1665" s="64">
        <v>94</v>
      </c>
      <c r="U1665" s="270"/>
      <c r="V1665" s="38">
        <v>2004077</v>
      </c>
      <c r="W1665" s="38">
        <f t="shared" si="279"/>
        <v>440896.94</v>
      </c>
      <c r="X1665" s="38">
        <f t="shared" si="280"/>
        <v>2444973.94</v>
      </c>
    </row>
    <row r="1666" spans="1:24" ht="15" customHeight="1" x14ac:dyDescent="0.35">
      <c r="A1666" s="56" t="s">
        <v>3884</v>
      </c>
      <c r="B1666" s="2">
        <v>1569</v>
      </c>
      <c r="C1666" s="77">
        <v>10134084</v>
      </c>
      <c r="D1666" s="74" t="s">
        <v>278</v>
      </c>
      <c r="E1666" s="59" t="s">
        <v>2181</v>
      </c>
      <c r="F1666" s="75">
        <v>56</v>
      </c>
      <c r="G1666" s="64" t="s">
        <v>0</v>
      </c>
      <c r="H1666" s="101" t="s">
        <v>2145</v>
      </c>
      <c r="I1666" s="61" t="s">
        <v>976</v>
      </c>
      <c r="J1666" s="63" t="s">
        <v>1917</v>
      </c>
      <c r="K1666" s="61" t="s">
        <v>961</v>
      </c>
      <c r="L1666" s="69" t="s">
        <v>2093</v>
      </c>
      <c r="M1666" s="70">
        <f t="shared" si="272"/>
        <v>426160</v>
      </c>
      <c r="N1666" s="70">
        <f t="shared" si="276"/>
        <v>7610</v>
      </c>
      <c r="O1666" s="70">
        <v>426160</v>
      </c>
      <c r="P1666" s="65">
        <v>573860</v>
      </c>
      <c r="Q1666" s="65">
        <f t="shared" si="277"/>
        <v>126249.2</v>
      </c>
      <c r="R1666" s="65">
        <f t="shared" si="278"/>
        <v>700109.2</v>
      </c>
      <c r="S1666" s="272"/>
      <c r="T1666" s="64">
        <v>94</v>
      </c>
      <c r="U1666" s="270"/>
      <c r="V1666" s="38">
        <v>641184</v>
      </c>
      <c r="W1666" s="38">
        <f t="shared" si="279"/>
        <v>141060.48000000001</v>
      </c>
      <c r="X1666" s="38">
        <f t="shared" si="280"/>
        <v>782244.48</v>
      </c>
    </row>
    <row r="1667" spans="1:24" ht="15" customHeight="1" x14ac:dyDescent="0.35">
      <c r="A1667" s="56" t="s">
        <v>3885</v>
      </c>
      <c r="B1667" s="2">
        <v>1570</v>
      </c>
      <c r="C1667" s="89">
        <v>10134117</v>
      </c>
      <c r="D1667" s="90" t="s">
        <v>673</v>
      </c>
      <c r="E1667" s="74" t="s">
        <v>2200</v>
      </c>
      <c r="F1667" s="91">
        <v>72</v>
      </c>
      <c r="G1667" s="64" t="s">
        <v>0</v>
      </c>
      <c r="H1667" s="61">
        <v>42004</v>
      </c>
      <c r="I1667" s="107" t="s">
        <v>976</v>
      </c>
      <c r="J1667" s="63" t="s">
        <v>1917</v>
      </c>
      <c r="K1667" s="108" t="s">
        <v>695</v>
      </c>
      <c r="L1667" s="64" t="s">
        <v>845</v>
      </c>
      <c r="M1667" s="65">
        <f t="shared" si="272"/>
        <v>754560</v>
      </c>
      <c r="N1667" s="65">
        <f t="shared" si="276"/>
        <v>10480</v>
      </c>
      <c r="O1667" s="65">
        <v>754560</v>
      </c>
      <c r="P1667" s="65">
        <v>754800</v>
      </c>
      <c r="Q1667" s="65">
        <f t="shared" si="277"/>
        <v>166056</v>
      </c>
      <c r="R1667" s="65">
        <f t="shared" si="278"/>
        <v>920856</v>
      </c>
      <c r="S1667" s="272"/>
      <c r="T1667" s="64">
        <v>94</v>
      </c>
      <c r="U1667" s="270"/>
      <c r="V1667" s="38">
        <v>843353</v>
      </c>
      <c r="W1667" s="38">
        <f t="shared" si="279"/>
        <v>185537.66</v>
      </c>
      <c r="X1667" s="38">
        <f t="shared" si="280"/>
        <v>1028890.66</v>
      </c>
    </row>
    <row r="1668" spans="1:24" ht="15" customHeight="1" x14ac:dyDescent="0.35">
      <c r="A1668" s="56" t="s">
        <v>3886</v>
      </c>
      <c r="B1668" s="2">
        <v>1571</v>
      </c>
      <c r="C1668" s="89">
        <v>10120795</v>
      </c>
      <c r="D1668" s="90" t="s">
        <v>681</v>
      </c>
      <c r="E1668" s="74" t="s">
        <v>2200</v>
      </c>
      <c r="F1668" s="91">
        <v>18</v>
      </c>
      <c r="G1668" s="64" t="s">
        <v>0</v>
      </c>
      <c r="H1668" s="61">
        <v>42004</v>
      </c>
      <c r="I1668" s="107" t="s">
        <v>976</v>
      </c>
      <c r="J1668" s="63" t="s">
        <v>1917</v>
      </c>
      <c r="K1668" s="108" t="s">
        <v>696</v>
      </c>
      <c r="L1668" s="64" t="s">
        <v>845</v>
      </c>
      <c r="M1668" s="65">
        <f t="shared" si="272"/>
        <v>154260</v>
      </c>
      <c r="N1668" s="65">
        <f t="shared" si="276"/>
        <v>8570</v>
      </c>
      <c r="O1668" s="65">
        <v>154260</v>
      </c>
      <c r="P1668" s="65">
        <v>154310</v>
      </c>
      <c r="Q1668" s="65">
        <f t="shared" si="277"/>
        <v>33948.199999999997</v>
      </c>
      <c r="R1668" s="65">
        <f t="shared" si="278"/>
        <v>188258.2</v>
      </c>
      <c r="S1668" s="272"/>
      <c r="T1668" s="64">
        <v>94</v>
      </c>
      <c r="U1668" s="270"/>
      <c r="V1668" s="38">
        <v>172413</v>
      </c>
      <c r="W1668" s="38">
        <f t="shared" si="279"/>
        <v>37930.86</v>
      </c>
      <c r="X1668" s="38">
        <f t="shared" si="280"/>
        <v>210343.86</v>
      </c>
    </row>
    <row r="1669" spans="1:24" ht="15" customHeight="1" x14ac:dyDescent="0.35">
      <c r="A1669" s="56" t="s">
        <v>3887</v>
      </c>
      <c r="B1669" s="2">
        <v>1572</v>
      </c>
      <c r="C1669" s="89">
        <v>10012790</v>
      </c>
      <c r="D1669" s="90" t="s">
        <v>682</v>
      </c>
      <c r="E1669" s="74" t="s">
        <v>2200</v>
      </c>
      <c r="F1669" s="91">
        <v>3</v>
      </c>
      <c r="G1669" s="64" t="s">
        <v>0</v>
      </c>
      <c r="H1669" s="61">
        <v>42004</v>
      </c>
      <c r="I1669" s="107" t="s">
        <v>976</v>
      </c>
      <c r="J1669" s="63" t="s">
        <v>1917</v>
      </c>
      <c r="K1669" s="108" t="s">
        <v>697</v>
      </c>
      <c r="L1669" s="64" t="s">
        <v>845</v>
      </c>
      <c r="M1669" s="65">
        <f t="shared" ref="M1669:M1732" si="281">O1669</f>
        <v>25710</v>
      </c>
      <c r="N1669" s="65">
        <f t="shared" si="276"/>
        <v>8570</v>
      </c>
      <c r="O1669" s="65">
        <v>25710</v>
      </c>
      <c r="P1669" s="65">
        <v>25720</v>
      </c>
      <c r="Q1669" s="65">
        <f t="shared" si="277"/>
        <v>5658.4</v>
      </c>
      <c r="R1669" s="65">
        <f t="shared" si="278"/>
        <v>31378.400000000001</v>
      </c>
      <c r="S1669" s="272"/>
      <c r="T1669" s="64">
        <v>94</v>
      </c>
      <c r="U1669" s="270"/>
      <c r="V1669" s="38">
        <v>28735</v>
      </c>
      <c r="W1669" s="38">
        <f t="shared" si="279"/>
        <v>6321.7</v>
      </c>
      <c r="X1669" s="38">
        <f t="shared" si="280"/>
        <v>35056.699999999997</v>
      </c>
    </row>
    <row r="1670" spans="1:24" ht="47.25" customHeight="1" x14ac:dyDescent="0.35">
      <c r="A1670" s="56" t="s">
        <v>3888</v>
      </c>
      <c r="B1670" s="2">
        <v>1573</v>
      </c>
      <c r="C1670" s="89">
        <v>10057328</v>
      </c>
      <c r="D1670" s="90" t="s">
        <v>674</v>
      </c>
      <c r="E1670" s="74" t="s">
        <v>2184</v>
      </c>
      <c r="F1670" s="75">
        <v>1</v>
      </c>
      <c r="G1670" s="64" t="s">
        <v>0</v>
      </c>
      <c r="H1670" s="61">
        <v>42004</v>
      </c>
      <c r="I1670" s="107" t="s">
        <v>976</v>
      </c>
      <c r="J1670" s="63" t="s">
        <v>1917</v>
      </c>
      <c r="K1670" s="108" t="s">
        <v>788</v>
      </c>
      <c r="L1670" s="64" t="s">
        <v>845</v>
      </c>
      <c r="M1670" s="65">
        <f t="shared" si="281"/>
        <v>1341</v>
      </c>
      <c r="N1670" s="65">
        <f t="shared" si="276"/>
        <v>1341</v>
      </c>
      <c r="O1670" s="65">
        <v>1341</v>
      </c>
      <c r="P1670" s="65">
        <v>1340</v>
      </c>
      <c r="Q1670" s="65">
        <f t="shared" si="277"/>
        <v>294.8</v>
      </c>
      <c r="R1670" s="65">
        <f t="shared" si="278"/>
        <v>1634.8</v>
      </c>
      <c r="S1670" s="272"/>
      <c r="T1670" s="64">
        <v>94</v>
      </c>
      <c r="U1670" s="270"/>
      <c r="V1670" s="38">
        <v>1499</v>
      </c>
      <c r="W1670" s="38">
        <f t="shared" si="279"/>
        <v>329.78</v>
      </c>
      <c r="X1670" s="38">
        <f t="shared" si="280"/>
        <v>1828.78</v>
      </c>
    </row>
    <row r="1671" spans="1:24" ht="52.5" customHeight="1" x14ac:dyDescent="0.35">
      <c r="A1671" s="56" t="s">
        <v>3889</v>
      </c>
      <c r="B1671" s="2">
        <v>1574</v>
      </c>
      <c r="C1671" s="89">
        <v>102002204</v>
      </c>
      <c r="D1671" s="106" t="s">
        <v>675</v>
      </c>
      <c r="E1671" s="74" t="s">
        <v>2184</v>
      </c>
      <c r="F1671" s="75">
        <v>1</v>
      </c>
      <c r="G1671" s="64" t="s">
        <v>0</v>
      </c>
      <c r="H1671" s="61">
        <v>42004</v>
      </c>
      <c r="I1671" s="107" t="s">
        <v>976</v>
      </c>
      <c r="J1671" s="63" t="s">
        <v>1917</v>
      </c>
      <c r="K1671" s="108" t="s">
        <v>789</v>
      </c>
      <c r="L1671" s="64" t="s">
        <v>845</v>
      </c>
      <c r="M1671" s="65">
        <f t="shared" si="281"/>
        <v>104831</v>
      </c>
      <c r="N1671" s="65">
        <f t="shared" si="276"/>
        <v>104831</v>
      </c>
      <c r="O1671" s="65">
        <v>104831</v>
      </c>
      <c r="P1671" s="65">
        <v>104860</v>
      </c>
      <c r="Q1671" s="65">
        <f t="shared" si="277"/>
        <v>23069.200000000001</v>
      </c>
      <c r="R1671" s="65">
        <f t="shared" si="278"/>
        <v>127929.2</v>
      </c>
      <c r="S1671" s="272"/>
      <c r="T1671" s="64">
        <v>94</v>
      </c>
      <c r="U1671" s="270"/>
      <c r="V1671" s="38">
        <v>117167</v>
      </c>
      <c r="W1671" s="38">
        <f t="shared" si="279"/>
        <v>25776.74</v>
      </c>
      <c r="X1671" s="38">
        <f t="shared" si="280"/>
        <v>142943.74</v>
      </c>
    </row>
    <row r="1672" spans="1:24" ht="15" customHeight="1" x14ac:dyDescent="0.35">
      <c r="A1672" s="56" t="s">
        <v>3890</v>
      </c>
      <c r="B1672" s="2">
        <v>1575</v>
      </c>
      <c r="C1672" s="109">
        <v>102002204</v>
      </c>
      <c r="D1672" s="110" t="s">
        <v>857</v>
      </c>
      <c r="E1672" s="74" t="s">
        <v>2151</v>
      </c>
      <c r="F1672" s="91">
        <v>1</v>
      </c>
      <c r="G1672" s="64" t="s">
        <v>0</v>
      </c>
      <c r="H1672" s="124">
        <v>42004</v>
      </c>
      <c r="I1672" s="63" t="s">
        <v>972</v>
      </c>
      <c r="J1672" s="63" t="s">
        <v>1917</v>
      </c>
      <c r="K1672" s="63" t="s">
        <v>961</v>
      </c>
      <c r="L1672" s="61" t="s">
        <v>845</v>
      </c>
      <c r="M1672" s="65">
        <f t="shared" si="281"/>
        <v>104831</v>
      </c>
      <c r="N1672" s="65">
        <f t="shared" si="276"/>
        <v>104831</v>
      </c>
      <c r="O1672" s="65">
        <v>104831</v>
      </c>
      <c r="P1672" s="65">
        <v>104860</v>
      </c>
      <c r="Q1672" s="65">
        <f t="shared" si="277"/>
        <v>23069.200000000001</v>
      </c>
      <c r="R1672" s="65">
        <f t="shared" si="278"/>
        <v>127929.2</v>
      </c>
      <c r="S1672" s="272"/>
      <c r="T1672" s="64">
        <v>94</v>
      </c>
      <c r="U1672" s="270"/>
      <c r="V1672" s="38">
        <v>117167</v>
      </c>
      <c r="W1672" s="38">
        <f t="shared" si="279"/>
        <v>25776.74</v>
      </c>
      <c r="X1672" s="38">
        <f t="shared" si="280"/>
        <v>142943.74</v>
      </c>
    </row>
    <row r="1673" spans="1:24" ht="15" customHeight="1" x14ac:dyDescent="0.35">
      <c r="A1673" s="56" t="s">
        <v>3891</v>
      </c>
      <c r="B1673" s="2">
        <v>1576</v>
      </c>
      <c r="C1673" s="109">
        <v>10099180</v>
      </c>
      <c r="D1673" s="110" t="s">
        <v>947</v>
      </c>
      <c r="E1673" s="74" t="s">
        <v>2147</v>
      </c>
      <c r="F1673" s="114">
        <v>88</v>
      </c>
      <c r="G1673" s="64" t="s">
        <v>0</v>
      </c>
      <c r="H1673" s="111" t="s">
        <v>2145</v>
      </c>
      <c r="I1673" s="63" t="s">
        <v>972</v>
      </c>
      <c r="J1673" s="63" t="s">
        <v>1917</v>
      </c>
      <c r="K1673" s="63" t="s">
        <v>961</v>
      </c>
      <c r="L1673" s="61" t="s">
        <v>845</v>
      </c>
      <c r="M1673" s="65">
        <f t="shared" si="281"/>
        <v>1316107.6299999999</v>
      </c>
      <c r="N1673" s="65">
        <f t="shared" si="276"/>
        <v>14955.77</v>
      </c>
      <c r="O1673" s="65">
        <v>1316107.6299999999</v>
      </c>
      <c r="P1673" s="65">
        <v>1772250</v>
      </c>
      <c r="Q1673" s="65">
        <f t="shared" si="277"/>
        <v>389895</v>
      </c>
      <c r="R1673" s="65">
        <f t="shared" si="278"/>
        <v>2162145</v>
      </c>
      <c r="S1673" s="272"/>
      <c r="T1673" s="64">
        <v>94</v>
      </c>
      <c r="U1673" s="270"/>
      <c r="V1673" s="38">
        <v>1980166</v>
      </c>
      <c r="W1673" s="38">
        <f t="shared" si="279"/>
        <v>435636.52</v>
      </c>
      <c r="X1673" s="38">
        <f t="shared" si="280"/>
        <v>2415802.52</v>
      </c>
    </row>
    <row r="1674" spans="1:24" ht="15" customHeight="1" x14ac:dyDescent="0.35">
      <c r="A1674" s="56" t="s">
        <v>3892</v>
      </c>
      <c r="B1674" s="2">
        <v>1577</v>
      </c>
      <c r="C1674" s="109">
        <v>10132591</v>
      </c>
      <c r="D1674" s="110" t="s">
        <v>948</v>
      </c>
      <c r="E1674" s="74" t="s">
        <v>2147</v>
      </c>
      <c r="F1674" s="114">
        <v>176</v>
      </c>
      <c r="G1674" s="64" t="s">
        <v>0</v>
      </c>
      <c r="H1674" s="111" t="s">
        <v>2145</v>
      </c>
      <c r="I1674" s="63" t="s">
        <v>972</v>
      </c>
      <c r="J1674" s="63" t="s">
        <v>1917</v>
      </c>
      <c r="K1674" s="63" t="s">
        <v>961</v>
      </c>
      <c r="L1674" s="61" t="s">
        <v>845</v>
      </c>
      <c r="M1674" s="65">
        <f t="shared" si="281"/>
        <v>1580369.12</v>
      </c>
      <c r="N1674" s="65">
        <f t="shared" si="276"/>
        <v>8979.3700000000008</v>
      </c>
      <c r="O1674" s="65">
        <v>1580369.12</v>
      </c>
      <c r="P1674" s="65">
        <v>2128100</v>
      </c>
      <c r="Q1674" s="65">
        <f t="shared" si="277"/>
        <v>468182</v>
      </c>
      <c r="R1674" s="65">
        <f t="shared" si="278"/>
        <v>2596282</v>
      </c>
      <c r="S1674" s="272"/>
      <c r="T1674" s="64">
        <v>94</v>
      </c>
      <c r="U1674" s="270"/>
      <c r="V1674" s="38">
        <v>2377764</v>
      </c>
      <c r="W1674" s="38">
        <f t="shared" si="279"/>
        <v>523108.08</v>
      </c>
      <c r="X1674" s="38">
        <f t="shared" si="280"/>
        <v>2900872.08</v>
      </c>
    </row>
    <row r="1675" spans="1:24" ht="15" customHeight="1" x14ac:dyDescent="0.35">
      <c r="A1675" s="56" t="s">
        <v>3893</v>
      </c>
      <c r="B1675" s="2">
        <v>1578</v>
      </c>
      <c r="C1675" s="109">
        <v>10129244</v>
      </c>
      <c r="D1675" s="110" t="s">
        <v>949</v>
      </c>
      <c r="E1675" s="74" t="s">
        <v>2147</v>
      </c>
      <c r="F1675" s="114">
        <v>88</v>
      </c>
      <c r="G1675" s="64" t="s">
        <v>0</v>
      </c>
      <c r="H1675" s="111" t="s">
        <v>2145</v>
      </c>
      <c r="I1675" s="63" t="s">
        <v>972</v>
      </c>
      <c r="J1675" s="63" t="s">
        <v>1917</v>
      </c>
      <c r="K1675" s="63" t="s">
        <v>961</v>
      </c>
      <c r="L1675" s="61" t="s">
        <v>845</v>
      </c>
      <c r="M1675" s="65">
        <f t="shared" si="281"/>
        <v>728640</v>
      </c>
      <c r="N1675" s="65">
        <f t="shared" si="276"/>
        <v>8280</v>
      </c>
      <c r="O1675" s="65">
        <v>728640</v>
      </c>
      <c r="P1675" s="65">
        <v>981170</v>
      </c>
      <c r="Q1675" s="65">
        <f t="shared" si="277"/>
        <v>215857.4</v>
      </c>
      <c r="R1675" s="65">
        <f t="shared" si="278"/>
        <v>1197027.3999999999</v>
      </c>
      <c r="S1675" s="276"/>
      <c r="T1675" s="64">
        <v>94</v>
      </c>
      <c r="U1675" s="270"/>
      <c r="V1675" s="38">
        <v>1096284</v>
      </c>
      <c r="W1675" s="38">
        <f t="shared" si="279"/>
        <v>241182.48</v>
      </c>
      <c r="X1675" s="38">
        <f t="shared" si="280"/>
        <v>1337466.48</v>
      </c>
    </row>
    <row r="1676" spans="1:24" ht="15" customHeight="1" x14ac:dyDescent="0.35">
      <c r="A1676" s="56"/>
      <c r="B1676" s="15"/>
      <c r="C1676" s="77"/>
      <c r="D1676" s="74"/>
      <c r="E1676" s="74"/>
      <c r="F1676" s="75"/>
      <c r="G1676" s="64"/>
      <c r="H1676" s="61"/>
      <c r="I1676" s="61"/>
      <c r="J1676" s="63"/>
      <c r="K1676" s="101"/>
      <c r="L1676" s="88"/>
      <c r="M1676" s="76"/>
      <c r="N1676" s="76"/>
      <c r="O1676" s="81">
        <f>SUM(O1647:O1675)</f>
        <v>10388631.630000001</v>
      </c>
      <c r="P1676" s="81">
        <f t="shared" ref="P1676:R1676" si="282">SUM(P1647:P1675)</f>
        <v>13592490</v>
      </c>
      <c r="Q1676" s="81">
        <f t="shared" si="282"/>
        <v>2990347.8</v>
      </c>
      <c r="R1676" s="81">
        <f t="shared" si="282"/>
        <v>16582837.800000001</v>
      </c>
      <c r="S1676" s="72">
        <f>R1676/100*10</f>
        <v>1658283.78</v>
      </c>
      <c r="T1676" s="73">
        <v>94</v>
      </c>
      <c r="U1676" s="271"/>
      <c r="V1676" s="38"/>
      <c r="W1676" s="38"/>
      <c r="X1676" s="38"/>
    </row>
    <row r="1677" spans="1:24" ht="15" customHeight="1" x14ac:dyDescent="0.35">
      <c r="A1677" s="56" t="s">
        <v>3894</v>
      </c>
      <c r="B1677" s="2">
        <v>1579</v>
      </c>
      <c r="C1677" s="77">
        <v>10129770</v>
      </c>
      <c r="D1677" s="74" t="s">
        <v>1826</v>
      </c>
      <c r="E1677" s="59" t="s">
        <v>2167</v>
      </c>
      <c r="F1677" s="75">
        <v>17</v>
      </c>
      <c r="G1677" s="64" t="s">
        <v>0</v>
      </c>
      <c r="H1677" s="78">
        <v>42004</v>
      </c>
      <c r="I1677" s="4" t="s">
        <v>957</v>
      </c>
      <c r="J1677" s="63" t="s">
        <v>1917</v>
      </c>
      <c r="K1677" s="63" t="s">
        <v>961</v>
      </c>
      <c r="L1677" s="69" t="s">
        <v>950</v>
      </c>
      <c r="M1677" s="70">
        <f t="shared" si="281"/>
        <v>22708.77</v>
      </c>
      <c r="N1677" s="70">
        <f>O1677/F1677</f>
        <v>1335.81</v>
      </c>
      <c r="O1677" s="70">
        <v>22708.77</v>
      </c>
      <c r="P1677" s="65">
        <v>43150</v>
      </c>
      <c r="Q1677" s="65">
        <f t="shared" si="277"/>
        <v>9493</v>
      </c>
      <c r="R1677" s="65">
        <f t="shared" si="278"/>
        <v>52643</v>
      </c>
      <c r="S1677" s="267"/>
      <c r="T1677" s="64">
        <v>95</v>
      </c>
      <c r="U1677" s="273" t="s">
        <v>2296</v>
      </c>
      <c r="V1677" s="38">
        <v>43148</v>
      </c>
      <c r="W1677" s="38">
        <f t="shared" si="279"/>
        <v>9492.56</v>
      </c>
      <c r="X1677" s="38">
        <f t="shared" si="280"/>
        <v>52640.56</v>
      </c>
    </row>
    <row r="1678" spans="1:24" ht="15" customHeight="1" x14ac:dyDescent="0.35">
      <c r="A1678" s="56" t="s">
        <v>3895</v>
      </c>
      <c r="B1678" s="2">
        <v>1580</v>
      </c>
      <c r="C1678" s="11">
        <v>10139659</v>
      </c>
      <c r="D1678" s="3" t="s">
        <v>1396</v>
      </c>
      <c r="E1678" s="59" t="s">
        <v>2167</v>
      </c>
      <c r="F1678" s="14">
        <v>1</v>
      </c>
      <c r="G1678" s="64" t="s">
        <v>0</v>
      </c>
      <c r="H1678" s="5">
        <v>41091</v>
      </c>
      <c r="I1678" s="4" t="s">
        <v>957</v>
      </c>
      <c r="J1678" s="6" t="s">
        <v>1362</v>
      </c>
      <c r="K1678" s="63" t="s">
        <v>961</v>
      </c>
      <c r="L1678" s="69" t="s">
        <v>950</v>
      </c>
      <c r="M1678" s="70">
        <f t="shared" si="281"/>
        <v>17668</v>
      </c>
      <c r="N1678" s="70">
        <f>O1678/F1678</f>
        <v>17668</v>
      </c>
      <c r="O1678" s="70">
        <v>17668</v>
      </c>
      <c r="P1678" s="65">
        <v>32230</v>
      </c>
      <c r="Q1678" s="65">
        <f t="shared" si="277"/>
        <v>7090.6</v>
      </c>
      <c r="R1678" s="65">
        <f t="shared" si="278"/>
        <v>39320.6</v>
      </c>
      <c r="S1678" s="276"/>
      <c r="T1678" s="64">
        <v>95</v>
      </c>
      <c r="U1678" s="270"/>
      <c r="V1678" s="38">
        <v>32226</v>
      </c>
      <c r="W1678" s="38">
        <f t="shared" si="279"/>
        <v>7089.72</v>
      </c>
      <c r="X1678" s="38">
        <f t="shared" si="280"/>
        <v>39315.72</v>
      </c>
    </row>
    <row r="1679" spans="1:24" ht="15" customHeight="1" x14ac:dyDescent="0.35">
      <c r="A1679" s="56"/>
      <c r="B1679" s="15"/>
      <c r="C1679" s="11"/>
      <c r="D1679" s="3"/>
      <c r="E1679" s="59"/>
      <c r="F1679" s="14"/>
      <c r="G1679" s="64"/>
      <c r="H1679" s="5"/>
      <c r="I1679" s="4"/>
      <c r="J1679" s="6"/>
      <c r="K1679" s="63"/>
      <c r="L1679" s="69"/>
      <c r="M1679" s="70"/>
      <c r="N1679" s="70"/>
      <c r="O1679" s="71">
        <f>SUM(O1677:O1678)</f>
        <v>40376.769999999997</v>
      </c>
      <c r="P1679" s="71">
        <f t="shared" ref="P1679:R1679" si="283">SUM(P1677:P1678)</f>
        <v>75380</v>
      </c>
      <c r="Q1679" s="71">
        <f t="shared" si="283"/>
        <v>16583.599999999999</v>
      </c>
      <c r="R1679" s="71">
        <f t="shared" si="283"/>
        <v>91963.6</v>
      </c>
      <c r="S1679" s="72">
        <f>R1679/100*10</f>
        <v>9196.36</v>
      </c>
      <c r="T1679" s="73">
        <v>95</v>
      </c>
      <c r="U1679" s="271"/>
      <c r="V1679" s="38"/>
      <c r="W1679" s="38"/>
      <c r="X1679" s="38"/>
    </row>
    <row r="1680" spans="1:24" ht="15.75" customHeight="1" x14ac:dyDescent="0.35">
      <c r="A1680" s="56" t="s">
        <v>3896</v>
      </c>
      <c r="B1680" s="2">
        <v>1581</v>
      </c>
      <c r="C1680" s="77">
        <v>10039494</v>
      </c>
      <c r="D1680" s="74" t="s">
        <v>73</v>
      </c>
      <c r="E1680" s="59" t="s">
        <v>2167</v>
      </c>
      <c r="F1680" s="75">
        <v>5</v>
      </c>
      <c r="G1680" s="64" t="s">
        <v>0</v>
      </c>
      <c r="H1680" s="101">
        <v>2014</v>
      </c>
      <c r="I1680" s="4" t="s">
        <v>957</v>
      </c>
      <c r="J1680" s="61" t="s">
        <v>1917</v>
      </c>
      <c r="K1680" s="101" t="s">
        <v>2027</v>
      </c>
      <c r="L1680" s="61" t="s">
        <v>2097</v>
      </c>
      <c r="M1680" s="65">
        <f t="shared" si="281"/>
        <v>1610.15</v>
      </c>
      <c r="N1680" s="65">
        <f>O1680/F1680</f>
        <v>322.02999999999997</v>
      </c>
      <c r="O1680" s="65">
        <v>1610.15</v>
      </c>
      <c r="P1680" s="65">
        <v>2480</v>
      </c>
      <c r="Q1680" s="65">
        <f t="shared" si="277"/>
        <v>545.6</v>
      </c>
      <c r="R1680" s="65">
        <f t="shared" si="278"/>
        <v>3025.6</v>
      </c>
      <c r="S1680" s="198"/>
      <c r="T1680" s="64">
        <v>96</v>
      </c>
      <c r="U1680" s="270" t="s">
        <v>2296</v>
      </c>
      <c r="V1680" s="38">
        <v>2482</v>
      </c>
      <c r="W1680" s="38">
        <f t="shared" si="279"/>
        <v>546.04</v>
      </c>
      <c r="X1680" s="38">
        <f t="shared" si="280"/>
        <v>3028.04</v>
      </c>
    </row>
    <row r="1681" spans="1:24" ht="15.75" customHeight="1" x14ac:dyDescent="0.35">
      <c r="A1681" s="56"/>
      <c r="B1681" s="15"/>
      <c r="C1681" s="77"/>
      <c r="D1681" s="74"/>
      <c r="E1681" s="74"/>
      <c r="F1681" s="75"/>
      <c r="G1681" s="64"/>
      <c r="H1681" s="101"/>
      <c r="I1681" s="4"/>
      <c r="J1681" s="61"/>
      <c r="K1681" s="101"/>
      <c r="L1681" s="61"/>
      <c r="M1681" s="65"/>
      <c r="N1681" s="65"/>
      <c r="O1681" s="126">
        <f>SUM(O1680:O1680)</f>
        <v>1610.15</v>
      </c>
      <c r="P1681" s="126">
        <f t="shared" ref="P1681:R1681" si="284">SUM(P1680:P1680)</f>
        <v>2480</v>
      </c>
      <c r="Q1681" s="126">
        <f t="shared" si="284"/>
        <v>545.6</v>
      </c>
      <c r="R1681" s="126">
        <f t="shared" si="284"/>
        <v>3025.6</v>
      </c>
      <c r="S1681" s="72">
        <f>R1681/100*10</f>
        <v>302.56</v>
      </c>
      <c r="T1681" s="73">
        <v>96</v>
      </c>
      <c r="U1681" s="271"/>
      <c r="V1681" s="38"/>
      <c r="W1681" s="38"/>
      <c r="X1681" s="38"/>
    </row>
    <row r="1682" spans="1:24" ht="38.25" customHeight="1" x14ac:dyDescent="0.35">
      <c r="A1682" s="56" t="s">
        <v>3897</v>
      </c>
      <c r="B1682" s="2">
        <v>1582</v>
      </c>
      <c r="C1682" s="39">
        <v>102010538</v>
      </c>
      <c r="D1682" s="40" t="s">
        <v>1315</v>
      </c>
      <c r="E1682" s="40" t="s">
        <v>2173</v>
      </c>
      <c r="F1682" s="43">
        <v>46</v>
      </c>
      <c r="G1682" s="64" t="s">
        <v>0</v>
      </c>
      <c r="H1682" s="42">
        <v>42318</v>
      </c>
      <c r="I1682" s="94" t="s">
        <v>1316</v>
      </c>
      <c r="J1682" s="199" t="s">
        <v>1317</v>
      </c>
      <c r="K1682" s="63" t="s">
        <v>961</v>
      </c>
      <c r="L1682" s="69" t="s">
        <v>950</v>
      </c>
      <c r="M1682" s="70">
        <f t="shared" si="281"/>
        <v>156490.16</v>
      </c>
      <c r="N1682" s="70">
        <f t="shared" ref="N1682:N1687" si="285">O1682/F1682</f>
        <v>3401.96</v>
      </c>
      <c r="O1682" s="70">
        <v>156490.16</v>
      </c>
      <c r="P1682" s="65">
        <v>234690</v>
      </c>
      <c r="Q1682" s="65">
        <f t="shared" si="277"/>
        <v>51631.8</v>
      </c>
      <c r="R1682" s="65">
        <f t="shared" si="278"/>
        <v>286321.8</v>
      </c>
      <c r="S1682" s="267"/>
      <c r="T1682" s="64">
        <v>97</v>
      </c>
      <c r="U1682" s="273" t="s">
        <v>2297</v>
      </c>
      <c r="V1682" s="38">
        <v>255936</v>
      </c>
      <c r="W1682" s="38">
        <f t="shared" si="279"/>
        <v>56305.919999999998</v>
      </c>
      <c r="X1682" s="38">
        <f t="shared" si="280"/>
        <v>312241.91999999998</v>
      </c>
    </row>
    <row r="1683" spans="1:24" ht="15" customHeight="1" x14ac:dyDescent="0.35">
      <c r="A1683" s="56" t="s">
        <v>3898</v>
      </c>
      <c r="B1683" s="2">
        <v>1583</v>
      </c>
      <c r="C1683" s="77">
        <v>10038545</v>
      </c>
      <c r="D1683" s="74" t="s">
        <v>1465</v>
      </c>
      <c r="E1683" s="59" t="s">
        <v>2167</v>
      </c>
      <c r="F1683" s="75">
        <v>2</v>
      </c>
      <c r="G1683" s="64" t="s">
        <v>0</v>
      </c>
      <c r="H1683" s="78">
        <v>41092</v>
      </c>
      <c r="I1683" s="4" t="s">
        <v>957</v>
      </c>
      <c r="J1683" s="63" t="s">
        <v>1917</v>
      </c>
      <c r="K1683" s="63" t="s">
        <v>961</v>
      </c>
      <c r="L1683" s="69" t="s">
        <v>950</v>
      </c>
      <c r="M1683" s="70">
        <f t="shared" si="281"/>
        <v>432.84</v>
      </c>
      <c r="N1683" s="70">
        <f t="shared" si="285"/>
        <v>216.42</v>
      </c>
      <c r="O1683" s="70">
        <v>432.84</v>
      </c>
      <c r="P1683" s="65">
        <v>720</v>
      </c>
      <c r="Q1683" s="65">
        <f t="shared" si="277"/>
        <v>158.4</v>
      </c>
      <c r="R1683" s="65">
        <f t="shared" si="278"/>
        <v>878.4</v>
      </c>
      <c r="S1683" s="272"/>
      <c r="T1683" s="64">
        <v>97</v>
      </c>
      <c r="U1683" s="270"/>
      <c r="V1683" s="38">
        <v>789</v>
      </c>
      <c r="W1683" s="38">
        <f t="shared" si="279"/>
        <v>173.58</v>
      </c>
      <c r="X1683" s="38">
        <f t="shared" si="280"/>
        <v>962.58</v>
      </c>
    </row>
    <row r="1684" spans="1:24" ht="45" customHeight="1" x14ac:dyDescent="0.35">
      <c r="A1684" s="56" t="s">
        <v>3899</v>
      </c>
      <c r="B1684" s="2">
        <v>1584</v>
      </c>
      <c r="C1684" s="77">
        <v>10051176</v>
      </c>
      <c r="D1684" s="74" t="s">
        <v>1467</v>
      </c>
      <c r="E1684" s="59" t="s">
        <v>2167</v>
      </c>
      <c r="F1684" s="75">
        <v>1</v>
      </c>
      <c r="G1684" s="64" t="s">
        <v>0</v>
      </c>
      <c r="H1684" s="78">
        <v>39692</v>
      </c>
      <c r="I1684" s="4" t="s">
        <v>957</v>
      </c>
      <c r="J1684" s="63" t="s">
        <v>1917</v>
      </c>
      <c r="K1684" s="63" t="s">
        <v>961</v>
      </c>
      <c r="L1684" s="69" t="s">
        <v>950</v>
      </c>
      <c r="M1684" s="70">
        <f t="shared" si="281"/>
        <v>11297.39</v>
      </c>
      <c r="N1684" s="70">
        <f t="shared" si="285"/>
        <v>11297.39</v>
      </c>
      <c r="O1684" s="70">
        <v>11297.39</v>
      </c>
      <c r="P1684" s="65">
        <v>23120</v>
      </c>
      <c r="Q1684" s="65">
        <f t="shared" si="277"/>
        <v>5086.3999999999996</v>
      </c>
      <c r="R1684" s="65">
        <f t="shared" si="278"/>
        <v>28206.400000000001</v>
      </c>
      <c r="S1684" s="272"/>
      <c r="T1684" s="64">
        <v>97</v>
      </c>
      <c r="U1684" s="270"/>
      <c r="V1684" s="38">
        <v>25217</v>
      </c>
      <c r="W1684" s="38">
        <f t="shared" si="279"/>
        <v>5547.74</v>
      </c>
      <c r="X1684" s="38">
        <f t="shared" si="280"/>
        <v>30764.74</v>
      </c>
    </row>
    <row r="1685" spans="1:24" ht="15" customHeight="1" x14ac:dyDescent="0.35">
      <c r="A1685" s="56" t="s">
        <v>3900</v>
      </c>
      <c r="B1685" s="2">
        <v>1585</v>
      </c>
      <c r="C1685" s="77">
        <v>102000935</v>
      </c>
      <c r="D1685" s="74" t="s">
        <v>1853</v>
      </c>
      <c r="E1685" s="59" t="s">
        <v>2167</v>
      </c>
      <c r="F1685" s="75">
        <v>2</v>
      </c>
      <c r="G1685" s="64" t="s">
        <v>0</v>
      </c>
      <c r="H1685" s="78">
        <v>42003</v>
      </c>
      <c r="I1685" s="4" t="s">
        <v>957</v>
      </c>
      <c r="J1685" s="63" t="s">
        <v>1917</v>
      </c>
      <c r="K1685" s="63" t="s">
        <v>961</v>
      </c>
      <c r="L1685" s="69" t="s">
        <v>950</v>
      </c>
      <c r="M1685" s="70">
        <f t="shared" si="281"/>
        <v>140359.72</v>
      </c>
      <c r="N1685" s="70">
        <f t="shared" si="285"/>
        <v>70179.86</v>
      </c>
      <c r="O1685" s="70">
        <v>140359.72</v>
      </c>
      <c r="P1685" s="65">
        <v>233330</v>
      </c>
      <c r="Q1685" s="65">
        <f t="shared" si="277"/>
        <v>51332.6</v>
      </c>
      <c r="R1685" s="65">
        <f t="shared" si="278"/>
        <v>284662.59999999998</v>
      </c>
      <c r="S1685" s="272"/>
      <c r="T1685" s="64">
        <v>97</v>
      </c>
      <c r="U1685" s="270"/>
      <c r="V1685" s="38">
        <v>254448</v>
      </c>
      <c r="W1685" s="38">
        <f t="shared" si="279"/>
        <v>55978.559999999998</v>
      </c>
      <c r="X1685" s="38">
        <f t="shared" si="280"/>
        <v>310426.56</v>
      </c>
    </row>
    <row r="1686" spans="1:24" ht="15" customHeight="1" x14ac:dyDescent="0.35">
      <c r="A1686" s="56" t="s">
        <v>3901</v>
      </c>
      <c r="B1686" s="2">
        <v>1586</v>
      </c>
      <c r="C1686" s="11">
        <v>10152030</v>
      </c>
      <c r="D1686" s="3" t="s">
        <v>1373</v>
      </c>
      <c r="E1686" s="59" t="s">
        <v>2167</v>
      </c>
      <c r="F1686" s="14">
        <v>2</v>
      </c>
      <c r="G1686" s="64" t="s">
        <v>0</v>
      </c>
      <c r="H1686" s="5">
        <v>41487</v>
      </c>
      <c r="I1686" s="4" t="s">
        <v>957</v>
      </c>
      <c r="J1686" s="6" t="s">
        <v>1362</v>
      </c>
      <c r="K1686" s="63" t="s">
        <v>961</v>
      </c>
      <c r="L1686" s="69" t="s">
        <v>950</v>
      </c>
      <c r="M1686" s="70">
        <f t="shared" si="281"/>
        <v>1708</v>
      </c>
      <c r="N1686" s="70">
        <f t="shared" si="285"/>
        <v>854</v>
      </c>
      <c r="O1686" s="70">
        <v>1708</v>
      </c>
      <c r="P1686" s="65">
        <v>2750</v>
      </c>
      <c r="Q1686" s="65">
        <f t="shared" si="277"/>
        <v>605</v>
      </c>
      <c r="R1686" s="65">
        <f t="shared" si="278"/>
        <v>3355</v>
      </c>
      <c r="S1686" s="272"/>
      <c r="T1686" s="64">
        <v>97</v>
      </c>
      <c r="U1686" s="270"/>
      <c r="V1686" s="38">
        <v>2999</v>
      </c>
      <c r="W1686" s="38">
        <f t="shared" si="279"/>
        <v>659.78</v>
      </c>
      <c r="X1686" s="38">
        <f t="shared" si="280"/>
        <v>3658.78</v>
      </c>
    </row>
    <row r="1687" spans="1:24" ht="15" customHeight="1" x14ac:dyDescent="0.35">
      <c r="A1687" s="56" t="s">
        <v>3902</v>
      </c>
      <c r="B1687" s="2">
        <v>1587</v>
      </c>
      <c r="C1687" s="11">
        <v>10145393</v>
      </c>
      <c r="D1687" s="3" t="s">
        <v>1883</v>
      </c>
      <c r="E1687" s="59" t="s">
        <v>2167</v>
      </c>
      <c r="F1687" s="14">
        <v>9</v>
      </c>
      <c r="G1687" s="64" t="s">
        <v>0</v>
      </c>
      <c r="H1687" s="5">
        <v>41365</v>
      </c>
      <c r="I1687" s="4" t="s">
        <v>957</v>
      </c>
      <c r="J1687" s="63" t="s">
        <v>1917</v>
      </c>
      <c r="K1687" s="63" t="s">
        <v>961</v>
      </c>
      <c r="L1687" s="69" t="s">
        <v>950</v>
      </c>
      <c r="M1687" s="70">
        <f t="shared" si="281"/>
        <v>11094.92</v>
      </c>
      <c r="N1687" s="70">
        <f t="shared" si="285"/>
        <v>1232.77</v>
      </c>
      <c r="O1687" s="70">
        <v>11094.92</v>
      </c>
      <c r="P1687" s="65">
        <v>18060</v>
      </c>
      <c r="Q1687" s="65">
        <f t="shared" si="277"/>
        <v>3973.2</v>
      </c>
      <c r="R1687" s="65">
        <f t="shared" si="278"/>
        <v>22033.200000000001</v>
      </c>
      <c r="S1687" s="276"/>
      <c r="T1687" s="64">
        <v>97</v>
      </c>
      <c r="U1687" s="270"/>
      <c r="V1687" s="38">
        <v>19693</v>
      </c>
      <c r="W1687" s="38">
        <f t="shared" si="279"/>
        <v>4332.46</v>
      </c>
      <c r="X1687" s="38">
        <f t="shared" si="280"/>
        <v>24025.46</v>
      </c>
    </row>
    <row r="1688" spans="1:24" ht="15" customHeight="1" x14ac:dyDescent="0.35">
      <c r="A1688" s="56"/>
      <c r="B1688" s="15"/>
      <c r="C1688" s="77"/>
      <c r="D1688" s="74"/>
      <c r="E1688" s="74"/>
      <c r="F1688" s="75"/>
      <c r="G1688" s="75"/>
      <c r="H1688" s="61"/>
      <c r="I1688" s="4"/>
      <c r="J1688" s="63"/>
      <c r="K1688" s="63"/>
      <c r="L1688" s="63"/>
      <c r="M1688" s="117"/>
      <c r="N1688" s="117"/>
      <c r="O1688" s="118">
        <f>SUM(O1682:O1687)</f>
        <v>321383.03000000003</v>
      </c>
      <c r="P1688" s="118">
        <f t="shared" ref="P1688:R1688" si="286">SUM(P1682:P1687)</f>
        <v>512670</v>
      </c>
      <c r="Q1688" s="118">
        <f t="shared" si="286"/>
        <v>112787.4</v>
      </c>
      <c r="R1688" s="118">
        <f t="shared" si="286"/>
        <v>625457.4</v>
      </c>
      <c r="S1688" s="72">
        <f>R1688/100*10</f>
        <v>62545.74</v>
      </c>
      <c r="T1688" s="73">
        <v>97</v>
      </c>
      <c r="U1688" s="271"/>
      <c r="V1688" s="38"/>
      <c r="W1688" s="38"/>
      <c r="X1688" s="38"/>
    </row>
    <row r="1689" spans="1:24" ht="41.25" customHeight="1" x14ac:dyDescent="0.35">
      <c r="A1689" s="56" t="s">
        <v>3903</v>
      </c>
      <c r="B1689" s="2">
        <v>1588</v>
      </c>
      <c r="C1689" s="77">
        <v>102009306</v>
      </c>
      <c r="D1689" s="74" t="s">
        <v>209</v>
      </c>
      <c r="E1689" s="74" t="s">
        <v>4175</v>
      </c>
      <c r="F1689" s="75">
        <f>6-2</f>
        <v>4</v>
      </c>
      <c r="G1689" s="64" t="s">
        <v>0</v>
      </c>
      <c r="H1689" s="61">
        <v>42247</v>
      </c>
      <c r="I1689" s="61" t="s">
        <v>958</v>
      </c>
      <c r="J1689" s="63" t="s">
        <v>1917</v>
      </c>
      <c r="K1689" s="88" t="s">
        <v>1960</v>
      </c>
      <c r="L1689" s="88" t="s">
        <v>845</v>
      </c>
      <c r="M1689" s="76">
        <f t="shared" si="281"/>
        <v>107531.44</v>
      </c>
      <c r="N1689" s="76">
        <f t="shared" ref="N1689:N1694" si="287">O1689/F1689</f>
        <v>26882.86</v>
      </c>
      <c r="O1689" s="76">
        <f>161297.16/6*4</f>
        <v>107531.44</v>
      </c>
      <c r="P1689" s="65">
        <v>95210</v>
      </c>
      <c r="Q1689" s="65">
        <f t="shared" si="277"/>
        <v>20946.2</v>
      </c>
      <c r="R1689" s="65">
        <f t="shared" si="278"/>
        <v>116156.2</v>
      </c>
      <c r="S1689" s="267"/>
      <c r="T1689" s="64">
        <v>98</v>
      </c>
      <c r="U1689" s="273" t="s">
        <v>2297</v>
      </c>
      <c r="V1689" s="38">
        <v>103826</v>
      </c>
      <c r="W1689" s="38">
        <f t="shared" si="279"/>
        <v>22841.72</v>
      </c>
      <c r="X1689" s="38">
        <f t="shared" si="280"/>
        <v>126667.72</v>
      </c>
    </row>
    <row r="1690" spans="1:24" ht="30" customHeight="1" x14ac:dyDescent="0.35">
      <c r="A1690" s="56" t="s">
        <v>3904</v>
      </c>
      <c r="B1690" s="2">
        <v>1589</v>
      </c>
      <c r="C1690" s="77">
        <v>102001457</v>
      </c>
      <c r="D1690" s="74" t="s">
        <v>345</v>
      </c>
      <c r="E1690" s="74" t="s">
        <v>2151</v>
      </c>
      <c r="F1690" s="75">
        <v>2</v>
      </c>
      <c r="G1690" s="64" t="s">
        <v>0</v>
      </c>
      <c r="H1690" s="61">
        <v>42824</v>
      </c>
      <c r="I1690" s="61" t="s">
        <v>972</v>
      </c>
      <c r="J1690" s="63" t="s">
        <v>1917</v>
      </c>
      <c r="K1690" s="61" t="s">
        <v>961</v>
      </c>
      <c r="L1690" s="61" t="s">
        <v>845</v>
      </c>
      <c r="M1690" s="65">
        <f t="shared" si="281"/>
        <v>33409.86</v>
      </c>
      <c r="N1690" s="65">
        <f t="shared" si="287"/>
        <v>16704.93</v>
      </c>
      <c r="O1690" s="65">
        <v>33409.86</v>
      </c>
      <c r="P1690" s="65">
        <v>27790</v>
      </c>
      <c r="Q1690" s="65">
        <f t="shared" si="277"/>
        <v>6113.8</v>
      </c>
      <c r="R1690" s="65">
        <f t="shared" si="278"/>
        <v>33903.800000000003</v>
      </c>
      <c r="S1690" s="272"/>
      <c r="T1690" s="64">
        <v>98</v>
      </c>
      <c r="U1690" s="270"/>
      <c r="V1690" s="38">
        <v>30304</v>
      </c>
      <c r="W1690" s="38">
        <f t="shared" si="279"/>
        <v>6666.88</v>
      </c>
      <c r="X1690" s="38">
        <f t="shared" si="280"/>
        <v>36970.879999999997</v>
      </c>
    </row>
    <row r="1691" spans="1:24" ht="30" customHeight="1" x14ac:dyDescent="0.35">
      <c r="A1691" s="56" t="s">
        <v>3905</v>
      </c>
      <c r="B1691" s="2">
        <v>1590</v>
      </c>
      <c r="C1691" s="77">
        <v>102001502</v>
      </c>
      <c r="D1691" s="74" t="s">
        <v>346</v>
      </c>
      <c r="E1691" s="74" t="s">
        <v>2151</v>
      </c>
      <c r="F1691" s="75">
        <v>2</v>
      </c>
      <c r="G1691" s="64" t="s">
        <v>0</v>
      </c>
      <c r="H1691" s="61">
        <v>42824</v>
      </c>
      <c r="I1691" s="61" t="s">
        <v>972</v>
      </c>
      <c r="J1691" s="63" t="s">
        <v>1917</v>
      </c>
      <c r="K1691" s="61" t="s">
        <v>961</v>
      </c>
      <c r="L1691" s="61" t="s">
        <v>845</v>
      </c>
      <c r="M1691" s="65">
        <f t="shared" si="281"/>
        <v>32920</v>
      </c>
      <c r="N1691" s="65">
        <f t="shared" si="287"/>
        <v>16460</v>
      </c>
      <c r="O1691" s="65">
        <v>32920</v>
      </c>
      <c r="P1691" s="65">
        <v>27380</v>
      </c>
      <c r="Q1691" s="65">
        <f t="shared" si="277"/>
        <v>6023.6</v>
      </c>
      <c r="R1691" s="65">
        <f t="shared" si="278"/>
        <v>33403.599999999999</v>
      </c>
      <c r="S1691" s="272"/>
      <c r="T1691" s="64">
        <v>98</v>
      </c>
      <c r="U1691" s="270"/>
      <c r="V1691" s="38">
        <v>29860</v>
      </c>
      <c r="W1691" s="38">
        <f t="shared" si="279"/>
        <v>6569.2</v>
      </c>
      <c r="X1691" s="38">
        <f t="shared" si="280"/>
        <v>36429.199999999997</v>
      </c>
    </row>
    <row r="1692" spans="1:24" ht="15" customHeight="1" x14ac:dyDescent="0.35">
      <c r="A1692" s="56" t="s">
        <v>3906</v>
      </c>
      <c r="B1692" s="2">
        <v>1591</v>
      </c>
      <c r="C1692" s="109">
        <v>10014759</v>
      </c>
      <c r="D1692" s="110" t="s">
        <v>893</v>
      </c>
      <c r="E1692" s="74" t="s">
        <v>2151</v>
      </c>
      <c r="F1692" s="91">
        <v>1</v>
      </c>
      <c r="G1692" s="64" t="s">
        <v>0</v>
      </c>
      <c r="H1692" s="124">
        <v>42004</v>
      </c>
      <c r="I1692" s="63" t="s">
        <v>972</v>
      </c>
      <c r="J1692" s="63" t="s">
        <v>1917</v>
      </c>
      <c r="K1692" s="63" t="s">
        <v>961</v>
      </c>
      <c r="L1692" s="61" t="s">
        <v>845</v>
      </c>
      <c r="M1692" s="65">
        <f t="shared" si="281"/>
        <v>11374.04</v>
      </c>
      <c r="N1692" s="65">
        <f t="shared" si="287"/>
        <v>11374.04</v>
      </c>
      <c r="O1692" s="65">
        <v>11374.04</v>
      </c>
      <c r="P1692" s="65">
        <v>11120</v>
      </c>
      <c r="Q1692" s="65">
        <f t="shared" si="277"/>
        <v>2446.4</v>
      </c>
      <c r="R1692" s="65">
        <f t="shared" si="278"/>
        <v>13566.4</v>
      </c>
      <c r="S1692" s="272"/>
      <c r="T1692" s="64">
        <v>98</v>
      </c>
      <c r="U1692" s="270"/>
      <c r="V1692" s="38">
        <v>12129</v>
      </c>
      <c r="W1692" s="38">
        <f t="shared" si="279"/>
        <v>2668.38</v>
      </c>
      <c r="X1692" s="38">
        <f t="shared" si="280"/>
        <v>14797.38</v>
      </c>
    </row>
    <row r="1693" spans="1:24" ht="15" customHeight="1" x14ac:dyDescent="0.35">
      <c r="A1693" s="56" t="s">
        <v>3907</v>
      </c>
      <c r="B1693" s="2">
        <v>1592</v>
      </c>
      <c r="C1693" s="89">
        <v>102001204</v>
      </c>
      <c r="D1693" s="90" t="s">
        <v>2092</v>
      </c>
      <c r="E1693" s="74" t="s">
        <v>686</v>
      </c>
      <c r="F1693" s="91">
        <v>1</v>
      </c>
      <c r="G1693" s="64" t="s">
        <v>0</v>
      </c>
      <c r="H1693" s="61">
        <v>42004</v>
      </c>
      <c r="I1693" s="107" t="s">
        <v>976</v>
      </c>
      <c r="J1693" s="63" t="s">
        <v>1917</v>
      </c>
      <c r="K1693" s="63" t="s">
        <v>961</v>
      </c>
      <c r="L1693" s="69" t="s">
        <v>2093</v>
      </c>
      <c r="M1693" s="70">
        <f t="shared" si="281"/>
        <v>50305.08</v>
      </c>
      <c r="N1693" s="70">
        <f t="shared" si="287"/>
        <v>50305.08</v>
      </c>
      <c r="O1693" s="70">
        <v>50305.08</v>
      </c>
      <c r="P1693" s="65">
        <v>49190</v>
      </c>
      <c r="Q1693" s="65">
        <f t="shared" si="277"/>
        <v>10821.8</v>
      </c>
      <c r="R1693" s="65">
        <f t="shared" si="278"/>
        <v>60011.8</v>
      </c>
      <c r="S1693" s="272"/>
      <c r="T1693" s="64">
        <v>98</v>
      </c>
      <c r="U1693" s="270"/>
      <c r="V1693" s="38">
        <v>53644</v>
      </c>
      <c r="W1693" s="38">
        <f t="shared" si="279"/>
        <v>11801.68</v>
      </c>
      <c r="X1693" s="38">
        <f t="shared" si="280"/>
        <v>65445.68</v>
      </c>
    </row>
    <row r="1694" spans="1:24" ht="15" customHeight="1" x14ac:dyDescent="0.35">
      <c r="A1694" s="56" t="s">
        <v>3908</v>
      </c>
      <c r="B1694" s="2">
        <v>1593</v>
      </c>
      <c r="C1694" s="74">
        <v>10008728</v>
      </c>
      <c r="D1694" s="74" t="s">
        <v>2099</v>
      </c>
      <c r="E1694" s="74" t="s">
        <v>686</v>
      </c>
      <c r="F1694" s="75">
        <v>2</v>
      </c>
      <c r="G1694" s="64" t="s">
        <v>0</v>
      </c>
      <c r="H1694" s="88">
        <v>42004</v>
      </c>
      <c r="I1694" s="105" t="s">
        <v>976</v>
      </c>
      <c r="J1694" s="63" t="s">
        <v>1917</v>
      </c>
      <c r="K1694" s="93" t="s">
        <v>2099</v>
      </c>
      <c r="L1694" s="64" t="s">
        <v>845</v>
      </c>
      <c r="M1694" s="65">
        <f t="shared" si="281"/>
        <v>5411.78</v>
      </c>
      <c r="N1694" s="65">
        <f t="shared" si="287"/>
        <v>2705.89</v>
      </c>
      <c r="O1694" s="65">
        <v>5411.78</v>
      </c>
      <c r="P1694" s="65">
        <v>5290</v>
      </c>
      <c r="Q1694" s="65">
        <f t="shared" si="277"/>
        <v>1163.8</v>
      </c>
      <c r="R1694" s="65">
        <f t="shared" si="278"/>
        <v>6453.8</v>
      </c>
      <c r="S1694" s="276"/>
      <c r="T1694" s="64">
        <v>98</v>
      </c>
      <c r="U1694" s="270"/>
      <c r="V1694" s="38">
        <v>5771</v>
      </c>
      <c r="W1694" s="38">
        <f t="shared" si="279"/>
        <v>1269.6199999999999</v>
      </c>
      <c r="X1694" s="38">
        <f t="shared" si="280"/>
        <v>7040.62</v>
      </c>
    </row>
    <row r="1695" spans="1:24" ht="17.5" customHeight="1" x14ac:dyDescent="0.35">
      <c r="A1695" s="56"/>
      <c r="B1695" s="15"/>
      <c r="C1695" s="74"/>
      <c r="D1695" s="74"/>
      <c r="E1695" s="74"/>
      <c r="F1695" s="75"/>
      <c r="G1695" s="64"/>
      <c r="H1695" s="88"/>
      <c r="I1695" s="105"/>
      <c r="J1695" s="63"/>
      <c r="K1695" s="93"/>
      <c r="L1695" s="64"/>
      <c r="M1695" s="155"/>
      <c r="N1695" s="155"/>
      <c r="O1695" s="126">
        <f>SUM(O1689:O1694)</f>
        <v>240952.2</v>
      </c>
      <c r="P1695" s="126">
        <f t="shared" ref="P1695:R1695" si="288">SUM(P1689:P1694)</f>
        <v>215980</v>
      </c>
      <c r="Q1695" s="126">
        <f t="shared" si="288"/>
        <v>47515.6</v>
      </c>
      <c r="R1695" s="126">
        <f t="shared" si="288"/>
        <v>263495.59999999998</v>
      </c>
      <c r="S1695" s="72">
        <f>R1695/100*10</f>
        <v>26349.56</v>
      </c>
      <c r="T1695" s="73">
        <v>98</v>
      </c>
      <c r="U1695" s="271"/>
      <c r="V1695" s="38"/>
      <c r="W1695" s="38"/>
      <c r="X1695" s="38"/>
    </row>
    <row r="1696" spans="1:24" ht="31.5" customHeight="1" x14ac:dyDescent="0.35">
      <c r="A1696" s="262" t="s">
        <v>4005</v>
      </c>
      <c r="B1696" s="2">
        <v>1594</v>
      </c>
      <c r="C1696" s="200">
        <v>102001694</v>
      </c>
      <c r="D1696" s="59" t="s">
        <v>1371</v>
      </c>
      <c r="E1696" s="59" t="s">
        <v>2167</v>
      </c>
      <c r="F1696" s="79">
        <f>1+5</f>
        <v>6</v>
      </c>
      <c r="G1696" s="63" t="s">
        <v>0</v>
      </c>
      <c r="H1696" s="120">
        <v>2015</v>
      </c>
      <c r="I1696" s="4" t="s">
        <v>957</v>
      </c>
      <c r="J1696" s="63" t="s">
        <v>1917</v>
      </c>
      <c r="K1696" s="63" t="s">
        <v>961</v>
      </c>
      <c r="L1696" s="69" t="s">
        <v>950</v>
      </c>
      <c r="M1696" s="70">
        <f t="shared" si="281"/>
        <v>2298344.92</v>
      </c>
      <c r="N1696" s="70">
        <f t="shared" ref="N1696:N1709" si="289">O1696/F1696</f>
        <v>383057.49</v>
      </c>
      <c r="O1696" s="70">
        <v>2298344.92</v>
      </c>
      <c r="P1696" s="65">
        <v>3353520</v>
      </c>
      <c r="Q1696" s="65">
        <f t="shared" si="277"/>
        <v>737774.4</v>
      </c>
      <c r="R1696" s="65">
        <f t="shared" si="278"/>
        <v>4091294.4</v>
      </c>
      <c r="S1696" s="267"/>
      <c r="T1696" s="64">
        <v>99</v>
      </c>
      <c r="U1696" s="273" t="s">
        <v>2298</v>
      </c>
      <c r="V1696" s="38">
        <v>3746955</v>
      </c>
      <c r="W1696" s="38">
        <f t="shared" si="279"/>
        <v>824330.1</v>
      </c>
      <c r="X1696" s="38">
        <f t="shared" si="280"/>
        <v>4571285.0999999996</v>
      </c>
    </row>
    <row r="1697" spans="1:24" ht="15" customHeight="1" x14ac:dyDescent="0.35">
      <c r="A1697" s="56" t="s">
        <v>3909</v>
      </c>
      <c r="B1697" s="2">
        <v>1595</v>
      </c>
      <c r="C1697" s="77">
        <v>102000671</v>
      </c>
      <c r="D1697" s="74" t="s">
        <v>1433</v>
      </c>
      <c r="E1697" s="59" t="s">
        <v>2167</v>
      </c>
      <c r="F1697" s="75">
        <v>2</v>
      </c>
      <c r="G1697" s="64" t="s">
        <v>0</v>
      </c>
      <c r="H1697" s="78">
        <v>41891</v>
      </c>
      <c r="I1697" s="4" t="s">
        <v>957</v>
      </c>
      <c r="J1697" s="63" t="s">
        <v>1917</v>
      </c>
      <c r="K1697" s="63" t="s">
        <v>961</v>
      </c>
      <c r="L1697" s="69" t="s">
        <v>950</v>
      </c>
      <c r="M1697" s="97">
        <f t="shared" si="281"/>
        <v>1301939.22</v>
      </c>
      <c r="N1697" s="97">
        <f t="shared" si="289"/>
        <v>650969.61</v>
      </c>
      <c r="O1697" s="70">
        <v>1301939.22</v>
      </c>
      <c r="P1697" s="65">
        <v>2123610</v>
      </c>
      <c r="Q1697" s="65">
        <f t="shared" si="277"/>
        <v>467194.2</v>
      </c>
      <c r="R1697" s="65">
        <f t="shared" si="278"/>
        <v>2590804.2000000002</v>
      </c>
      <c r="S1697" s="272"/>
      <c r="T1697" s="64">
        <v>99</v>
      </c>
      <c r="U1697" s="274"/>
      <c r="V1697" s="38">
        <v>2372751</v>
      </c>
      <c r="W1697" s="38">
        <f t="shared" si="279"/>
        <v>522005.22</v>
      </c>
      <c r="X1697" s="38">
        <f t="shared" si="280"/>
        <v>2894756.22</v>
      </c>
    </row>
    <row r="1698" spans="1:24" ht="15" customHeight="1" x14ac:dyDescent="0.35">
      <c r="A1698" s="56" t="s">
        <v>3910</v>
      </c>
      <c r="B1698" s="2">
        <v>1596</v>
      </c>
      <c r="C1698" s="77">
        <v>102001464</v>
      </c>
      <c r="D1698" s="74" t="s">
        <v>1904</v>
      </c>
      <c r="E1698" s="59" t="s">
        <v>2167</v>
      </c>
      <c r="F1698" s="75">
        <v>32</v>
      </c>
      <c r="G1698" s="64" t="s">
        <v>0</v>
      </c>
      <c r="H1698" s="64">
        <v>2015</v>
      </c>
      <c r="I1698" s="4" t="s">
        <v>957</v>
      </c>
      <c r="J1698" s="63" t="s">
        <v>1917</v>
      </c>
      <c r="K1698" s="63" t="s">
        <v>961</v>
      </c>
      <c r="L1698" s="69" t="s">
        <v>950</v>
      </c>
      <c r="M1698" s="70">
        <f t="shared" si="281"/>
        <v>1922292.83</v>
      </c>
      <c r="N1698" s="70">
        <f t="shared" si="289"/>
        <v>60071.65</v>
      </c>
      <c r="O1698" s="70">
        <v>1922292.83</v>
      </c>
      <c r="P1698" s="65">
        <v>2804830</v>
      </c>
      <c r="Q1698" s="65">
        <f t="shared" si="277"/>
        <v>617062.6</v>
      </c>
      <c r="R1698" s="65">
        <f t="shared" si="278"/>
        <v>3421892.6</v>
      </c>
      <c r="S1698" s="272"/>
      <c r="T1698" s="64">
        <v>99</v>
      </c>
      <c r="U1698" s="274"/>
      <c r="V1698" s="38">
        <v>3133883</v>
      </c>
      <c r="W1698" s="38">
        <f t="shared" si="279"/>
        <v>689454.26</v>
      </c>
      <c r="X1698" s="38">
        <f t="shared" si="280"/>
        <v>3823337.26</v>
      </c>
    </row>
    <row r="1699" spans="1:24" ht="15" customHeight="1" x14ac:dyDescent="0.35">
      <c r="A1699" s="56" t="s">
        <v>3911</v>
      </c>
      <c r="B1699" s="2">
        <v>1597</v>
      </c>
      <c r="C1699" s="77">
        <v>102000740</v>
      </c>
      <c r="D1699" s="74" t="s">
        <v>1905</v>
      </c>
      <c r="E1699" s="59" t="s">
        <v>2167</v>
      </c>
      <c r="F1699" s="75">
        <v>2</v>
      </c>
      <c r="G1699" s="64" t="s">
        <v>0</v>
      </c>
      <c r="H1699" s="78">
        <v>41891</v>
      </c>
      <c r="I1699" s="4" t="s">
        <v>957</v>
      </c>
      <c r="J1699" s="63" t="s">
        <v>1917</v>
      </c>
      <c r="K1699" s="63" t="s">
        <v>961</v>
      </c>
      <c r="L1699" s="69" t="s">
        <v>950</v>
      </c>
      <c r="M1699" s="70">
        <f t="shared" si="281"/>
        <v>288980.45</v>
      </c>
      <c r="N1699" s="70">
        <f t="shared" si="289"/>
        <v>144490.23000000001</v>
      </c>
      <c r="O1699" s="70">
        <v>288980.45</v>
      </c>
      <c r="P1699" s="65">
        <v>471360</v>
      </c>
      <c r="Q1699" s="65">
        <f t="shared" si="277"/>
        <v>103699.2</v>
      </c>
      <c r="R1699" s="65">
        <f t="shared" si="278"/>
        <v>575059.19999999995</v>
      </c>
      <c r="S1699" s="272"/>
      <c r="T1699" s="64">
        <v>99</v>
      </c>
      <c r="U1699" s="274"/>
      <c r="V1699" s="38">
        <v>526660</v>
      </c>
      <c r="W1699" s="38">
        <f t="shared" si="279"/>
        <v>115865.2</v>
      </c>
      <c r="X1699" s="38">
        <f t="shared" si="280"/>
        <v>642525.19999999995</v>
      </c>
    </row>
    <row r="1700" spans="1:24" ht="30" customHeight="1" x14ac:dyDescent="0.35">
      <c r="A1700" s="56" t="s">
        <v>3912</v>
      </c>
      <c r="B1700" s="2">
        <v>1598</v>
      </c>
      <c r="C1700" s="77">
        <v>102001635</v>
      </c>
      <c r="D1700" s="74" t="s">
        <v>1906</v>
      </c>
      <c r="E1700" s="59" t="s">
        <v>2167</v>
      </c>
      <c r="F1700" s="75">
        <v>5</v>
      </c>
      <c r="G1700" s="64" t="s">
        <v>0</v>
      </c>
      <c r="H1700" s="64">
        <v>2015</v>
      </c>
      <c r="I1700" s="4" t="s">
        <v>957</v>
      </c>
      <c r="J1700" s="63" t="s">
        <v>1917</v>
      </c>
      <c r="K1700" s="63" t="s">
        <v>961</v>
      </c>
      <c r="L1700" s="69" t="s">
        <v>950</v>
      </c>
      <c r="M1700" s="70">
        <f t="shared" si="281"/>
        <v>861665.49</v>
      </c>
      <c r="N1700" s="70">
        <f t="shared" si="289"/>
        <v>172333.1</v>
      </c>
      <c r="O1700" s="70">
        <v>861665.49</v>
      </c>
      <c r="P1700" s="65">
        <v>1257260</v>
      </c>
      <c r="Q1700" s="65">
        <f t="shared" si="277"/>
        <v>276597.2</v>
      </c>
      <c r="R1700" s="65">
        <f t="shared" si="278"/>
        <v>1533857.2</v>
      </c>
      <c r="S1700" s="272"/>
      <c r="T1700" s="64">
        <v>99</v>
      </c>
      <c r="U1700" s="274"/>
      <c r="V1700" s="38">
        <v>1404759</v>
      </c>
      <c r="W1700" s="38">
        <f t="shared" si="279"/>
        <v>309046.98</v>
      </c>
      <c r="X1700" s="38">
        <f t="shared" si="280"/>
        <v>1713805.98</v>
      </c>
    </row>
    <row r="1701" spans="1:24" ht="15" customHeight="1" x14ac:dyDescent="0.35">
      <c r="A1701" s="56" t="s">
        <v>3916</v>
      </c>
      <c r="B1701" s="2">
        <v>1599</v>
      </c>
      <c r="C1701" s="77">
        <v>102000683</v>
      </c>
      <c r="D1701" s="74" t="s">
        <v>1910</v>
      </c>
      <c r="E1701" s="59" t="s">
        <v>2167</v>
      </c>
      <c r="F1701" s="75">
        <v>2</v>
      </c>
      <c r="G1701" s="64" t="s">
        <v>0</v>
      </c>
      <c r="H1701" s="78">
        <v>41891</v>
      </c>
      <c r="I1701" s="4" t="s">
        <v>957</v>
      </c>
      <c r="J1701" s="63" t="s">
        <v>1917</v>
      </c>
      <c r="K1701" s="63" t="s">
        <v>961</v>
      </c>
      <c r="L1701" s="69" t="s">
        <v>950</v>
      </c>
      <c r="M1701" s="70">
        <f t="shared" si="281"/>
        <v>328523.7</v>
      </c>
      <c r="N1701" s="70">
        <f t="shared" si="289"/>
        <v>164261.85</v>
      </c>
      <c r="O1701" s="70">
        <v>328523.7</v>
      </c>
      <c r="P1701" s="65">
        <v>535860</v>
      </c>
      <c r="Q1701" s="65">
        <f t="shared" si="277"/>
        <v>117889.2</v>
      </c>
      <c r="R1701" s="65">
        <f t="shared" si="278"/>
        <v>653749.19999999995</v>
      </c>
      <c r="S1701" s="272"/>
      <c r="T1701" s="64">
        <v>99</v>
      </c>
      <c r="U1701" s="274"/>
      <c r="V1701" s="38">
        <v>598726</v>
      </c>
      <c r="W1701" s="38">
        <f t="shared" si="279"/>
        <v>131719.72</v>
      </c>
      <c r="X1701" s="38">
        <f t="shared" si="280"/>
        <v>730445.72</v>
      </c>
    </row>
    <row r="1702" spans="1:24" ht="15" customHeight="1" x14ac:dyDescent="0.35">
      <c r="A1702" s="56" t="s">
        <v>3917</v>
      </c>
      <c r="B1702" s="2">
        <v>1600</v>
      </c>
      <c r="C1702" s="77">
        <v>10147826</v>
      </c>
      <c r="D1702" s="74" t="s">
        <v>1911</v>
      </c>
      <c r="E1702" s="59" t="s">
        <v>2167</v>
      </c>
      <c r="F1702" s="75">
        <v>1</v>
      </c>
      <c r="G1702" s="64" t="s">
        <v>0</v>
      </c>
      <c r="H1702" s="78">
        <v>41369</v>
      </c>
      <c r="I1702" s="4" t="s">
        <v>957</v>
      </c>
      <c r="J1702" s="63" t="s">
        <v>1927</v>
      </c>
      <c r="K1702" s="63" t="s">
        <v>961</v>
      </c>
      <c r="L1702" s="69" t="s">
        <v>950</v>
      </c>
      <c r="M1702" s="70">
        <f t="shared" si="281"/>
        <v>26353.34</v>
      </c>
      <c r="N1702" s="70">
        <f t="shared" si="289"/>
        <v>26353.34</v>
      </c>
      <c r="O1702" s="70">
        <v>26353.34</v>
      </c>
      <c r="P1702" s="65">
        <v>41870</v>
      </c>
      <c r="Q1702" s="65">
        <f t="shared" si="277"/>
        <v>9211.4</v>
      </c>
      <c r="R1702" s="65">
        <f t="shared" si="278"/>
        <v>51081.4</v>
      </c>
      <c r="S1702" s="272"/>
      <c r="T1702" s="64">
        <v>99</v>
      </c>
      <c r="U1702" s="274"/>
      <c r="V1702" s="38">
        <v>46777</v>
      </c>
      <c r="W1702" s="38">
        <f t="shared" si="279"/>
        <v>10290.94</v>
      </c>
      <c r="X1702" s="38">
        <f t="shared" si="280"/>
        <v>57067.94</v>
      </c>
    </row>
    <row r="1703" spans="1:24" ht="15" customHeight="1" x14ac:dyDescent="0.35">
      <c r="A1703" s="56" t="s">
        <v>3918</v>
      </c>
      <c r="B1703" s="2">
        <v>1601</v>
      </c>
      <c r="C1703" s="77">
        <v>10135506</v>
      </c>
      <c r="D1703" s="74" t="s">
        <v>1912</v>
      </c>
      <c r="E1703" s="59" t="s">
        <v>2167</v>
      </c>
      <c r="F1703" s="75">
        <v>12</v>
      </c>
      <c r="G1703" s="64" t="s">
        <v>0</v>
      </c>
      <c r="H1703" s="78">
        <v>41030</v>
      </c>
      <c r="I1703" s="4" t="s">
        <v>957</v>
      </c>
      <c r="J1703" s="63" t="s">
        <v>1927</v>
      </c>
      <c r="K1703" s="63" t="s">
        <v>961</v>
      </c>
      <c r="L1703" s="69" t="s">
        <v>950</v>
      </c>
      <c r="M1703" s="70">
        <f t="shared" si="281"/>
        <v>339541.44</v>
      </c>
      <c r="N1703" s="70">
        <f t="shared" si="289"/>
        <v>28295.119999999999</v>
      </c>
      <c r="O1703" s="70">
        <v>339541.44</v>
      </c>
      <c r="P1703" s="65">
        <v>549320</v>
      </c>
      <c r="Q1703" s="65">
        <f t="shared" si="277"/>
        <v>120850.4</v>
      </c>
      <c r="R1703" s="65">
        <f t="shared" si="278"/>
        <v>670170.4</v>
      </c>
      <c r="S1703" s="272"/>
      <c r="T1703" s="64">
        <v>99</v>
      </c>
      <c r="U1703" s="274"/>
      <c r="V1703" s="38">
        <v>613767</v>
      </c>
      <c r="W1703" s="38">
        <f t="shared" si="279"/>
        <v>135028.74</v>
      </c>
      <c r="X1703" s="38">
        <f t="shared" si="280"/>
        <v>748795.74</v>
      </c>
    </row>
    <row r="1704" spans="1:24" ht="15" customHeight="1" x14ac:dyDescent="0.35">
      <c r="A1704" s="56" t="s">
        <v>3919</v>
      </c>
      <c r="B1704" s="2">
        <v>1602</v>
      </c>
      <c r="C1704" s="77">
        <v>102000892</v>
      </c>
      <c r="D1704" s="74" t="s">
        <v>1913</v>
      </c>
      <c r="E1704" s="59" t="s">
        <v>2167</v>
      </c>
      <c r="F1704" s="75">
        <v>1</v>
      </c>
      <c r="G1704" s="64" t="s">
        <v>0</v>
      </c>
      <c r="H1704" s="78">
        <v>41891</v>
      </c>
      <c r="I1704" s="4" t="s">
        <v>957</v>
      </c>
      <c r="J1704" s="63" t="s">
        <v>1917</v>
      </c>
      <c r="K1704" s="63" t="s">
        <v>961</v>
      </c>
      <c r="L1704" s="69" t="s">
        <v>950</v>
      </c>
      <c r="M1704" s="70">
        <f t="shared" si="281"/>
        <v>2056113.24</v>
      </c>
      <c r="N1704" s="70">
        <f t="shared" si="289"/>
        <v>2056113.24</v>
      </c>
      <c r="O1704" s="70">
        <v>2056113.24</v>
      </c>
      <c r="P1704" s="65">
        <v>3353760</v>
      </c>
      <c r="Q1704" s="65">
        <f t="shared" si="277"/>
        <v>737827.2</v>
      </c>
      <c r="R1704" s="65">
        <f t="shared" si="278"/>
        <v>4091587.2</v>
      </c>
      <c r="S1704" s="272"/>
      <c r="T1704" s="64">
        <v>99</v>
      </c>
      <c r="U1704" s="274"/>
      <c r="V1704" s="38">
        <v>3747215</v>
      </c>
      <c r="W1704" s="38">
        <f t="shared" si="279"/>
        <v>824387.3</v>
      </c>
      <c r="X1704" s="38">
        <f t="shared" si="280"/>
        <v>4571602.3</v>
      </c>
    </row>
    <row r="1705" spans="1:24" ht="15" customHeight="1" x14ac:dyDescent="0.35">
      <c r="A1705" s="56" t="s">
        <v>3920</v>
      </c>
      <c r="B1705" s="2">
        <v>1603</v>
      </c>
      <c r="C1705" s="11">
        <v>102001474</v>
      </c>
      <c r="D1705" s="3" t="s">
        <v>1370</v>
      </c>
      <c r="E1705" s="59" t="s">
        <v>2167</v>
      </c>
      <c r="F1705" s="14">
        <v>2</v>
      </c>
      <c r="G1705" s="64" t="s">
        <v>0</v>
      </c>
      <c r="H1705" s="5">
        <v>41426</v>
      </c>
      <c r="I1705" s="4" t="s">
        <v>957</v>
      </c>
      <c r="J1705" s="6" t="s">
        <v>1362</v>
      </c>
      <c r="K1705" s="63" t="s">
        <v>961</v>
      </c>
      <c r="L1705" s="69" t="s">
        <v>950</v>
      </c>
      <c r="M1705" s="70">
        <f t="shared" si="281"/>
        <v>1133499.1599999999</v>
      </c>
      <c r="N1705" s="70">
        <f t="shared" si="289"/>
        <v>566749.57999999996</v>
      </c>
      <c r="O1705" s="70">
        <v>1133499.1599999999</v>
      </c>
      <c r="P1705" s="65">
        <v>1804450</v>
      </c>
      <c r="Q1705" s="65">
        <f t="shared" si="277"/>
        <v>396979</v>
      </c>
      <c r="R1705" s="65">
        <f t="shared" si="278"/>
        <v>2201429</v>
      </c>
      <c r="S1705" s="272"/>
      <c r="T1705" s="64">
        <v>99</v>
      </c>
      <c r="U1705" s="274"/>
      <c r="V1705" s="38">
        <v>2016148</v>
      </c>
      <c r="W1705" s="38">
        <f t="shared" si="279"/>
        <v>443552.56</v>
      </c>
      <c r="X1705" s="38">
        <f t="shared" si="280"/>
        <v>2459700.56</v>
      </c>
    </row>
    <row r="1706" spans="1:24" ht="15" customHeight="1" x14ac:dyDescent="0.35">
      <c r="A1706" s="56" t="s">
        <v>4006</v>
      </c>
      <c r="B1706" s="2">
        <v>1604</v>
      </c>
      <c r="C1706" s="11">
        <v>102001564</v>
      </c>
      <c r="D1706" s="3" t="s">
        <v>31</v>
      </c>
      <c r="E1706" s="59" t="s">
        <v>2167</v>
      </c>
      <c r="F1706" s="14">
        <v>5</v>
      </c>
      <c r="G1706" s="64" t="s">
        <v>0</v>
      </c>
      <c r="H1706" s="5">
        <v>41426</v>
      </c>
      <c r="I1706" s="4" t="s">
        <v>957</v>
      </c>
      <c r="J1706" s="6" t="s">
        <v>1362</v>
      </c>
      <c r="K1706" s="63" t="s">
        <v>961</v>
      </c>
      <c r="L1706" s="69" t="s">
        <v>950</v>
      </c>
      <c r="M1706" s="70">
        <f t="shared" si="281"/>
        <v>3430631.96</v>
      </c>
      <c r="N1706" s="70">
        <f t="shared" si="289"/>
        <v>686126.39</v>
      </c>
      <c r="O1706" s="70">
        <v>3430631.96</v>
      </c>
      <c r="P1706" s="65">
        <v>5461330</v>
      </c>
      <c r="Q1706" s="65">
        <f t="shared" si="277"/>
        <v>1201492.6000000001</v>
      </c>
      <c r="R1706" s="65">
        <f t="shared" si="278"/>
        <v>6662822.5999999996</v>
      </c>
      <c r="S1706" s="272"/>
      <c r="T1706" s="64">
        <v>99</v>
      </c>
      <c r="U1706" s="274"/>
      <c r="V1706" s="38">
        <v>6102044</v>
      </c>
      <c r="W1706" s="38">
        <f t="shared" si="279"/>
        <v>1342449.68</v>
      </c>
      <c r="X1706" s="38">
        <f t="shared" si="280"/>
        <v>7444493.6799999997</v>
      </c>
    </row>
    <row r="1707" spans="1:24" ht="15" customHeight="1" x14ac:dyDescent="0.35">
      <c r="A1707" s="56" t="s">
        <v>3921</v>
      </c>
      <c r="B1707" s="2">
        <v>1605</v>
      </c>
      <c r="C1707" s="11">
        <v>102001082</v>
      </c>
      <c r="D1707" s="3" t="s">
        <v>1372</v>
      </c>
      <c r="E1707" s="59" t="s">
        <v>2167</v>
      </c>
      <c r="F1707" s="14">
        <v>1</v>
      </c>
      <c r="G1707" s="64" t="s">
        <v>0</v>
      </c>
      <c r="H1707" s="5">
        <v>41334</v>
      </c>
      <c r="I1707" s="4" t="s">
        <v>957</v>
      </c>
      <c r="J1707" s="6" t="s">
        <v>1362</v>
      </c>
      <c r="K1707" s="63" t="s">
        <v>961</v>
      </c>
      <c r="L1707" s="69" t="s">
        <v>950</v>
      </c>
      <c r="M1707" s="70">
        <f t="shared" si="281"/>
        <v>1606448</v>
      </c>
      <c r="N1707" s="70">
        <f t="shared" si="289"/>
        <v>1606448</v>
      </c>
      <c r="O1707" s="70">
        <v>1606448</v>
      </c>
      <c r="P1707" s="65">
        <v>2561620</v>
      </c>
      <c r="Q1707" s="65">
        <f t="shared" si="277"/>
        <v>563556.4</v>
      </c>
      <c r="R1707" s="65">
        <f t="shared" si="278"/>
        <v>3125176.4</v>
      </c>
      <c r="S1707" s="272"/>
      <c r="T1707" s="64">
        <v>99</v>
      </c>
      <c r="U1707" s="274"/>
      <c r="V1707" s="38">
        <v>2862147</v>
      </c>
      <c r="W1707" s="38">
        <f t="shared" si="279"/>
        <v>629672.34</v>
      </c>
      <c r="X1707" s="38">
        <f t="shared" si="280"/>
        <v>3491819.34</v>
      </c>
    </row>
    <row r="1708" spans="1:24" ht="15" customHeight="1" x14ac:dyDescent="0.35">
      <c r="A1708" s="56" t="s">
        <v>3922</v>
      </c>
      <c r="B1708" s="2">
        <v>1606</v>
      </c>
      <c r="C1708" s="11">
        <v>10142809</v>
      </c>
      <c r="D1708" s="3" t="s">
        <v>1375</v>
      </c>
      <c r="E1708" s="59" t="s">
        <v>2167</v>
      </c>
      <c r="F1708" s="14">
        <v>1</v>
      </c>
      <c r="G1708" s="64" t="s">
        <v>0</v>
      </c>
      <c r="H1708" s="5">
        <v>41091</v>
      </c>
      <c r="I1708" s="4" t="s">
        <v>957</v>
      </c>
      <c r="J1708" s="63" t="s">
        <v>1917</v>
      </c>
      <c r="K1708" s="63" t="s">
        <v>961</v>
      </c>
      <c r="L1708" s="69" t="s">
        <v>950</v>
      </c>
      <c r="M1708" s="70">
        <f t="shared" si="281"/>
        <v>333597.46000000002</v>
      </c>
      <c r="N1708" s="70">
        <f t="shared" si="289"/>
        <v>333597.46000000002</v>
      </c>
      <c r="O1708" s="70">
        <v>333597.46000000002</v>
      </c>
      <c r="P1708" s="65">
        <v>544580</v>
      </c>
      <c r="Q1708" s="65">
        <f t="shared" si="277"/>
        <v>119807.6</v>
      </c>
      <c r="R1708" s="65">
        <f t="shared" si="278"/>
        <v>664387.6</v>
      </c>
      <c r="S1708" s="272"/>
      <c r="T1708" s="64">
        <v>99</v>
      </c>
      <c r="U1708" s="274"/>
      <c r="V1708" s="38">
        <v>608468</v>
      </c>
      <c r="W1708" s="38">
        <f t="shared" si="279"/>
        <v>133862.96</v>
      </c>
      <c r="X1708" s="38">
        <f t="shared" si="280"/>
        <v>742330.96</v>
      </c>
    </row>
    <row r="1709" spans="1:24" ht="15" customHeight="1" x14ac:dyDescent="0.35">
      <c r="A1709" s="56" t="s">
        <v>3923</v>
      </c>
      <c r="B1709" s="2">
        <v>1607</v>
      </c>
      <c r="C1709" s="11">
        <v>102000442</v>
      </c>
      <c r="D1709" s="3" t="s">
        <v>1884</v>
      </c>
      <c r="E1709" s="59" t="s">
        <v>2167</v>
      </c>
      <c r="F1709" s="14">
        <v>34</v>
      </c>
      <c r="G1709" s="64" t="s">
        <v>0</v>
      </c>
      <c r="H1709" s="5">
        <v>41487</v>
      </c>
      <c r="I1709" s="4" t="s">
        <v>957</v>
      </c>
      <c r="J1709" s="6" t="s">
        <v>2248</v>
      </c>
      <c r="K1709" s="63" t="s">
        <v>961</v>
      </c>
      <c r="L1709" s="69" t="s">
        <v>950</v>
      </c>
      <c r="M1709" s="70">
        <f t="shared" si="281"/>
        <v>1993692</v>
      </c>
      <c r="N1709" s="70">
        <f t="shared" si="289"/>
        <v>58638</v>
      </c>
      <c r="O1709" s="70">
        <v>1993692</v>
      </c>
      <c r="P1709" s="65">
        <v>3132770</v>
      </c>
      <c r="Q1709" s="65">
        <f t="shared" si="277"/>
        <v>689209.4</v>
      </c>
      <c r="R1709" s="65">
        <f t="shared" si="278"/>
        <v>3821979.4</v>
      </c>
      <c r="S1709" s="276"/>
      <c r="T1709" s="64">
        <v>99</v>
      </c>
      <c r="U1709" s="274"/>
      <c r="V1709" s="38">
        <v>3500306</v>
      </c>
      <c r="W1709" s="38">
        <f t="shared" si="279"/>
        <v>770067.32</v>
      </c>
      <c r="X1709" s="38">
        <f t="shared" si="280"/>
        <v>4270373.32</v>
      </c>
    </row>
    <row r="1710" spans="1:24" ht="15" customHeight="1" x14ac:dyDescent="0.35">
      <c r="A1710" s="56"/>
      <c r="B1710" s="15"/>
      <c r="C1710" s="11"/>
      <c r="D1710" s="3"/>
      <c r="E1710" s="59"/>
      <c r="F1710" s="14"/>
      <c r="G1710" s="64"/>
      <c r="H1710" s="5"/>
      <c r="I1710" s="4"/>
      <c r="J1710" s="6"/>
      <c r="K1710" s="63"/>
      <c r="L1710" s="69"/>
      <c r="M1710" s="70"/>
      <c r="N1710" s="70"/>
      <c r="O1710" s="71">
        <f>SUM(O1696:O1709)</f>
        <v>17921623.210000001</v>
      </c>
      <c r="P1710" s="71">
        <f t="shared" ref="P1710:R1710" si="290">SUM(P1696:P1709)</f>
        <v>27996140</v>
      </c>
      <c r="Q1710" s="71">
        <f t="shared" si="290"/>
        <v>6159150.7999999998</v>
      </c>
      <c r="R1710" s="71">
        <f t="shared" si="290"/>
        <v>34155290.799999997</v>
      </c>
      <c r="S1710" s="72">
        <f>R1710/100*10</f>
        <v>3415529.08</v>
      </c>
      <c r="T1710" s="73">
        <v>99</v>
      </c>
      <c r="U1710" s="275"/>
      <c r="V1710" s="38"/>
      <c r="W1710" s="38"/>
      <c r="X1710" s="38"/>
    </row>
    <row r="1711" spans="1:24" ht="15" customHeight="1" x14ac:dyDescent="0.35">
      <c r="A1711" s="56" t="s">
        <v>3913</v>
      </c>
      <c r="B1711" s="2">
        <v>1608</v>
      </c>
      <c r="C1711" s="77">
        <v>102000862</v>
      </c>
      <c r="D1711" s="74" t="s">
        <v>1907</v>
      </c>
      <c r="E1711" s="59" t="s">
        <v>2167</v>
      </c>
      <c r="F1711" s="75">
        <v>14</v>
      </c>
      <c r="G1711" s="64" t="s">
        <v>0</v>
      </c>
      <c r="H1711" s="78">
        <v>41891</v>
      </c>
      <c r="I1711" s="4" t="s">
        <v>957</v>
      </c>
      <c r="J1711" s="63" t="s">
        <v>1917</v>
      </c>
      <c r="K1711" s="63" t="s">
        <v>961</v>
      </c>
      <c r="L1711" s="69" t="s">
        <v>950</v>
      </c>
      <c r="M1711" s="70">
        <f>O1711</f>
        <v>2748763.87</v>
      </c>
      <c r="N1711" s="70">
        <f>O1711/F1711</f>
        <v>196340.28</v>
      </c>
      <c r="O1711" s="70">
        <v>2748763.87</v>
      </c>
      <c r="P1711" s="65">
        <v>4658880</v>
      </c>
      <c r="Q1711" s="65">
        <f t="shared" si="277"/>
        <v>1024953.6</v>
      </c>
      <c r="R1711" s="65">
        <f t="shared" si="278"/>
        <v>5683833.5999999996</v>
      </c>
      <c r="S1711" s="267"/>
      <c r="T1711" s="64">
        <v>100</v>
      </c>
      <c r="U1711" s="273" t="s">
        <v>2298</v>
      </c>
      <c r="V1711" s="38">
        <v>5009553</v>
      </c>
      <c r="W1711" s="38">
        <f t="shared" si="279"/>
        <v>1102101.6599999999</v>
      </c>
      <c r="X1711" s="38">
        <f t="shared" si="280"/>
        <v>6111654.6600000001</v>
      </c>
    </row>
    <row r="1712" spans="1:24" ht="15" customHeight="1" x14ac:dyDescent="0.35">
      <c r="A1712" s="56" t="s">
        <v>3914</v>
      </c>
      <c r="B1712" s="2">
        <v>1609</v>
      </c>
      <c r="C1712" s="77">
        <v>102001557</v>
      </c>
      <c r="D1712" s="74" t="s">
        <v>1908</v>
      </c>
      <c r="E1712" s="59" t="s">
        <v>2167</v>
      </c>
      <c r="F1712" s="75">
        <v>2</v>
      </c>
      <c r="G1712" s="64" t="s">
        <v>0</v>
      </c>
      <c r="H1712" s="64">
        <v>2015</v>
      </c>
      <c r="I1712" s="4" t="s">
        <v>957</v>
      </c>
      <c r="J1712" s="63" t="s">
        <v>1917</v>
      </c>
      <c r="K1712" s="63" t="s">
        <v>961</v>
      </c>
      <c r="L1712" s="69" t="s">
        <v>950</v>
      </c>
      <c r="M1712" s="70">
        <f>O1712</f>
        <v>2572375.37</v>
      </c>
      <c r="N1712" s="70">
        <f>O1712/F1712</f>
        <v>1286187.69</v>
      </c>
      <c r="O1712" s="70">
        <v>2572375.37</v>
      </c>
      <c r="P1712" s="65">
        <v>3900140</v>
      </c>
      <c r="Q1712" s="65">
        <f t="shared" ref="Q1712:Q1775" si="291">P1712*0.22</f>
        <v>858030.8</v>
      </c>
      <c r="R1712" s="65">
        <f t="shared" ref="R1712:R1775" si="292">P1712+Q1712</f>
        <v>4758170.8</v>
      </c>
      <c r="S1712" s="272"/>
      <c r="T1712" s="64">
        <v>100</v>
      </c>
      <c r="U1712" s="270"/>
      <c r="V1712" s="38">
        <v>4193702</v>
      </c>
      <c r="W1712" s="38">
        <f t="shared" ref="W1712:W1775" si="293">V1712*0.22</f>
        <v>922614.44</v>
      </c>
      <c r="X1712" s="38">
        <f t="shared" si="280"/>
        <v>5116316.4400000004</v>
      </c>
    </row>
    <row r="1713" spans="1:24" ht="15" customHeight="1" x14ac:dyDescent="0.35">
      <c r="A1713" s="56" t="s">
        <v>3915</v>
      </c>
      <c r="B1713" s="2">
        <v>1610</v>
      </c>
      <c r="C1713" s="77">
        <v>102001571</v>
      </c>
      <c r="D1713" s="74" t="s">
        <v>1909</v>
      </c>
      <c r="E1713" s="59" t="s">
        <v>2167</v>
      </c>
      <c r="F1713" s="75">
        <v>6</v>
      </c>
      <c r="G1713" s="64" t="s">
        <v>0</v>
      </c>
      <c r="H1713" s="64">
        <v>2015</v>
      </c>
      <c r="I1713" s="4" t="s">
        <v>957</v>
      </c>
      <c r="J1713" s="63" t="s">
        <v>1917</v>
      </c>
      <c r="K1713" s="63" t="s">
        <v>961</v>
      </c>
      <c r="L1713" s="69" t="s">
        <v>950</v>
      </c>
      <c r="M1713" s="70">
        <f>O1713</f>
        <v>7887435.1699999999</v>
      </c>
      <c r="N1713" s="70">
        <f>O1713/F1713</f>
        <v>1314572.53</v>
      </c>
      <c r="O1713" s="70">
        <v>7887435.1699999999</v>
      </c>
      <c r="P1713" s="65">
        <v>11958650</v>
      </c>
      <c r="Q1713" s="65">
        <f t="shared" si="291"/>
        <v>2630903</v>
      </c>
      <c r="R1713" s="65">
        <f t="shared" si="292"/>
        <v>14589553</v>
      </c>
      <c r="S1713" s="276"/>
      <c r="T1713" s="64">
        <v>100</v>
      </c>
      <c r="U1713" s="270"/>
      <c r="V1713" s="38">
        <v>12858758</v>
      </c>
      <c r="W1713" s="38">
        <f t="shared" si="293"/>
        <v>2828926.76</v>
      </c>
      <c r="X1713" s="38">
        <f t="shared" si="280"/>
        <v>15687684.76</v>
      </c>
    </row>
    <row r="1714" spans="1:24" ht="15" customHeight="1" x14ac:dyDescent="0.35">
      <c r="A1714" s="56"/>
      <c r="B1714" s="15"/>
      <c r="C1714" s="11"/>
      <c r="D1714" s="3"/>
      <c r="E1714" s="59"/>
      <c r="F1714" s="14"/>
      <c r="G1714" s="64"/>
      <c r="H1714" s="5"/>
      <c r="I1714" s="4"/>
      <c r="J1714" s="6"/>
      <c r="K1714" s="63"/>
      <c r="L1714" s="69"/>
      <c r="M1714" s="70"/>
      <c r="N1714" s="70"/>
      <c r="O1714" s="71">
        <f>SUM(O1711:O1713)</f>
        <v>13208574.41</v>
      </c>
      <c r="P1714" s="71">
        <f t="shared" ref="P1714:R1714" si="294">SUM(P1711:P1713)</f>
        <v>20517670</v>
      </c>
      <c r="Q1714" s="71">
        <f t="shared" si="294"/>
        <v>4513887.4000000004</v>
      </c>
      <c r="R1714" s="71">
        <f t="shared" si="294"/>
        <v>25031557.399999999</v>
      </c>
      <c r="S1714" s="72">
        <f>R1714/100*10</f>
        <v>2503155.7400000002</v>
      </c>
      <c r="T1714" s="73">
        <v>100</v>
      </c>
      <c r="U1714" s="271"/>
      <c r="V1714" s="38"/>
      <c r="W1714" s="38"/>
      <c r="X1714" s="38"/>
    </row>
    <row r="1715" spans="1:24" ht="15" customHeight="1" x14ac:dyDescent="0.35">
      <c r="A1715" s="56" t="s">
        <v>3924</v>
      </c>
      <c r="B1715" s="2">
        <v>1611</v>
      </c>
      <c r="C1715" s="77">
        <v>10137498</v>
      </c>
      <c r="D1715" s="74" t="s">
        <v>215</v>
      </c>
      <c r="E1715" s="74" t="s">
        <v>2153</v>
      </c>
      <c r="F1715" s="75">
        <v>1</v>
      </c>
      <c r="G1715" s="64" t="s">
        <v>0</v>
      </c>
      <c r="H1715" s="61">
        <v>40859</v>
      </c>
      <c r="I1715" s="61" t="s">
        <v>2094</v>
      </c>
      <c r="J1715" s="63" t="s">
        <v>1917</v>
      </c>
      <c r="K1715" s="61" t="s">
        <v>961</v>
      </c>
      <c r="L1715" s="88" t="s">
        <v>845</v>
      </c>
      <c r="M1715" s="76">
        <f t="shared" si="281"/>
        <v>504480</v>
      </c>
      <c r="N1715" s="76">
        <f t="shared" ref="N1715:N1721" si="295">O1715/F1715</f>
        <v>504480</v>
      </c>
      <c r="O1715" s="76">
        <v>504480</v>
      </c>
      <c r="P1715" s="65">
        <v>492100</v>
      </c>
      <c r="Q1715" s="65">
        <f t="shared" si="291"/>
        <v>108262</v>
      </c>
      <c r="R1715" s="65">
        <f t="shared" si="292"/>
        <v>600362</v>
      </c>
      <c r="S1715" s="267"/>
      <c r="T1715" s="64">
        <v>101</v>
      </c>
      <c r="U1715" s="273" t="s">
        <v>2298</v>
      </c>
      <c r="V1715" s="38">
        <v>536641</v>
      </c>
      <c r="W1715" s="38">
        <f t="shared" si="293"/>
        <v>118061.02</v>
      </c>
      <c r="X1715" s="38">
        <f t="shared" ref="X1715:X1777" si="296">V1715+W1715</f>
        <v>654702.02</v>
      </c>
    </row>
    <row r="1716" spans="1:24" ht="15" customHeight="1" x14ac:dyDescent="0.35">
      <c r="A1716" s="56" t="s">
        <v>3925</v>
      </c>
      <c r="B1716" s="2">
        <v>1612</v>
      </c>
      <c r="C1716" s="77">
        <v>10143847</v>
      </c>
      <c r="D1716" s="74" t="s">
        <v>217</v>
      </c>
      <c r="E1716" s="74" t="s">
        <v>2153</v>
      </c>
      <c r="F1716" s="75">
        <v>1</v>
      </c>
      <c r="G1716" s="64" t="s">
        <v>0</v>
      </c>
      <c r="H1716" s="61">
        <v>41136</v>
      </c>
      <c r="I1716" s="61" t="s">
        <v>2094</v>
      </c>
      <c r="J1716" s="63" t="s">
        <v>1917</v>
      </c>
      <c r="K1716" s="61" t="s">
        <v>961</v>
      </c>
      <c r="L1716" s="88" t="s">
        <v>845</v>
      </c>
      <c r="M1716" s="76">
        <f t="shared" si="281"/>
        <v>6006886</v>
      </c>
      <c r="N1716" s="76">
        <f t="shared" si="295"/>
        <v>6006886</v>
      </c>
      <c r="O1716" s="76">
        <v>6006886</v>
      </c>
      <c r="P1716" s="65">
        <v>5857070</v>
      </c>
      <c r="Q1716" s="65">
        <f t="shared" si="291"/>
        <v>1288555.3999999999</v>
      </c>
      <c r="R1716" s="65">
        <f t="shared" si="292"/>
        <v>7145625.4000000004</v>
      </c>
      <c r="S1716" s="272"/>
      <c r="T1716" s="64">
        <v>101</v>
      </c>
      <c r="U1716" s="270"/>
      <c r="V1716" s="38">
        <v>6387206</v>
      </c>
      <c r="W1716" s="38">
        <f t="shared" si="293"/>
        <v>1405185.32</v>
      </c>
      <c r="X1716" s="38">
        <f t="shared" si="296"/>
        <v>7792391.3200000003</v>
      </c>
    </row>
    <row r="1717" spans="1:24" ht="15" customHeight="1" x14ac:dyDescent="0.35">
      <c r="A1717" s="56" t="s">
        <v>3926</v>
      </c>
      <c r="B1717" s="2">
        <v>1613</v>
      </c>
      <c r="C1717" s="77">
        <v>10157885</v>
      </c>
      <c r="D1717" s="74" t="s">
        <v>221</v>
      </c>
      <c r="E1717" s="74" t="s">
        <v>2153</v>
      </c>
      <c r="F1717" s="75">
        <v>1</v>
      </c>
      <c r="G1717" s="64" t="s">
        <v>0</v>
      </c>
      <c r="H1717" s="61">
        <v>41136</v>
      </c>
      <c r="I1717" s="61" t="s">
        <v>2094</v>
      </c>
      <c r="J1717" s="63" t="s">
        <v>1917</v>
      </c>
      <c r="K1717" s="61" t="s">
        <v>961</v>
      </c>
      <c r="L1717" s="88" t="s">
        <v>845</v>
      </c>
      <c r="M1717" s="76">
        <f t="shared" si="281"/>
        <v>6026316</v>
      </c>
      <c r="N1717" s="76">
        <f t="shared" si="295"/>
        <v>6026316</v>
      </c>
      <c r="O1717" s="76">
        <v>6026316</v>
      </c>
      <c r="P1717" s="65">
        <v>5876010</v>
      </c>
      <c r="Q1717" s="65">
        <f t="shared" si="291"/>
        <v>1292722.2</v>
      </c>
      <c r="R1717" s="65">
        <f t="shared" si="292"/>
        <v>7168732.2000000002</v>
      </c>
      <c r="S1717" s="272"/>
      <c r="T1717" s="64">
        <v>101</v>
      </c>
      <c r="U1717" s="270"/>
      <c r="V1717" s="38">
        <v>6407866</v>
      </c>
      <c r="W1717" s="38">
        <f t="shared" si="293"/>
        <v>1409730.52</v>
      </c>
      <c r="X1717" s="38">
        <f t="shared" si="296"/>
        <v>7817596.5199999996</v>
      </c>
    </row>
    <row r="1718" spans="1:24" ht="15" customHeight="1" x14ac:dyDescent="0.35">
      <c r="A1718" s="56" t="s">
        <v>3927</v>
      </c>
      <c r="B1718" s="2">
        <v>1614</v>
      </c>
      <c r="C1718" s="77">
        <v>10137439</v>
      </c>
      <c r="D1718" s="74" t="s">
        <v>233</v>
      </c>
      <c r="E1718" s="74" t="s">
        <v>2153</v>
      </c>
      <c r="F1718" s="75">
        <f>3-2</f>
        <v>1</v>
      </c>
      <c r="G1718" s="64" t="s">
        <v>0</v>
      </c>
      <c r="H1718" s="61">
        <v>40859</v>
      </c>
      <c r="I1718" s="61" t="s">
        <v>2094</v>
      </c>
      <c r="J1718" s="63" t="s">
        <v>1917</v>
      </c>
      <c r="K1718" s="61" t="s">
        <v>961</v>
      </c>
      <c r="L1718" s="88" t="s">
        <v>845</v>
      </c>
      <c r="M1718" s="76">
        <f t="shared" si="281"/>
        <v>198008</v>
      </c>
      <c r="N1718" s="76">
        <f t="shared" si="295"/>
        <v>198008</v>
      </c>
      <c r="O1718" s="76">
        <f>594024/3*1</f>
        <v>198008</v>
      </c>
      <c r="P1718" s="65">
        <v>193150</v>
      </c>
      <c r="Q1718" s="65">
        <f t="shared" si="291"/>
        <v>42493</v>
      </c>
      <c r="R1718" s="65">
        <f t="shared" si="292"/>
        <v>235643</v>
      </c>
      <c r="S1718" s="272"/>
      <c r="T1718" s="64">
        <v>101</v>
      </c>
      <c r="U1718" s="270"/>
      <c r="V1718" s="38">
        <v>210631</v>
      </c>
      <c r="W1718" s="38">
        <f t="shared" si="293"/>
        <v>46338.82</v>
      </c>
      <c r="X1718" s="38">
        <f t="shared" si="296"/>
        <v>256969.82</v>
      </c>
    </row>
    <row r="1719" spans="1:24" ht="31" customHeight="1" x14ac:dyDescent="0.35">
      <c r="A1719" s="56" t="s">
        <v>3928</v>
      </c>
      <c r="B1719" s="2">
        <v>1615</v>
      </c>
      <c r="C1719" s="77">
        <v>102000258</v>
      </c>
      <c r="D1719" s="74" t="s">
        <v>180</v>
      </c>
      <c r="E1719" s="74" t="s">
        <v>2169</v>
      </c>
      <c r="F1719" s="75">
        <v>1</v>
      </c>
      <c r="G1719" s="64" t="s">
        <v>0</v>
      </c>
      <c r="H1719" s="61">
        <v>41435</v>
      </c>
      <c r="I1719" s="62" t="s">
        <v>958</v>
      </c>
      <c r="J1719" s="63" t="s">
        <v>1917</v>
      </c>
      <c r="K1719" s="88" t="s">
        <v>1976</v>
      </c>
      <c r="L1719" s="88" t="s">
        <v>845</v>
      </c>
      <c r="M1719" s="76">
        <f t="shared" si="281"/>
        <v>146675.12</v>
      </c>
      <c r="N1719" s="76">
        <f t="shared" si="295"/>
        <v>146675.12</v>
      </c>
      <c r="O1719" s="76">
        <v>146675.12</v>
      </c>
      <c r="P1719" s="65">
        <v>140730</v>
      </c>
      <c r="Q1719" s="65">
        <f t="shared" si="291"/>
        <v>30960.6</v>
      </c>
      <c r="R1719" s="65">
        <f t="shared" si="292"/>
        <v>171690.6</v>
      </c>
      <c r="S1719" s="272"/>
      <c r="T1719" s="64">
        <v>101</v>
      </c>
      <c r="U1719" s="270"/>
      <c r="V1719" s="38">
        <v>153465</v>
      </c>
      <c r="W1719" s="38">
        <f t="shared" si="293"/>
        <v>33762.300000000003</v>
      </c>
      <c r="X1719" s="38">
        <f t="shared" si="296"/>
        <v>187227.3</v>
      </c>
    </row>
    <row r="1720" spans="1:24" ht="15" customHeight="1" x14ac:dyDescent="0.35">
      <c r="A1720" s="56" t="s">
        <v>3929</v>
      </c>
      <c r="B1720" s="2">
        <v>1616</v>
      </c>
      <c r="C1720" s="77">
        <v>102011674</v>
      </c>
      <c r="D1720" s="74" t="s">
        <v>275</v>
      </c>
      <c r="E1720" s="74" t="s">
        <v>684</v>
      </c>
      <c r="F1720" s="75">
        <v>2</v>
      </c>
      <c r="G1720" s="64" t="s">
        <v>0</v>
      </c>
      <c r="H1720" s="61">
        <v>42454</v>
      </c>
      <c r="I1720" s="62" t="s">
        <v>976</v>
      </c>
      <c r="J1720" s="63" t="s">
        <v>1917</v>
      </c>
      <c r="K1720" s="101" t="s">
        <v>961</v>
      </c>
      <c r="L1720" s="88" t="s">
        <v>845</v>
      </c>
      <c r="M1720" s="76">
        <f t="shared" si="281"/>
        <v>394890.74</v>
      </c>
      <c r="N1720" s="76">
        <f t="shared" si="295"/>
        <v>197445.37</v>
      </c>
      <c r="O1720" s="76">
        <v>394890.74</v>
      </c>
      <c r="P1720" s="65">
        <v>304120</v>
      </c>
      <c r="Q1720" s="65">
        <f t="shared" si="291"/>
        <v>66906.399999999994</v>
      </c>
      <c r="R1720" s="65">
        <f t="shared" si="292"/>
        <v>371026.4</v>
      </c>
      <c r="S1720" s="272"/>
      <c r="T1720" s="64">
        <v>101</v>
      </c>
      <c r="U1720" s="270"/>
      <c r="V1720" s="38">
        <v>331645</v>
      </c>
      <c r="W1720" s="38">
        <f t="shared" si="293"/>
        <v>72961.899999999994</v>
      </c>
      <c r="X1720" s="38">
        <f t="shared" si="296"/>
        <v>404606.9</v>
      </c>
    </row>
    <row r="1721" spans="1:24" ht="15" customHeight="1" x14ac:dyDescent="0.35">
      <c r="A1721" s="56" t="s">
        <v>3930</v>
      </c>
      <c r="B1721" s="2">
        <v>1617</v>
      </c>
      <c r="C1721" s="89">
        <v>102001421</v>
      </c>
      <c r="D1721" s="90" t="s">
        <v>2091</v>
      </c>
      <c r="E1721" s="74" t="s">
        <v>686</v>
      </c>
      <c r="F1721" s="91">
        <v>1</v>
      </c>
      <c r="G1721" s="64" t="s">
        <v>0</v>
      </c>
      <c r="H1721" s="61">
        <v>42004</v>
      </c>
      <c r="I1721" s="107" t="s">
        <v>976</v>
      </c>
      <c r="J1721" s="63" t="s">
        <v>1917</v>
      </c>
      <c r="K1721" s="63" t="s">
        <v>961</v>
      </c>
      <c r="L1721" s="69" t="s">
        <v>2093</v>
      </c>
      <c r="M1721" s="70">
        <f t="shared" si="281"/>
        <v>68177.97</v>
      </c>
      <c r="N1721" s="70">
        <f t="shared" si="295"/>
        <v>68177.97</v>
      </c>
      <c r="O1721" s="70">
        <v>68177.97</v>
      </c>
      <c r="P1721" s="65">
        <v>57060</v>
      </c>
      <c r="Q1721" s="65">
        <f t="shared" si="291"/>
        <v>12553.2</v>
      </c>
      <c r="R1721" s="65">
        <f t="shared" si="292"/>
        <v>69613.2</v>
      </c>
      <c r="S1721" s="276"/>
      <c r="T1721" s="64">
        <v>101</v>
      </c>
      <c r="U1721" s="270"/>
      <c r="V1721" s="38">
        <v>62226</v>
      </c>
      <c r="W1721" s="38">
        <f t="shared" si="293"/>
        <v>13689.72</v>
      </c>
      <c r="X1721" s="38">
        <f t="shared" si="296"/>
        <v>75915.72</v>
      </c>
    </row>
    <row r="1722" spans="1:24" ht="15" customHeight="1" x14ac:dyDescent="0.35">
      <c r="A1722" s="56"/>
      <c r="B1722" s="15"/>
      <c r="C1722" s="77"/>
      <c r="D1722" s="74"/>
      <c r="E1722" s="74"/>
      <c r="F1722" s="75"/>
      <c r="G1722" s="64"/>
      <c r="H1722" s="61"/>
      <c r="I1722" s="4"/>
      <c r="J1722" s="63"/>
      <c r="K1722" s="63"/>
      <c r="L1722" s="61"/>
      <c r="M1722" s="65"/>
      <c r="N1722" s="65"/>
      <c r="O1722" s="126">
        <f>SUM(O1715:O1721)</f>
        <v>13345433.83</v>
      </c>
      <c r="P1722" s="126">
        <f t="shared" ref="P1722:R1722" si="297">SUM(P1715:P1721)</f>
        <v>12920240</v>
      </c>
      <c r="Q1722" s="126">
        <f t="shared" si="297"/>
        <v>2842452.8</v>
      </c>
      <c r="R1722" s="126">
        <f t="shared" si="297"/>
        <v>15762692.800000001</v>
      </c>
      <c r="S1722" s="72">
        <f>R1722/100*10</f>
        <v>1576269.28</v>
      </c>
      <c r="T1722" s="73">
        <v>101</v>
      </c>
      <c r="U1722" s="271"/>
      <c r="V1722" s="38"/>
      <c r="W1722" s="38"/>
      <c r="X1722" s="38"/>
    </row>
    <row r="1723" spans="1:24" ht="15" customHeight="1" x14ac:dyDescent="0.35">
      <c r="A1723" s="56" t="s">
        <v>3931</v>
      </c>
      <c r="B1723" s="2">
        <v>1618</v>
      </c>
      <c r="C1723" s="77">
        <v>102001512</v>
      </c>
      <c r="D1723" s="74" t="s">
        <v>318</v>
      </c>
      <c r="E1723" s="74" t="s">
        <v>2151</v>
      </c>
      <c r="F1723" s="75">
        <v>1</v>
      </c>
      <c r="G1723" s="64" t="s">
        <v>0</v>
      </c>
      <c r="H1723" s="101" t="s">
        <v>2145</v>
      </c>
      <c r="I1723" s="61" t="s">
        <v>972</v>
      </c>
      <c r="J1723" s="63" t="s">
        <v>1917</v>
      </c>
      <c r="K1723" s="61" t="s">
        <v>961</v>
      </c>
      <c r="L1723" s="61" t="s">
        <v>845</v>
      </c>
      <c r="M1723" s="65">
        <f t="shared" si="281"/>
        <v>1212</v>
      </c>
      <c r="N1723" s="65">
        <f t="shared" ref="N1723:N1733" si="298">O1723/F1723</f>
        <v>1212</v>
      </c>
      <c r="O1723" s="65">
        <v>1212</v>
      </c>
      <c r="P1723" s="65">
        <v>1310</v>
      </c>
      <c r="Q1723" s="65">
        <f t="shared" si="291"/>
        <v>288.2</v>
      </c>
      <c r="R1723" s="65">
        <f t="shared" si="292"/>
        <v>1598.2</v>
      </c>
      <c r="S1723" s="267"/>
      <c r="T1723" s="64">
        <v>102</v>
      </c>
      <c r="U1723" s="273" t="s">
        <v>2299</v>
      </c>
      <c r="V1723" s="38">
        <v>1462</v>
      </c>
      <c r="W1723" s="38">
        <f t="shared" si="293"/>
        <v>321.64</v>
      </c>
      <c r="X1723" s="38">
        <f t="shared" si="296"/>
        <v>1783.64</v>
      </c>
    </row>
    <row r="1724" spans="1:24" ht="15" customHeight="1" x14ac:dyDescent="0.35">
      <c r="A1724" s="56" t="s">
        <v>3932</v>
      </c>
      <c r="B1724" s="2">
        <v>1619</v>
      </c>
      <c r="C1724" s="77">
        <v>102002036</v>
      </c>
      <c r="D1724" s="74" t="s">
        <v>320</v>
      </c>
      <c r="E1724" s="74" t="s">
        <v>2147</v>
      </c>
      <c r="F1724" s="75">
        <v>1</v>
      </c>
      <c r="G1724" s="64" t="s">
        <v>0</v>
      </c>
      <c r="H1724" s="101" t="s">
        <v>2145</v>
      </c>
      <c r="I1724" s="61" t="s">
        <v>972</v>
      </c>
      <c r="J1724" s="63" t="s">
        <v>1917</v>
      </c>
      <c r="K1724" s="61" t="s">
        <v>961</v>
      </c>
      <c r="L1724" s="61" t="s">
        <v>845</v>
      </c>
      <c r="M1724" s="65">
        <f t="shared" si="281"/>
        <v>20250</v>
      </c>
      <c r="N1724" s="65">
        <f t="shared" si="298"/>
        <v>20250</v>
      </c>
      <c r="O1724" s="65">
        <v>20250</v>
      </c>
      <c r="P1724" s="65">
        <v>21860</v>
      </c>
      <c r="Q1724" s="65">
        <f t="shared" si="291"/>
        <v>4809.2</v>
      </c>
      <c r="R1724" s="65">
        <f t="shared" si="292"/>
        <v>26669.200000000001</v>
      </c>
      <c r="S1724" s="272"/>
      <c r="T1724" s="64">
        <v>102</v>
      </c>
      <c r="U1724" s="270"/>
      <c r="V1724" s="38">
        <v>24420</v>
      </c>
      <c r="W1724" s="38">
        <f t="shared" si="293"/>
        <v>5372.4</v>
      </c>
      <c r="X1724" s="38">
        <f t="shared" si="296"/>
        <v>29792.400000000001</v>
      </c>
    </row>
    <row r="1725" spans="1:24" ht="15" customHeight="1" x14ac:dyDescent="0.35">
      <c r="A1725" s="56" t="s">
        <v>3933</v>
      </c>
      <c r="B1725" s="2">
        <v>1620</v>
      </c>
      <c r="C1725" s="77">
        <v>102002032</v>
      </c>
      <c r="D1725" s="74" t="s">
        <v>348</v>
      </c>
      <c r="E1725" s="74" t="s">
        <v>2147</v>
      </c>
      <c r="F1725" s="75">
        <v>2</v>
      </c>
      <c r="G1725" s="64" t="s">
        <v>0</v>
      </c>
      <c r="H1725" s="101" t="s">
        <v>2145</v>
      </c>
      <c r="I1725" s="61" t="s">
        <v>972</v>
      </c>
      <c r="J1725" s="63" t="s">
        <v>1917</v>
      </c>
      <c r="K1725" s="61" t="s">
        <v>961</v>
      </c>
      <c r="L1725" s="61" t="s">
        <v>845</v>
      </c>
      <c r="M1725" s="65">
        <f t="shared" si="281"/>
        <v>171617.77</v>
      </c>
      <c r="N1725" s="65">
        <f t="shared" si="298"/>
        <v>85808.89</v>
      </c>
      <c r="O1725" s="65">
        <v>171617.77</v>
      </c>
      <c r="P1725" s="65">
        <v>185230</v>
      </c>
      <c r="Q1725" s="65">
        <f t="shared" si="291"/>
        <v>40750.6</v>
      </c>
      <c r="R1725" s="65">
        <f t="shared" si="292"/>
        <v>225980.6</v>
      </c>
      <c r="S1725" s="272"/>
      <c r="T1725" s="64">
        <v>102</v>
      </c>
      <c r="U1725" s="270"/>
      <c r="V1725" s="38">
        <v>206956</v>
      </c>
      <c r="W1725" s="38">
        <f t="shared" si="293"/>
        <v>45530.32</v>
      </c>
      <c r="X1725" s="38">
        <f t="shared" si="296"/>
        <v>252486.32</v>
      </c>
    </row>
    <row r="1726" spans="1:24" ht="15" customHeight="1" x14ac:dyDescent="0.35">
      <c r="A1726" s="56" t="s">
        <v>3934</v>
      </c>
      <c r="B1726" s="2">
        <v>1621</v>
      </c>
      <c r="C1726" s="89">
        <v>102000981</v>
      </c>
      <c r="D1726" s="106" t="s">
        <v>678</v>
      </c>
      <c r="E1726" s="74" t="s">
        <v>2184</v>
      </c>
      <c r="F1726" s="75">
        <v>1</v>
      </c>
      <c r="G1726" s="64" t="s">
        <v>0</v>
      </c>
      <c r="H1726" s="61">
        <v>42004</v>
      </c>
      <c r="I1726" s="107" t="s">
        <v>976</v>
      </c>
      <c r="J1726" s="63" t="s">
        <v>1917</v>
      </c>
      <c r="K1726" s="108" t="s">
        <v>790</v>
      </c>
      <c r="L1726" s="64" t="s">
        <v>845</v>
      </c>
      <c r="M1726" s="65">
        <f t="shared" si="281"/>
        <v>181100</v>
      </c>
      <c r="N1726" s="65">
        <f t="shared" si="298"/>
        <v>181100</v>
      </c>
      <c r="O1726" s="65">
        <v>181100</v>
      </c>
      <c r="P1726" s="65">
        <v>147930</v>
      </c>
      <c r="Q1726" s="65">
        <f t="shared" si="291"/>
        <v>32544.6</v>
      </c>
      <c r="R1726" s="65">
        <f t="shared" si="292"/>
        <v>180474.6</v>
      </c>
      <c r="S1726" s="272"/>
      <c r="T1726" s="64">
        <v>102</v>
      </c>
      <c r="U1726" s="270"/>
      <c r="V1726" s="38">
        <v>165289</v>
      </c>
      <c r="W1726" s="38">
        <f t="shared" si="293"/>
        <v>36363.58</v>
      </c>
      <c r="X1726" s="38">
        <f t="shared" si="296"/>
        <v>201652.58</v>
      </c>
    </row>
    <row r="1727" spans="1:24" ht="15" customHeight="1" x14ac:dyDescent="0.35">
      <c r="A1727" s="56" t="s">
        <v>3935</v>
      </c>
      <c r="B1727" s="2">
        <v>1622</v>
      </c>
      <c r="C1727" s="77">
        <v>10016758</v>
      </c>
      <c r="D1727" s="74" t="s">
        <v>1278</v>
      </c>
      <c r="E1727" s="74" t="s">
        <v>2162</v>
      </c>
      <c r="F1727" s="75">
        <v>1</v>
      </c>
      <c r="G1727" s="64" t="s">
        <v>0</v>
      </c>
      <c r="H1727" s="61">
        <v>42004</v>
      </c>
      <c r="I1727" s="61" t="s">
        <v>2158</v>
      </c>
      <c r="J1727" s="63" t="s">
        <v>1917</v>
      </c>
      <c r="K1727" s="101" t="s">
        <v>961</v>
      </c>
      <c r="L1727" s="88" t="s">
        <v>845</v>
      </c>
      <c r="M1727" s="76">
        <f t="shared" si="281"/>
        <v>2406.7800000000002</v>
      </c>
      <c r="N1727" s="76">
        <f t="shared" si="298"/>
        <v>2406.7800000000002</v>
      </c>
      <c r="O1727" s="76">
        <v>2406.7800000000002</v>
      </c>
      <c r="P1727" s="65">
        <v>1970</v>
      </c>
      <c r="Q1727" s="65">
        <f t="shared" si="291"/>
        <v>433.4</v>
      </c>
      <c r="R1727" s="65">
        <f t="shared" si="292"/>
        <v>2403.4</v>
      </c>
      <c r="S1727" s="272"/>
      <c r="T1727" s="64">
        <v>102</v>
      </c>
      <c r="U1727" s="270"/>
      <c r="V1727" s="38">
        <v>2197</v>
      </c>
      <c r="W1727" s="38">
        <f t="shared" si="293"/>
        <v>483.34</v>
      </c>
      <c r="X1727" s="38">
        <f t="shared" si="296"/>
        <v>2680.34</v>
      </c>
    </row>
    <row r="1728" spans="1:24" ht="15" customHeight="1" x14ac:dyDescent="0.35">
      <c r="A1728" s="56" t="s">
        <v>3936</v>
      </c>
      <c r="B1728" s="2">
        <v>1623</v>
      </c>
      <c r="C1728" s="77">
        <v>10090861</v>
      </c>
      <c r="D1728" s="74" t="s">
        <v>1279</v>
      </c>
      <c r="E1728" s="74" t="s">
        <v>2165</v>
      </c>
      <c r="F1728" s="75">
        <v>1</v>
      </c>
      <c r="G1728" s="64" t="s">
        <v>0</v>
      </c>
      <c r="H1728" s="61">
        <v>42004</v>
      </c>
      <c r="I1728" s="61" t="s">
        <v>2158</v>
      </c>
      <c r="J1728" s="63" t="s">
        <v>1917</v>
      </c>
      <c r="K1728" s="101" t="s">
        <v>961</v>
      </c>
      <c r="L1728" s="88" t="s">
        <v>845</v>
      </c>
      <c r="M1728" s="76">
        <f t="shared" si="281"/>
        <v>3095.45</v>
      </c>
      <c r="N1728" s="76">
        <f t="shared" si="298"/>
        <v>3095.45</v>
      </c>
      <c r="O1728" s="76">
        <v>3095.45</v>
      </c>
      <c r="P1728" s="65">
        <v>2530</v>
      </c>
      <c r="Q1728" s="65">
        <f t="shared" si="291"/>
        <v>556.6</v>
      </c>
      <c r="R1728" s="65">
        <f t="shared" si="292"/>
        <v>3086.6</v>
      </c>
      <c r="S1728" s="272"/>
      <c r="T1728" s="64">
        <v>102</v>
      </c>
      <c r="U1728" s="270"/>
      <c r="V1728" s="38">
        <v>2825</v>
      </c>
      <c r="W1728" s="38">
        <f t="shared" si="293"/>
        <v>621.5</v>
      </c>
      <c r="X1728" s="38">
        <f t="shared" si="296"/>
        <v>3446.5</v>
      </c>
    </row>
    <row r="1729" spans="1:24" ht="15" customHeight="1" x14ac:dyDescent="0.35">
      <c r="A1729" s="56" t="s">
        <v>3937</v>
      </c>
      <c r="B1729" s="2">
        <v>1624</v>
      </c>
      <c r="C1729" s="77">
        <v>10090732</v>
      </c>
      <c r="D1729" s="74" t="s">
        <v>1280</v>
      </c>
      <c r="E1729" s="74" t="s">
        <v>2162</v>
      </c>
      <c r="F1729" s="75">
        <v>2</v>
      </c>
      <c r="G1729" s="64" t="s">
        <v>0</v>
      </c>
      <c r="H1729" s="61">
        <v>42004</v>
      </c>
      <c r="I1729" s="61" t="s">
        <v>2158</v>
      </c>
      <c r="J1729" s="63" t="s">
        <v>1917</v>
      </c>
      <c r="K1729" s="101" t="s">
        <v>961</v>
      </c>
      <c r="L1729" s="88" t="s">
        <v>845</v>
      </c>
      <c r="M1729" s="76">
        <f t="shared" si="281"/>
        <v>4389.84</v>
      </c>
      <c r="N1729" s="76">
        <f t="shared" si="298"/>
        <v>2194.92</v>
      </c>
      <c r="O1729" s="76">
        <v>4389.84</v>
      </c>
      <c r="P1729" s="65">
        <v>3590</v>
      </c>
      <c r="Q1729" s="65">
        <f t="shared" si="291"/>
        <v>789.8</v>
      </c>
      <c r="R1729" s="65">
        <f t="shared" si="292"/>
        <v>4379.8</v>
      </c>
      <c r="S1729" s="272"/>
      <c r="T1729" s="64">
        <v>102</v>
      </c>
      <c r="U1729" s="270"/>
      <c r="V1729" s="38">
        <v>4007</v>
      </c>
      <c r="W1729" s="38">
        <f t="shared" si="293"/>
        <v>881.54</v>
      </c>
      <c r="X1729" s="38">
        <f t="shared" si="296"/>
        <v>4888.54</v>
      </c>
    </row>
    <row r="1730" spans="1:24" ht="15" customHeight="1" x14ac:dyDescent="0.35">
      <c r="A1730" s="56" t="s">
        <v>3938</v>
      </c>
      <c r="B1730" s="2">
        <v>1625</v>
      </c>
      <c r="C1730" s="77">
        <v>10090859</v>
      </c>
      <c r="D1730" s="74" t="s">
        <v>1281</v>
      </c>
      <c r="E1730" s="74" t="s">
        <v>2162</v>
      </c>
      <c r="F1730" s="75">
        <v>2</v>
      </c>
      <c r="G1730" s="64" t="s">
        <v>0</v>
      </c>
      <c r="H1730" s="61">
        <v>42004</v>
      </c>
      <c r="I1730" s="61" t="s">
        <v>2158</v>
      </c>
      <c r="J1730" s="63" t="s">
        <v>1917</v>
      </c>
      <c r="K1730" s="101" t="s">
        <v>961</v>
      </c>
      <c r="L1730" s="88" t="s">
        <v>845</v>
      </c>
      <c r="M1730" s="76">
        <f t="shared" si="281"/>
        <v>12100.8</v>
      </c>
      <c r="N1730" s="76">
        <f t="shared" si="298"/>
        <v>6050.4</v>
      </c>
      <c r="O1730" s="76">
        <v>12100.8</v>
      </c>
      <c r="P1730" s="65">
        <v>9880</v>
      </c>
      <c r="Q1730" s="65">
        <f t="shared" si="291"/>
        <v>2173.6</v>
      </c>
      <c r="R1730" s="65">
        <f t="shared" si="292"/>
        <v>12053.6</v>
      </c>
      <c r="S1730" s="272"/>
      <c r="T1730" s="64">
        <v>102</v>
      </c>
      <c r="U1730" s="270"/>
      <c r="V1730" s="38">
        <v>11044</v>
      </c>
      <c r="W1730" s="38">
        <f t="shared" si="293"/>
        <v>2429.6799999999998</v>
      </c>
      <c r="X1730" s="38">
        <f t="shared" si="296"/>
        <v>13473.68</v>
      </c>
    </row>
    <row r="1731" spans="1:24" ht="15.75" customHeight="1" x14ac:dyDescent="0.35">
      <c r="A1731" s="56" t="s">
        <v>3939</v>
      </c>
      <c r="B1731" s="2">
        <v>1626</v>
      </c>
      <c r="C1731" s="77">
        <v>10090875</v>
      </c>
      <c r="D1731" s="74" t="s">
        <v>1282</v>
      </c>
      <c r="E1731" s="74" t="s">
        <v>2162</v>
      </c>
      <c r="F1731" s="75">
        <v>2</v>
      </c>
      <c r="G1731" s="64" t="s">
        <v>0</v>
      </c>
      <c r="H1731" s="61">
        <v>42004</v>
      </c>
      <c r="I1731" s="61" t="s">
        <v>2158</v>
      </c>
      <c r="J1731" s="63" t="s">
        <v>1917</v>
      </c>
      <c r="K1731" s="101" t="s">
        <v>961</v>
      </c>
      <c r="L1731" s="88" t="s">
        <v>845</v>
      </c>
      <c r="M1731" s="148">
        <f t="shared" si="281"/>
        <v>75251.820000000007</v>
      </c>
      <c r="N1731" s="148">
        <f t="shared" si="298"/>
        <v>37625.910000000003</v>
      </c>
      <c r="O1731" s="76">
        <v>75251.820000000007</v>
      </c>
      <c r="P1731" s="65">
        <v>61470</v>
      </c>
      <c r="Q1731" s="65">
        <f t="shared" si="291"/>
        <v>13523.4</v>
      </c>
      <c r="R1731" s="65">
        <f t="shared" si="292"/>
        <v>74993.399999999994</v>
      </c>
      <c r="S1731" s="272"/>
      <c r="T1731" s="64">
        <v>102</v>
      </c>
      <c r="U1731" s="270"/>
      <c r="V1731" s="38">
        <v>68682</v>
      </c>
      <c r="W1731" s="38">
        <f t="shared" si="293"/>
        <v>15110.04</v>
      </c>
      <c r="X1731" s="38">
        <f t="shared" si="296"/>
        <v>83792.039999999994</v>
      </c>
    </row>
    <row r="1732" spans="1:24" ht="19.5" customHeight="1" x14ac:dyDescent="0.35">
      <c r="A1732" s="56" t="s">
        <v>3940</v>
      </c>
      <c r="B1732" s="2">
        <v>1627</v>
      </c>
      <c r="C1732" s="77">
        <v>10090749</v>
      </c>
      <c r="D1732" s="74" t="s">
        <v>1283</v>
      </c>
      <c r="E1732" s="74" t="s">
        <v>2162</v>
      </c>
      <c r="F1732" s="75">
        <v>3</v>
      </c>
      <c r="G1732" s="64" t="s">
        <v>0</v>
      </c>
      <c r="H1732" s="61">
        <v>42004</v>
      </c>
      <c r="I1732" s="61" t="s">
        <v>2158</v>
      </c>
      <c r="J1732" s="63" t="s">
        <v>1917</v>
      </c>
      <c r="K1732" s="101" t="s">
        <v>961</v>
      </c>
      <c r="L1732" s="88" t="s">
        <v>845</v>
      </c>
      <c r="M1732" s="76">
        <f t="shared" si="281"/>
        <v>6860.52</v>
      </c>
      <c r="N1732" s="76">
        <f t="shared" si="298"/>
        <v>2286.84</v>
      </c>
      <c r="O1732" s="76">
        <v>6860.52</v>
      </c>
      <c r="P1732" s="65">
        <v>5990</v>
      </c>
      <c r="Q1732" s="65">
        <f t="shared" si="291"/>
        <v>1317.8</v>
      </c>
      <c r="R1732" s="65">
        <f t="shared" si="292"/>
        <v>7307.8</v>
      </c>
      <c r="S1732" s="272"/>
      <c r="T1732" s="64">
        <v>102</v>
      </c>
      <c r="U1732" s="270"/>
      <c r="V1732" s="38">
        <v>6696</v>
      </c>
      <c r="W1732" s="38">
        <f t="shared" si="293"/>
        <v>1473.12</v>
      </c>
      <c r="X1732" s="38">
        <f t="shared" si="296"/>
        <v>8169.12</v>
      </c>
    </row>
    <row r="1733" spans="1:24" ht="15" customHeight="1" x14ac:dyDescent="0.35">
      <c r="A1733" s="56" t="s">
        <v>3941</v>
      </c>
      <c r="B1733" s="2">
        <v>1628</v>
      </c>
      <c r="C1733" s="77">
        <v>10090606</v>
      </c>
      <c r="D1733" s="74" t="s">
        <v>1284</v>
      </c>
      <c r="E1733" s="74" t="s">
        <v>2162</v>
      </c>
      <c r="F1733" s="75">
        <v>8</v>
      </c>
      <c r="G1733" s="64" t="s">
        <v>0</v>
      </c>
      <c r="H1733" s="61">
        <v>42004</v>
      </c>
      <c r="I1733" s="61" t="s">
        <v>2158</v>
      </c>
      <c r="J1733" s="63" t="s">
        <v>1917</v>
      </c>
      <c r="K1733" s="101" t="s">
        <v>961</v>
      </c>
      <c r="L1733" s="88" t="s">
        <v>845</v>
      </c>
      <c r="M1733" s="76">
        <f>O1733</f>
        <v>166744.64000000001</v>
      </c>
      <c r="N1733" s="76">
        <f t="shared" si="298"/>
        <v>20843.080000000002</v>
      </c>
      <c r="O1733" s="76">
        <v>166744.64000000001</v>
      </c>
      <c r="P1733" s="65">
        <v>145660</v>
      </c>
      <c r="Q1733" s="65">
        <f t="shared" si="291"/>
        <v>32045.200000000001</v>
      </c>
      <c r="R1733" s="65">
        <f t="shared" si="292"/>
        <v>177705.2</v>
      </c>
      <c r="S1733" s="276"/>
      <c r="T1733" s="64">
        <v>102</v>
      </c>
      <c r="U1733" s="270"/>
      <c r="V1733" s="38">
        <v>162750</v>
      </c>
      <c r="W1733" s="38">
        <f t="shared" si="293"/>
        <v>35805</v>
      </c>
      <c r="X1733" s="38">
        <f t="shared" si="296"/>
        <v>198555</v>
      </c>
    </row>
    <row r="1734" spans="1:24" ht="15" customHeight="1" x14ac:dyDescent="0.35">
      <c r="A1734" s="56"/>
      <c r="B1734" s="15"/>
      <c r="C1734" s="77"/>
      <c r="D1734" s="74"/>
      <c r="E1734" s="74"/>
      <c r="F1734" s="75"/>
      <c r="G1734" s="64"/>
      <c r="H1734" s="61"/>
      <c r="I1734" s="61"/>
      <c r="J1734" s="63"/>
      <c r="K1734" s="101"/>
      <c r="L1734" s="88"/>
      <c r="M1734" s="76"/>
      <c r="N1734" s="76"/>
      <c r="O1734" s="81">
        <f>SUM(O1723:O1733)</f>
        <v>645029.62</v>
      </c>
      <c r="P1734" s="81">
        <f t="shared" ref="P1734:R1734" si="299">SUM(P1723:P1733)</f>
        <v>587420</v>
      </c>
      <c r="Q1734" s="81">
        <f t="shared" si="299"/>
        <v>129232.4</v>
      </c>
      <c r="R1734" s="81">
        <f t="shared" si="299"/>
        <v>716652.4</v>
      </c>
      <c r="S1734" s="72">
        <f>R1734/100*10</f>
        <v>71665.240000000005</v>
      </c>
      <c r="T1734" s="73">
        <v>102</v>
      </c>
      <c r="U1734" s="271"/>
      <c r="V1734" s="38"/>
      <c r="W1734" s="38"/>
      <c r="X1734" s="38"/>
    </row>
    <row r="1735" spans="1:24" ht="15" customHeight="1" x14ac:dyDescent="0.35">
      <c r="A1735" s="56" t="s">
        <v>3942</v>
      </c>
      <c r="B1735" s="2">
        <v>1629</v>
      </c>
      <c r="C1735" s="77">
        <v>10119221</v>
      </c>
      <c r="D1735" s="74" t="s">
        <v>1631</v>
      </c>
      <c r="E1735" s="59" t="s">
        <v>2167</v>
      </c>
      <c r="F1735" s="75">
        <v>1419</v>
      </c>
      <c r="G1735" s="64" t="s">
        <v>0</v>
      </c>
      <c r="H1735" s="78">
        <v>41375</v>
      </c>
      <c r="I1735" s="4" t="s">
        <v>957</v>
      </c>
      <c r="J1735" s="63" t="s">
        <v>1917</v>
      </c>
      <c r="K1735" s="63" t="s">
        <v>961</v>
      </c>
      <c r="L1735" s="69" t="s">
        <v>950</v>
      </c>
      <c r="M1735" s="70">
        <f>O1735</f>
        <v>120246.06</v>
      </c>
      <c r="N1735" s="70">
        <f>O1735/F1735</f>
        <v>84.74</v>
      </c>
      <c r="O1735" s="70">
        <v>120246.06</v>
      </c>
      <c r="P1735" s="65">
        <v>220700</v>
      </c>
      <c r="Q1735" s="65">
        <f t="shared" si="291"/>
        <v>48554</v>
      </c>
      <c r="R1735" s="65">
        <f t="shared" si="292"/>
        <v>269254</v>
      </c>
      <c r="S1735" s="267"/>
      <c r="T1735" s="64">
        <v>103</v>
      </c>
      <c r="U1735" s="273" t="s">
        <v>2300</v>
      </c>
      <c r="V1735" s="38">
        <v>220703</v>
      </c>
      <c r="W1735" s="38">
        <f t="shared" si="293"/>
        <v>48554.66</v>
      </c>
      <c r="X1735" s="38">
        <f t="shared" si="296"/>
        <v>269257.65999999997</v>
      </c>
    </row>
    <row r="1736" spans="1:24" ht="15" customHeight="1" x14ac:dyDescent="0.35">
      <c r="A1736" s="56" t="s">
        <v>3943</v>
      </c>
      <c r="B1736" s="2">
        <v>1630</v>
      </c>
      <c r="C1736" s="77">
        <v>10119108</v>
      </c>
      <c r="D1736" s="74" t="s">
        <v>1859</v>
      </c>
      <c r="E1736" s="59" t="s">
        <v>2167</v>
      </c>
      <c r="F1736" s="75">
        <v>4</v>
      </c>
      <c r="G1736" s="64" t="s">
        <v>0</v>
      </c>
      <c r="H1736" s="78">
        <v>41320</v>
      </c>
      <c r="I1736" s="4" t="s">
        <v>957</v>
      </c>
      <c r="J1736" s="63" t="s">
        <v>1917</v>
      </c>
      <c r="K1736" s="63" t="s">
        <v>961</v>
      </c>
      <c r="L1736" s="69" t="s">
        <v>950</v>
      </c>
      <c r="M1736" s="70">
        <f>O1736</f>
        <v>100805.24</v>
      </c>
      <c r="N1736" s="70">
        <f>O1736/F1736</f>
        <v>25201.31</v>
      </c>
      <c r="O1736" s="70">
        <v>100805.24</v>
      </c>
      <c r="P1736" s="65">
        <v>180720</v>
      </c>
      <c r="Q1736" s="65">
        <f t="shared" si="291"/>
        <v>39758.400000000001</v>
      </c>
      <c r="R1736" s="65">
        <f t="shared" si="292"/>
        <v>220478.4</v>
      </c>
      <c r="S1736" s="276"/>
      <c r="T1736" s="64">
        <v>103</v>
      </c>
      <c r="U1736" s="270"/>
      <c r="V1736" s="38">
        <v>180723</v>
      </c>
      <c r="W1736" s="38">
        <f t="shared" si="293"/>
        <v>39759.06</v>
      </c>
      <c r="X1736" s="38">
        <f t="shared" si="296"/>
        <v>220482.06</v>
      </c>
    </row>
    <row r="1737" spans="1:24" ht="15" customHeight="1" x14ac:dyDescent="0.35">
      <c r="A1737" s="56"/>
      <c r="B1737" s="15"/>
      <c r="C1737" s="77"/>
      <c r="D1737" s="74"/>
      <c r="E1737" s="74"/>
      <c r="F1737" s="75"/>
      <c r="G1737" s="64"/>
      <c r="H1737" s="78"/>
      <c r="I1737" s="4"/>
      <c r="J1737" s="63"/>
      <c r="K1737" s="63"/>
      <c r="L1737" s="69"/>
      <c r="M1737" s="70"/>
      <c r="N1737" s="70"/>
      <c r="O1737" s="71">
        <f>SUM(O1735:O1736)</f>
        <v>221051.3</v>
      </c>
      <c r="P1737" s="71">
        <f t="shared" ref="P1737:R1737" si="300">SUM(P1735:P1736)</f>
        <v>401420</v>
      </c>
      <c r="Q1737" s="71">
        <f t="shared" si="300"/>
        <v>88312.4</v>
      </c>
      <c r="R1737" s="71">
        <f t="shared" si="300"/>
        <v>489732.4</v>
      </c>
      <c r="S1737" s="72">
        <f>R1737/100*10</f>
        <v>48973.24</v>
      </c>
      <c r="T1737" s="73">
        <v>103</v>
      </c>
      <c r="U1737" s="271"/>
      <c r="V1737" s="38"/>
      <c r="W1737" s="38"/>
      <c r="X1737" s="38"/>
    </row>
    <row r="1738" spans="1:24" ht="15" customHeight="1" x14ac:dyDescent="0.35">
      <c r="A1738" s="56" t="s">
        <v>3944</v>
      </c>
      <c r="B1738" s="2">
        <v>1631</v>
      </c>
      <c r="C1738" s="77">
        <v>10090691</v>
      </c>
      <c r="D1738" s="74" t="s">
        <v>149</v>
      </c>
      <c r="E1738" s="74" t="s">
        <v>2162</v>
      </c>
      <c r="F1738" s="75">
        <v>4</v>
      </c>
      <c r="G1738" s="64" t="s">
        <v>0</v>
      </c>
      <c r="H1738" s="101" t="s">
        <v>2145</v>
      </c>
      <c r="I1738" s="61" t="s">
        <v>2158</v>
      </c>
      <c r="J1738" s="63" t="s">
        <v>1917</v>
      </c>
      <c r="K1738" s="61" t="s">
        <v>961</v>
      </c>
      <c r="L1738" s="69" t="s">
        <v>2093</v>
      </c>
      <c r="M1738" s="70">
        <f t="shared" ref="M1738:M1751" si="301">O1738</f>
        <v>35129.58</v>
      </c>
      <c r="N1738" s="70">
        <f>O1738/F1738</f>
        <v>8782.4</v>
      </c>
      <c r="O1738" s="70">
        <v>35129.58</v>
      </c>
      <c r="P1738" s="65">
        <v>46070</v>
      </c>
      <c r="Q1738" s="65">
        <f t="shared" si="291"/>
        <v>10135.4</v>
      </c>
      <c r="R1738" s="65">
        <f t="shared" si="292"/>
        <v>56205.4</v>
      </c>
      <c r="S1738" s="267"/>
      <c r="T1738" s="64">
        <v>104</v>
      </c>
      <c r="U1738" s="273" t="s">
        <v>2300</v>
      </c>
      <c r="V1738" s="38">
        <v>46067</v>
      </c>
      <c r="W1738" s="38">
        <f t="shared" si="293"/>
        <v>10134.74</v>
      </c>
      <c r="X1738" s="38">
        <f t="shared" si="296"/>
        <v>56201.74</v>
      </c>
    </row>
    <row r="1739" spans="1:24" ht="66" customHeight="1" x14ac:dyDescent="0.35">
      <c r="A1739" s="56" t="s">
        <v>3945</v>
      </c>
      <c r="B1739" s="2">
        <v>1632</v>
      </c>
      <c r="C1739" s="77">
        <v>10090690</v>
      </c>
      <c r="D1739" s="74" t="s">
        <v>326</v>
      </c>
      <c r="E1739" s="74" t="s">
        <v>2146</v>
      </c>
      <c r="F1739" s="75">
        <v>2</v>
      </c>
      <c r="G1739" s="64" t="s">
        <v>0</v>
      </c>
      <c r="H1739" s="64">
        <v>2014</v>
      </c>
      <c r="I1739" s="61" t="s">
        <v>972</v>
      </c>
      <c r="J1739" s="63" t="s">
        <v>1917</v>
      </c>
      <c r="K1739" s="63" t="s">
        <v>4163</v>
      </c>
      <c r="L1739" s="64" t="s">
        <v>2097</v>
      </c>
      <c r="M1739" s="65">
        <f t="shared" si="301"/>
        <v>15488</v>
      </c>
      <c r="N1739" s="65">
        <f>O1739/F1739</f>
        <v>7744</v>
      </c>
      <c r="O1739" s="65">
        <v>15488</v>
      </c>
      <c r="P1739" s="65">
        <v>24310</v>
      </c>
      <c r="Q1739" s="65">
        <f t="shared" si="291"/>
        <v>5348.2</v>
      </c>
      <c r="R1739" s="65">
        <f t="shared" si="292"/>
        <v>29658.2</v>
      </c>
      <c r="S1739" s="276"/>
      <c r="T1739" s="64">
        <v>104</v>
      </c>
      <c r="U1739" s="270"/>
      <c r="V1739" s="38">
        <v>24308</v>
      </c>
      <c r="W1739" s="38">
        <f t="shared" si="293"/>
        <v>5347.76</v>
      </c>
      <c r="X1739" s="38">
        <f t="shared" si="296"/>
        <v>29655.759999999998</v>
      </c>
    </row>
    <row r="1740" spans="1:24" ht="15" customHeight="1" x14ac:dyDescent="0.35">
      <c r="A1740" s="56"/>
      <c r="B1740" s="15"/>
      <c r="C1740" s="77"/>
      <c r="D1740" s="74"/>
      <c r="E1740" s="74"/>
      <c r="F1740" s="75"/>
      <c r="G1740" s="64"/>
      <c r="H1740" s="64"/>
      <c r="I1740" s="61"/>
      <c r="J1740" s="63"/>
      <c r="K1740" s="64"/>
      <c r="L1740" s="64"/>
      <c r="M1740" s="65"/>
      <c r="N1740" s="65"/>
      <c r="O1740" s="126">
        <f>SUM(O1738:O1739)</f>
        <v>50617.58</v>
      </c>
      <c r="P1740" s="126">
        <f t="shared" ref="P1740:R1740" si="302">SUM(P1738:P1739)</f>
        <v>70380</v>
      </c>
      <c r="Q1740" s="126">
        <f t="shared" si="302"/>
        <v>15483.6</v>
      </c>
      <c r="R1740" s="126">
        <f t="shared" si="302"/>
        <v>85863.6</v>
      </c>
      <c r="S1740" s="72">
        <f>R1740/100*10</f>
        <v>8586.36</v>
      </c>
      <c r="T1740" s="73">
        <v>104</v>
      </c>
      <c r="U1740" s="271"/>
      <c r="V1740" s="38"/>
      <c r="W1740" s="38"/>
      <c r="X1740" s="38"/>
    </row>
    <row r="1741" spans="1:24" ht="15" customHeight="1" x14ac:dyDescent="0.35">
      <c r="A1741" s="56" t="s">
        <v>3946</v>
      </c>
      <c r="B1741" s="2">
        <v>1633</v>
      </c>
      <c r="C1741" s="77">
        <v>10096944</v>
      </c>
      <c r="D1741" s="74" t="s">
        <v>1511</v>
      </c>
      <c r="E1741" s="59" t="s">
        <v>2167</v>
      </c>
      <c r="F1741" s="75">
        <v>31</v>
      </c>
      <c r="G1741" s="64" t="s">
        <v>0</v>
      </c>
      <c r="H1741" s="78">
        <v>41484</v>
      </c>
      <c r="I1741" s="4" t="s">
        <v>957</v>
      </c>
      <c r="J1741" s="63" t="s">
        <v>1917</v>
      </c>
      <c r="K1741" s="63" t="s">
        <v>961</v>
      </c>
      <c r="L1741" s="69" t="s">
        <v>950</v>
      </c>
      <c r="M1741" s="70">
        <f t="shared" si="301"/>
        <v>54.89</v>
      </c>
      <c r="N1741" s="70">
        <f>O1741/F1741</f>
        <v>1.77</v>
      </c>
      <c r="O1741" s="70">
        <v>54.89</v>
      </c>
      <c r="P1741" s="65">
        <v>90</v>
      </c>
      <c r="Q1741" s="65">
        <f t="shared" si="291"/>
        <v>19.8</v>
      </c>
      <c r="R1741" s="65">
        <f t="shared" si="292"/>
        <v>109.8</v>
      </c>
      <c r="S1741" s="267"/>
      <c r="T1741" s="64">
        <v>105</v>
      </c>
      <c r="U1741" s="273" t="s">
        <v>2301</v>
      </c>
      <c r="V1741" s="38">
        <v>98</v>
      </c>
      <c r="W1741" s="38">
        <f t="shared" si="293"/>
        <v>21.56</v>
      </c>
      <c r="X1741" s="38">
        <f t="shared" si="296"/>
        <v>119.56</v>
      </c>
    </row>
    <row r="1742" spans="1:24" ht="15" customHeight="1" x14ac:dyDescent="0.35">
      <c r="A1742" s="56" t="s">
        <v>3947</v>
      </c>
      <c r="B1742" s="2">
        <v>1634</v>
      </c>
      <c r="C1742" s="77">
        <v>10030872</v>
      </c>
      <c r="D1742" s="74" t="s">
        <v>1620</v>
      </c>
      <c r="E1742" s="59" t="s">
        <v>2167</v>
      </c>
      <c r="F1742" s="75">
        <v>20</v>
      </c>
      <c r="G1742" s="64" t="s">
        <v>0</v>
      </c>
      <c r="H1742" s="78">
        <v>41431</v>
      </c>
      <c r="I1742" s="4" t="s">
        <v>957</v>
      </c>
      <c r="J1742" s="63" t="s">
        <v>1917</v>
      </c>
      <c r="K1742" s="63" t="s">
        <v>961</v>
      </c>
      <c r="L1742" s="69" t="s">
        <v>950</v>
      </c>
      <c r="M1742" s="70">
        <f t="shared" si="301"/>
        <v>2062.33</v>
      </c>
      <c r="N1742" s="70">
        <f>O1742/F1742</f>
        <v>103.12</v>
      </c>
      <c r="O1742" s="70">
        <v>2062.33</v>
      </c>
      <c r="P1742" s="65">
        <v>3320</v>
      </c>
      <c r="Q1742" s="65">
        <f t="shared" si="291"/>
        <v>730.4</v>
      </c>
      <c r="R1742" s="65">
        <f t="shared" si="292"/>
        <v>4050.4</v>
      </c>
      <c r="S1742" s="272"/>
      <c r="T1742" s="64">
        <v>105</v>
      </c>
      <c r="U1742" s="274"/>
      <c r="V1742" s="38">
        <v>3573</v>
      </c>
      <c r="W1742" s="38">
        <f t="shared" si="293"/>
        <v>786.06</v>
      </c>
      <c r="X1742" s="38">
        <f t="shared" si="296"/>
        <v>4359.0600000000004</v>
      </c>
    </row>
    <row r="1743" spans="1:24" ht="15" customHeight="1" x14ac:dyDescent="0.35">
      <c r="A1743" s="56" t="s">
        <v>3948</v>
      </c>
      <c r="B1743" s="2">
        <v>1635</v>
      </c>
      <c r="C1743" s="11">
        <v>10144692</v>
      </c>
      <c r="D1743" s="3" t="s">
        <v>1358</v>
      </c>
      <c r="E1743" s="59" t="s">
        <v>2167</v>
      </c>
      <c r="F1743" s="14">
        <v>4</v>
      </c>
      <c r="G1743" s="64" t="s">
        <v>0</v>
      </c>
      <c r="H1743" s="5">
        <v>41456</v>
      </c>
      <c r="I1743" s="4" t="s">
        <v>957</v>
      </c>
      <c r="J1743" s="63" t="s">
        <v>1917</v>
      </c>
      <c r="K1743" s="63" t="s">
        <v>961</v>
      </c>
      <c r="L1743" s="69" t="s">
        <v>950</v>
      </c>
      <c r="M1743" s="70">
        <f t="shared" si="301"/>
        <v>50265.84</v>
      </c>
      <c r="N1743" s="70">
        <f>O1743/F1743</f>
        <v>12566.46</v>
      </c>
      <c r="O1743" s="70">
        <v>50265.84</v>
      </c>
      <c r="P1743" s="65">
        <v>79270</v>
      </c>
      <c r="Q1743" s="65">
        <f t="shared" si="291"/>
        <v>17439.400000000001</v>
      </c>
      <c r="R1743" s="65">
        <f t="shared" si="292"/>
        <v>96709.4</v>
      </c>
      <c r="S1743" s="276"/>
      <c r="T1743" s="64">
        <v>105</v>
      </c>
      <c r="U1743" s="274"/>
      <c r="V1743" s="38">
        <v>85237</v>
      </c>
      <c r="W1743" s="38">
        <f t="shared" si="293"/>
        <v>18752.14</v>
      </c>
      <c r="X1743" s="38">
        <f t="shared" si="296"/>
        <v>103989.14</v>
      </c>
    </row>
    <row r="1744" spans="1:24" ht="15" customHeight="1" x14ac:dyDescent="0.35">
      <c r="A1744" s="56"/>
      <c r="B1744" s="15"/>
      <c r="C1744" s="11"/>
      <c r="D1744" s="3"/>
      <c r="E1744" s="59"/>
      <c r="F1744" s="14"/>
      <c r="G1744" s="64"/>
      <c r="H1744" s="5"/>
      <c r="I1744" s="4"/>
      <c r="J1744" s="63"/>
      <c r="K1744" s="63"/>
      <c r="L1744" s="69"/>
      <c r="M1744" s="70"/>
      <c r="N1744" s="70"/>
      <c r="O1744" s="71">
        <f>SUM(O1741:O1743)</f>
        <v>52383.06</v>
      </c>
      <c r="P1744" s="71">
        <f t="shared" ref="P1744:R1744" si="303">SUM(P1741:P1743)</f>
        <v>82680</v>
      </c>
      <c r="Q1744" s="71">
        <f t="shared" si="303"/>
        <v>18189.599999999999</v>
      </c>
      <c r="R1744" s="71">
        <f t="shared" si="303"/>
        <v>100869.6</v>
      </c>
      <c r="S1744" s="72">
        <f>R1744/100*10</f>
        <v>10086.959999999999</v>
      </c>
      <c r="T1744" s="73">
        <v>105</v>
      </c>
      <c r="U1744" s="275"/>
      <c r="V1744" s="38"/>
      <c r="W1744" s="38"/>
      <c r="X1744" s="38"/>
    </row>
    <row r="1745" spans="1:24" ht="15" customHeight="1" x14ac:dyDescent="0.35">
      <c r="A1745" s="56" t="s">
        <v>3949</v>
      </c>
      <c r="B1745" s="2">
        <v>1636</v>
      </c>
      <c r="C1745" s="77">
        <v>10021444</v>
      </c>
      <c r="D1745" s="74" t="s">
        <v>363</v>
      </c>
      <c r="E1745" s="74" t="s">
        <v>2151</v>
      </c>
      <c r="F1745" s="75">
        <v>6</v>
      </c>
      <c r="G1745" s="64" t="s">
        <v>0</v>
      </c>
      <c r="H1745" s="61">
        <v>42824</v>
      </c>
      <c r="I1745" s="61" t="s">
        <v>972</v>
      </c>
      <c r="J1745" s="63" t="s">
        <v>1917</v>
      </c>
      <c r="K1745" s="61" t="s">
        <v>961</v>
      </c>
      <c r="L1745" s="61" t="s">
        <v>845</v>
      </c>
      <c r="M1745" s="65">
        <f t="shared" si="301"/>
        <v>3690.48</v>
      </c>
      <c r="N1745" s="65">
        <f t="shared" ref="N1745:N1751" si="304">O1745/F1745</f>
        <v>615.08000000000004</v>
      </c>
      <c r="O1745" s="65">
        <v>3690.48</v>
      </c>
      <c r="P1745" s="65">
        <v>2820</v>
      </c>
      <c r="Q1745" s="65">
        <f t="shared" si="291"/>
        <v>620.4</v>
      </c>
      <c r="R1745" s="65">
        <f t="shared" si="292"/>
        <v>3440.4</v>
      </c>
      <c r="S1745" s="267"/>
      <c r="T1745" s="64">
        <v>106</v>
      </c>
      <c r="U1745" s="273" t="s">
        <v>2301</v>
      </c>
      <c r="V1745" s="38">
        <v>3079</v>
      </c>
      <c r="W1745" s="38">
        <f t="shared" si="293"/>
        <v>677.38</v>
      </c>
      <c r="X1745" s="38">
        <f t="shared" si="296"/>
        <v>3756.38</v>
      </c>
    </row>
    <row r="1746" spans="1:24" ht="15" customHeight="1" x14ac:dyDescent="0.35">
      <c r="A1746" s="56" t="s">
        <v>3950</v>
      </c>
      <c r="B1746" s="2">
        <v>1637</v>
      </c>
      <c r="C1746" s="89">
        <v>10140197</v>
      </c>
      <c r="D1746" s="90" t="s">
        <v>639</v>
      </c>
      <c r="E1746" s="74" t="s">
        <v>684</v>
      </c>
      <c r="F1746" s="91">
        <v>2</v>
      </c>
      <c r="G1746" s="64" t="s">
        <v>0</v>
      </c>
      <c r="H1746" s="61">
        <v>42004</v>
      </c>
      <c r="I1746" s="107" t="s">
        <v>976</v>
      </c>
      <c r="J1746" s="63" t="s">
        <v>1917</v>
      </c>
      <c r="K1746" s="108" t="s">
        <v>693</v>
      </c>
      <c r="L1746" s="64" t="s">
        <v>845</v>
      </c>
      <c r="M1746" s="65">
        <f t="shared" si="301"/>
        <v>15256</v>
      </c>
      <c r="N1746" s="65">
        <f t="shared" si="304"/>
        <v>7628</v>
      </c>
      <c r="O1746" s="65">
        <v>15256</v>
      </c>
      <c r="P1746" s="65">
        <v>14110</v>
      </c>
      <c r="Q1746" s="65">
        <f t="shared" si="291"/>
        <v>3104.2</v>
      </c>
      <c r="R1746" s="65">
        <f t="shared" si="292"/>
        <v>17214.2</v>
      </c>
      <c r="S1746" s="272"/>
      <c r="T1746" s="64">
        <v>106</v>
      </c>
      <c r="U1746" s="270"/>
      <c r="V1746" s="38">
        <v>15388</v>
      </c>
      <c r="W1746" s="38">
        <f t="shared" si="293"/>
        <v>3385.36</v>
      </c>
      <c r="X1746" s="38">
        <f t="shared" si="296"/>
        <v>18773.36</v>
      </c>
    </row>
    <row r="1747" spans="1:24" ht="15" customHeight="1" x14ac:dyDescent="0.35">
      <c r="A1747" s="56" t="s">
        <v>3951</v>
      </c>
      <c r="B1747" s="2">
        <v>1638</v>
      </c>
      <c r="C1747" s="89">
        <v>10103096</v>
      </c>
      <c r="D1747" s="90" t="s">
        <v>555</v>
      </c>
      <c r="E1747" s="74" t="s">
        <v>686</v>
      </c>
      <c r="F1747" s="91">
        <v>2</v>
      </c>
      <c r="G1747" s="64" t="s">
        <v>0</v>
      </c>
      <c r="H1747" s="61">
        <v>42004</v>
      </c>
      <c r="I1747" s="107" t="s">
        <v>976</v>
      </c>
      <c r="J1747" s="63" t="s">
        <v>1917</v>
      </c>
      <c r="K1747" s="108" t="s">
        <v>799</v>
      </c>
      <c r="L1747" s="64" t="s">
        <v>845</v>
      </c>
      <c r="M1747" s="65">
        <f t="shared" si="301"/>
        <v>610.6</v>
      </c>
      <c r="N1747" s="65">
        <f t="shared" si="304"/>
        <v>305.3</v>
      </c>
      <c r="O1747" s="65">
        <v>610.6</v>
      </c>
      <c r="P1747" s="65">
        <v>560</v>
      </c>
      <c r="Q1747" s="65">
        <f t="shared" si="291"/>
        <v>123.2</v>
      </c>
      <c r="R1747" s="65">
        <f t="shared" si="292"/>
        <v>683.2</v>
      </c>
      <c r="S1747" s="272"/>
      <c r="T1747" s="64">
        <v>106</v>
      </c>
      <c r="U1747" s="270"/>
      <c r="V1747" s="38">
        <v>616</v>
      </c>
      <c r="W1747" s="38">
        <f t="shared" si="293"/>
        <v>135.52000000000001</v>
      </c>
      <c r="X1747" s="38">
        <f t="shared" si="296"/>
        <v>751.52</v>
      </c>
    </row>
    <row r="1748" spans="1:24" ht="25.9" customHeight="1" x14ac:dyDescent="0.35">
      <c r="A1748" s="56" t="s">
        <v>3952</v>
      </c>
      <c r="B1748" s="2">
        <v>1639</v>
      </c>
      <c r="C1748" s="77">
        <v>10091903</v>
      </c>
      <c r="D1748" s="74" t="s">
        <v>1245</v>
      </c>
      <c r="E1748" s="74" t="s">
        <v>2162</v>
      </c>
      <c r="F1748" s="75">
        <v>2</v>
      </c>
      <c r="G1748" s="64" t="s">
        <v>0</v>
      </c>
      <c r="H1748" s="61">
        <v>42569</v>
      </c>
      <c r="I1748" s="61" t="s">
        <v>2158</v>
      </c>
      <c r="J1748" s="63" t="s">
        <v>1917</v>
      </c>
      <c r="K1748" s="135" t="s">
        <v>1289</v>
      </c>
      <c r="L1748" s="88" t="s">
        <v>845</v>
      </c>
      <c r="M1748" s="76">
        <f t="shared" si="301"/>
        <v>11615.56</v>
      </c>
      <c r="N1748" s="76">
        <f t="shared" si="304"/>
        <v>5807.78</v>
      </c>
      <c r="O1748" s="76">
        <v>11615.56</v>
      </c>
      <c r="P1748" s="65">
        <v>7320</v>
      </c>
      <c r="Q1748" s="65">
        <f t="shared" si="291"/>
        <v>1610.4</v>
      </c>
      <c r="R1748" s="65">
        <f t="shared" si="292"/>
        <v>8930.4</v>
      </c>
      <c r="S1748" s="272"/>
      <c r="T1748" s="64">
        <v>106</v>
      </c>
      <c r="U1748" s="270"/>
      <c r="V1748" s="38">
        <v>7983</v>
      </c>
      <c r="W1748" s="38">
        <f t="shared" si="293"/>
        <v>1756.26</v>
      </c>
      <c r="X1748" s="38">
        <f t="shared" si="296"/>
        <v>9739.26</v>
      </c>
    </row>
    <row r="1749" spans="1:24" ht="15" customHeight="1" x14ac:dyDescent="0.35">
      <c r="A1749" s="56" t="s">
        <v>3953</v>
      </c>
      <c r="B1749" s="2">
        <v>1640</v>
      </c>
      <c r="C1749" s="74">
        <v>102029224</v>
      </c>
      <c r="D1749" s="74" t="s">
        <v>2101</v>
      </c>
      <c r="E1749" s="74" t="s">
        <v>2147</v>
      </c>
      <c r="F1749" s="75">
        <v>40</v>
      </c>
      <c r="G1749" s="64" t="s">
        <v>0</v>
      </c>
      <c r="H1749" s="64">
        <v>2008</v>
      </c>
      <c r="I1749" s="105" t="s">
        <v>972</v>
      </c>
      <c r="J1749" s="63" t="s">
        <v>1917</v>
      </c>
      <c r="K1749" s="63" t="s">
        <v>961</v>
      </c>
      <c r="L1749" s="61" t="s">
        <v>845</v>
      </c>
      <c r="M1749" s="65">
        <f t="shared" si="301"/>
        <v>2228</v>
      </c>
      <c r="N1749" s="65">
        <f t="shared" si="304"/>
        <v>55.7</v>
      </c>
      <c r="O1749" s="65">
        <v>2228</v>
      </c>
      <c r="P1749" s="65">
        <v>3120</v>
      </c>
      <c r="Q1749" s="65">
        <f t="shared" si="291"/>
        <v>686.4</v>
      </c>
      <c r="R1749" s="65">
        <f t="shared" si="292"/>
        <v>3806.4</v>
      </c>
      <c r="S1749" s="272"/>
      <c r="T1749" s="64">
        <v>106</v>
      </c>
      <c r="U1749" s="270"/>
      <c r="V1749" s="38">
        <v>3408</v>
      </c>
      <c r="W1749" s="38">
        <f t="shared" si="293"/>
        <v>749.76</v>
      </c>
      <c r="X1749" s="38">
        <f t="shared" si="296"/>
        <v>4157.76</v>
      </c>
    </row>
    <row r="1750" spans="1:24" ht="15" customHeight="1" x14ac:dyDescent="0.35">
      <c r="A1750" s="56" t="s">
        <v>3954</v>
      </c>
      <c r="B1750" s="2">
        <v>1641</v>
      </c>
      <c r="C1750" s="74">
        <v>102029234</v>
      </c>
      <c r="D1750" s="74" t="s">
        <v>2117</v>
      </c>
      <c r="E1750" s="74" t="s">
        <v>2147</v>
      </c>
      <c r="F1750" s="75">
        <v>20</v>
      </c>
      <c r="G1750" s="64" t="s">
        <v>0</v>
      </c>
      <c r="H1750" s="64">
        <v>2007</v>
      </c>
      <c r="I1750" s="105" t="s">
        <v>972</v>
      </c>
      <c r="J1750" s="63" t="s">
        <v>1917</v>
      </c>
      <c r="K1750" s="63" t="s">
        <v>961</v>
      </c>
      <c r="L1750" s="61" t="s">
        <v>845</v>
      </c>
      <c r="M1750" s="65">
        <f t="shared" si="301"/>
        <v>5986</v>
      </c>
      <c r="N1750" s="65">
        <f t="shared" si="304"/>
        <v>299.3</v>
      </c>
      <c r="O1750" s="65">
        <v>5986</v>
      </c>
      <c r="P1750" s="65">
        <v>5720</v>
      </c>
      <c r="Q1750" s="65">
        <f t="shared" si="291"/>
        <v>1258.4000000000001</v>
      </c>
      <c r="R1750" s="65">
        <f t="shared" si="292"/>
        <v>6978.4</v>
      </c>
      <c r="S1750" s="272"/>
      <c r="T1750" s="64">
        <v>106</v>
      </c>
      <c r="U1750" s="270"/>
      <c r="V1750" s="38">
        <v>6242</v>
      </c>
      <c r="W1750" s="38">
        <f t="shared" si="293"/>
        <v>1373.24</v>
      </c>
      <c r="X1750" s="38">
        <f t="shared" si="296"/>
        <v>7615.24</v>
      </c>
    </row>
    <row r="1751" spans="1:24" ht="15" customHeight="1" x14ac:dyDescent="0.35">
      <c r="A1751" s="56" t="s">
        <v>3955</v>
      </c>
      <c r="B1751" s="2">
        <v>1642</v>
      </c>
      <c r="C1751" s="77">
        <v>10014067</v>
      </c>
      <c r="D1751" s="74" t="s">
        <v>37</v>
      </c>
      <c r="E1751" s="59" t="s">
        <v>2167</v>
      </c>
      <c r="F1751" s="75">
        <v>2</v>
      </c>
      <c r="G1751" s="64" t="s">
        <v>0</v>
      </c>
      <c r="H1751" s="101">
        <v>2014</v>
      </c>
      <c r="I1751" s="4" t="s">
        <v>957</v>
      </c>
      <c r="J1751" s="61" t="s">
        <v>1917</v>
      </c>
      <c r="K1751" s="101" t="s">
        <v>2018</v>
      </c>
      <c r="L1751" s="61" t="s">
        <v>2097</v>
      </c>
      <c r="M1751" s="65">
        <f t="shared" si="301"/>
        <v>298</v>
      </c>
      <c r="N1751" s="65">
        <f t="shared" si="304"/>
        <v>149</v>
      </c>
      <c r="O1751" s="65">
        <v>298</v>
      </c>
      <c r="P1751" s="65">
        <v>290</v>
      </c>
      <c r="Q1751" s="65">
        <f t="shared" si="291"/>
        <v>63.8</v>
      </c>
      <c r="R1751" s="65">
        <f t="shared" si="292"/>
        <v>353.8</v>
      </c>
      <c r="S1751" s="276"/>
      <c r="T1751" s="64">
        <v>106</v>
      </c>
      <c r="U1751" s="270"/>
      <c r="V1751" s="38">
        <v>319</v>
      </c>
      <c r="W1751" s="38">
        <f t="shared" si="293"/>
        <v>70.180000000000007</v>
      </c>
      <c r="X1751" s="38">
        <f t="shared" si="296"/>
        <v>389.18</v>
      </c>
    </row>
    <row r="1752" spans="1:24" ht="15" customHeight="1" x14ac:dyDescent="0.35">
      <c r="A1752" s="56"/>
      <c r="B1752" s="15"/>
      <c r="C1752" s="77"/>
      <c r="D1752" s="74"/>
      <c r="E1752" s="74"/>
      <c r="F1752" s="75"/>
      <c r="G1752" s="64"/>
      <c r="H1752" s="101"/>
      <c r="I1752" s="4"/>
      <c r="J1752" s="61"/>
      <c r="K1752" s="101"/>
      <c r="L1752" s="61"/>
      <c r="M1752" s="65"/>
      <c r="N1752" s="65"/>
      <c r="O1752" s="126">
        <f>SUM(O1745:O1751)</f>
        <v>39684.639999999999</v>
      </c>
      <c r="P1752" s="126">
        <f t="shared" ref="P1752:R1752" si="305">SUM(P1745:P1751)</f>
        <v>33940</v>
      </c>
      <c r="Q1752" s="126">
        <f t="shared" si="305"/>
        <v>7466.8</v>
      </c>
      <c r="R1752" s="126">
        <f t="shared" si="305"/>
        <v>41406.800000000003</v>
      </c>
      <c r="S1752" s="72">
        <f>R1752/100*10</f>
        <v>4140.68</v>
      </c>
      <c r="T1752" s="73">
        <v>106</v>
      </c>
      <c r="U1752" s="271"/>
      <c r="V1752" s="38"/>
      <c r="W1752" s="38"/>
      <c r="X1752" s="38"/>
    </row>
    <row r="1753" spans="1:24" ht="15" customHeight="1" x14ac:dyDescent="0.35">
      <c r="A1753" s="56" t="s">
        <v>3964</v>
      </c>
      <c r="B1753" s="20">
        <v>1643</v>
      </c>
      <c r="C1753" s="74">
        <v>10019248</v>
      </c>
      <c r="D1753" s="105" t="s">
        <v>3956</v>
      </c>
      <c r="E1753" s="201" t="s">
        <v>2157</v>
      </c>
      <c r="F1753" s="75">
        <v>1</v>
      </c>
      <c r="G1753" s="64" t="s">
        <v>0</v>
      </c>
      <c r="H1753" s="202">
        <v>39678</v>
      </c>
      <c r="I1753" s="203" t="s">
        <v>2094</v>
      </c>
      <c r="J1753" s="63" t="s">
        <v>3979</v>
      </c>
      <c r="K1753" s="63" t="s">
        <v>961</v>
      </c>
      <c r="L1753" s="61" t="s">
        <v>845</v>
      </c>
      <c r="M1753" s="65">
        <f>O1753</f>
        <v>1566.97</v>
      </c>
      <c r="N1753" s="65">
        <v>1566.97</v>
      </c>
      <c r="O1753" s="204">
        <v>1566.97</v>
      </c>
      <c r="P1753" s="65">
        <v>1060</v>
      </c>
      <c r="Q1753" s="65">
        <f t="shared" si="291"/>
        <v>233.2</v>
      </c>
      <c r="R1753" s="65">
        <f t="shared" si="292"/>
        <v>1293.2</v>
      </c>
      <c r="S1753" s="267"/>
      <c r="T1753" s="203">
        <v>107</v>
      </c>
      <c r="U1753" s="277" t="s">
        <v>3975</v>
      </c>
      <c r="V1753" s="38">
        <v>1180</v>
      </c>
      <c r="W1753" s="38">
        <f t="shared" si="293"/>
        <v>259.60000000000002</v>
      </c>
      <c r="X1753" s="38">
        <f t="shared" si="296"/>
        <v>1439.6</v>
      </c>
    </row>
    <row r="1754" spans="1:24" ht="15" customHeight="1" x14ac:dyDescent="0.35">
      <c r="A1754" s="56" t="s">
        <v>3965</v>
      </c>
      <c r="B1754" s="20">
        <v>1644</v>
      </c>
      <c r="C1754" s="74">
        <v>10145214</v>
      </c>
      <c r="D1754" s="105" t="s">
        <v>3957</v>
      </c>
      <c r="E1754" s="74" t="s">
        <v>2156</v>
      </c>
      <c r="F1754" s="75">
        <v>1</v>
      </c>
      <c r="G1754" s="64" t="s">
        <v>0</v>
      </c>
      <c r="H1754" s="202">
        <v>42004</v>
      </c>
      <c r="I1754" s="203" t="s">
        <v>2094</v>
      </c>
      <c r="J1754" s="63" t="s">
        <v>3980</v>
      </c>
      <c r="K1754" s="63" t="s">
        <v>961</v>
      </c>
      <c r="L1754" s="61" t="s">
        <v>845</v>
      </c>
      <c r="M1754" s="65">
        <f>O1754</f>
        <v>22300</v>
      </c>
      <c r="N1754" s="65">
        <v>22300</v>
      </c>
      <c r="O1754" s="65">
        <v>22300</v>
      </c>
      <c r="P1754" s="65">
        <v>16400</v>
      </c>
      <c r="Q1754" s="65">
        <f t="shared" si="291"/>
        <v>3608</v>
      </c>
      <c r="R1754" s="65">
        <f t="shared" si="292"/>
        <v>20008</v>
      </c>
      <c r="S1754" s="272"/>
      <c r="T1754" s="203">
        <v>107</v>
      </c>
      <c r="U1754" s="277"/>
      <c r="V1754" s="38">
        <v>18319</v>
      </c>
      <c r="W1754" s="38">
        <f t="shared" si="293"/>
        <v>4030.18</v>
      </c>
      <c r="X1754" s="38">
        <f t="shared" si="296"/>
        <v>22349.18</v>
      </c>
    </row>
    <row r="1755" spans="1:24" ht="15" customHeight="1" x14ac:dyDescent="0.35">
      <c r="A1755" s="56" t="s">
        <v>3966</v>
      </c>
      <c r="B1755" s="20">
        <v>1645</v>
      </c>
      <c r="C1755" s="74">
        <v>10145236</v>
      </c>
      <c r="D1755" s="105" t="s">
        <v>259</v>
      </c>
      <c r="E1755" s="74" t="s">
        <v>2156</v>
      </c>
      <c r="F1755" s="75">
        <v>1</v>
      </c>
      <c r="G1755" s="64" t="s">
        <v>0</v>
      </c>
      <c r="H1755" s="202">
        <v>42004</v>
      </c>
      <c r="I1755" s="61" t="s">
        <v>2094</v>
      </c>
      <c r="J1755" s="63" t="s">
        <v>3980</v>
      </c>
      <c r="K1755" s="63" t="s">
        <v>961</v>
      </c>
      <c r="L1755" s="61" t="s">
        <v>845</v>
      </c>
      <c r="M1755" s="65">
        <f>O1755</f>
        <v>76100</v>
      </c>
      <c r="N1755" s="65">
        <v>76100</v>
      </c>
      <c r="O1755" s="65">
        <v>76100</v>
      </c>
      <c r="P1755" s="65">
        <v>55950</v>
      </c>
      <c r="Q1755" s="65">
        <f t="shared" si="291"/>
        <v>12309</v>
      </c>
      <c r="R1755" s="65">
        <f t="shared" si="292"/>
        <v>68259</v>
      </c>
      <c r="S1755" s="272"/>
      <c r="T1755" s="203">
        <v>107</v>
      </c>
      <c r="U1755" s="277"/>
      <c r="V1755" s="38">
        <v>62515</v>
      </c>
      <c r="W1755" s="38">
        <f t="shared" si="293"/>
        <v>13753.3</v>
      </c>
      <c r="X1755" s="38">
        <f t="shared" si="296"/>
        <v>76268.3</v>
      </c>
    </row>
    <row r="1756" spans="1:24" ht="15" customHeight="1" x14ac:dyDescent="0.35">
      <c r="A1756" s="56" t="s">
        <v>3967</v>
      </c>
      <c r="B1756" s="20">
        <v>1646</v>
      </c>
      <c r="C1756" s="74">
        <v>10145245</v>
      </c>
      <c r="D1756" s="105" t="s">
        <v>3958</v>
      </c>
      <c r="E1756" s="74" t="s">
        <v>2156</v>
      </c>
      <c r="F1756" s="75">
        <v>1</v>
      </c>
      <c r="G1756" s="64" t="s">
        <v>0</v>
      </c>
      <c r="H1756" s="202">
        <v>42004</v>
      </c>
      <c r="I1756" s="61" t="s">
        <v>2094</v>
      </c>
      <c r="J1756" s="63" t="s">
        <v>3980</v>
      </c>
      <c r="K1756" s="63" t="s">
        <v>961</v>
      </c>
      <c r="L1756" s="61" t="s">
        <v>845</v>
      </c>
      <c r="M1756" s="65">
        <v>157200</v>
      </c>
      <c r="N1756" s="65">
        <v>157200</v>
      </c>
      <c r="O1756" s="65">
        <v>157200</v>
      </c>
      <c r="P1756" s="65">
        <v>103070</v>
      </c>
      <c r="Q1756" s="65">
        <f t="shared" si="291"/>
        <v>22675.4</v>
      </c>
      <c r="R1756" s="65">
        <f t="shared" si="292"/>
        <v>125745.4</v>
      </c>
      <c r="S1756" s="272"/>
      <c r="T1756" s="203">
        <v>107</v>
      </c>
      <c r="U1756" s="277"/>
      <c r="V1756" s="38">
        <v>115165</v>
      </c>
      <c r="W1756" s="38">
        <f t="shared" si="293"/>
        <v>25336.3</v>
      </c>
      <c r="X1756" s="38">
        <f t="shared" si="296"/>
        <v>140501.29999999999</v>
      </c>
    </row>
    <row r="1757" spans="1:24" ht="15" customHeight="1" x14ac:dyDescent="0.35">
      <c r="A1757" s="56" t="s">
        <v>3968</v>
      </c>
      <c r="B1757" s="20">
        <v>1647</v>
      </c>
      <c r="C1757" s="74">
        <v>10145249</v>
      </c>
      <c r="D1757" s="105" t="s">
        <v>3959</v>
      </c>
      <c r="E1757" s="74" t="s">
        <v>2156</v>
      </c>
      <c r="F1757" s="75">
        <v>2</v>
      </c>
      <c r="G1757" s="64" t="s">
        <v>0</v>
      </c>
      <c r="H1757" s="202">
        <v>42004</v>
      </c>
      <c r="I1757" s="61" t="s">
        <v>2094</v>
      </c>
      <c r="J1757" s="63" t="s">
        <v>3980</v>
      </c>
      <c r="K1757" s="63" t="s">
        <v>961</v>
      </c>
      <c r="L1757" s="61" t="s">
        <v>845</v>
      </c>
      <c r="M1757" s="65">
        <v>37200</v>
      </c>
      <c r="N1757" s="65">
        <v>37200</v>
      </c>
      <c r="O1757" s="65">
        <v>37200</v>
      </c>
      <c r="P1757" s="65">
        <v>24390</v>
      </c>
      <c r="Q1757" s="65">
        <f t="shared" si="291"/>
        <v>5365.8</v>
      </c>
      <c r="R1757" s="65">
        <f t="shared" si="292"/>
        <v>29755.8</v>
      </c>
      <c r="S1757" s="272"/>
      <c r="T1757" s="203">
        <v>107</v>
      </c>
      <c r="U1757" s="277"/>
      <c r="V1757" s="38">
        <v>27253</v>
      </c>
      <c r="W1757" s="38">
        <f t="shared" si="293"/>
        <v>5995.66</v>
      </c>
      <c r="X1757" s="38">
        <f t="shared" si="296"/>
        <v>33248.660000000003</v>
      </c>
    </row>
    <row r="1758" spans="1:24" ht="15" customHeight="1" x14ac:dyDescent="0.35">
      <c r="A1758" s="56" t="s">
        <v>3969</v>
      </c>
      <c r="B1758" s="20">
        <v>1648</v>
      </c>
      <c r="C1758" s="74">
        <v>10145254</v>
      </c>
      <c r="D1758" s="105" t="s">
        <v>3960</v>
      </c>
      <c r="E1758" s="74" t="s">
        <v>2156</v>
      </c>
      <c r="F1758" s="75">
        <v>1</v>
      </c>
      <c r="G1758" s="64" t="s">
        <v>0</v>
      </c>
      <c r="H1758" s="202">
        <v>42004</v>
      </c>
      <c r="I1758" s="61" t="s">
        <v>2094</v>
      </c>
      <c r="J1758" s="63" t="s">
        <v>3980</v>
      </c>
      <c r="K1758" s="63" t="s">
        <v>961</v>
      </c>
      <c r="L1758" s="61" t="s">
        <v>845</v>
      </c>
      <c r="M1758" s="65">
        <v>54850</v>
      </c>
      <c r="N1758" s="65">
        <v>54850</v>
      </c>
      <c r="O1758" s="65">
        <v>54850</v>
      </c>
      <c r="P1758" s="65">
        <v>40330</v>
      </c>
      <c r="Q1758" s="65">
        <f t="shared" si="291"/>
        <v>8872.6</v>
      </c>
      <c r="R1758" s="65">
        <f t="shared" si="292"/>
        <v>49202.6</v>
      </c>
      <c r="S1758" s="272"/>
      <c r="T1758" s="203">
        <v>107</v>
      </c>
      <c r="U1758" s="277"/>
      <c r="V1758" s="38">
        <v>45058</v>
      </c>
      <c r="W1758" s="38">
        <f t="shared" si="293"/>
        <v>9912.76</v>
      </c>
      <c r="X1758" s="38">
        <f t="shared" si="296"/>
        <v>54970.76</v>
      </c>
    </row>
    <row r="1759" spans="1:24" ht="15" customHeight="1" x14ac:dyDescent="0.35">
      <c r="A1759" s="56" t="s">
        <v>3970</v>
      </c>
      <c r="B1759" s="20">
        <v>1649</v>
      </c>
      <c r="C1759" s="205">
        <v>10002896</v>
      </c>
      <c r="D1759" s="206" t="s">
        <v>239</v>
      </c>
      <c r="E1759" s="105" t="s">
        <v>3976</v>
      </c>
      <c r="F1759" s="75">
        <v>1</v>
      </c>
      <c r="G1759" s="64" t="s">
        <v>0</v>
      </c>
      <c r="H1759" s="88">
        <v>42004</v>
      </c>
      <c r="I1759" s="61" t="s">
        <v>976</v>
      </c>
      <c r="J1759" s="63" t="s">
        <v>3981</v>
      </c>
      <c r="K1759" s="207" t="s">
        <v>3977</v>
      </c>
      <c r="L1759" s="61" t="s">
        <v>845</v>
      </c>
      <c r="M1759" s="208">
        <v>4097.88</v>
      </c>
      <c r="N1759" s="208">
        <v>4097.88</v>
      </c>
      <c r="O1759" s="209">
        <v>4097.88</v>
      </c>
      <c r="P1759" s="65">
        <v>2700</v>
      </c>
      <c r="Q1759" s="65">
        <f t="shared" si="291"/>
        <v>594</v>
      </c>
      <c r="R1759" s="65">
        <f t="shared" si="292"/>
        <v>3294</v>
      </c>
      <c r="S1759" s="272"/>
      <c r="T1759" s="203">
        <v>107</v>
      </c>
      <c r="U1759" s="277"/>
      <c r="V1759" s="38">
        <v>3022</v>
      </c>
      <c r="W1759" s="38">
        <f t="shared" si="293"/>
        <v>664.84</v>
      </c>
      <c r="X1759" s="38">
        <f t="shared" si="296"/>
        <v>3686.84</v>
      </c>
    </row>
    <row r="1760" spans="1:24" ht="15" customHeight="1" x14ac:dyDescent="0.35">
      <c r="A1760" s="56" t="s">
        <v>3971</v>
      </c>
      <c r="B1760" s="20">
        <v>1650</v>
      </c>
      <c r="C1760" s="205">
        <v>10145249</v>
      </c>
      <c r="D1760" s="206" t="s">
        <v>3959</v>
      </c>
      <c r="E1760" s="105" t="s">
        <v>3976</v>
      </c>
      <c r="F1760" s="75">
        <v>1</v>
      </c>
      <c r="G1760" s="64" t="s">
        <v>0</v>
      </c>
      <c r="H1760" s="88">
        <v>42571</v>
      </c>
      <c r="I1760" s="61" t="s">
        <v>976</v>
      </c>
      <c r="J1760" s="63" t="s">
        <v>3979</v>
      </c>
      <c r="K1760" s="207" t="s">
        <v>3978</v>
      </c>
      <c r="L1760" s="61" t="s">
        <v>845</v>
      </c>
      <c r="M1760" s="208">
        <f>O1760</f>
        <v>18600</v>
      </c>
      <c r="N1760" s="208">
        <f>O1760/F1760</f>
        <v>18600</v>
      </c>
      <c r="O1760" s="209">
        <v>18600</v>
      </c>
      <c r="P1760" s="65">
        <v>12200</v>
      </c>
      <c r="Q1760" s="65">
        <f t="shared" si="291"/>
        <v>2684</v>
      </c>
      <c r="R1760" s="65">
        <f t="shared" si="292"/>
        <v>14884</v>
      </c>
      <c r="S1760" s="272"/>
      <c r="T1760" s="203">
        <v>107</v>
      </c>
      <c r="U1760" s="277"/>
      <c r="V1760" s="38">
        <v>13626</v>
      </c>
      <c r="W1760" s="38">
        <f t="shared" si="293"/>
        <v>2997.72</v>
      </c>
      <c r="X1760" s="38">
        <f t="shared" si="296"/>
        <v>16623.72</v>
      </c>
    </row>
    <row r="1761" spans="1:24" ht="15" customHeight="1" x14ac:dyDescent="0.35">
      <c r="A1761" s="56" t="s">
        <v>3972</v>
      </c>
      <c r="B1761" s="20">
        <v>1651</v>
      </c>
      <c r="C1761" s="210">
        <v>10030485</v>
      </c>
      <c r="D1761" s="211" t="s">
        <v>3961</v>
      </c>
      <c r="E1761" s="74" t="s">
        <v>4175</v>
      </c>
      <c r="F1761" s="75">
        <f>2-1</f>
        <v>1</v>
      </c>
      <c r="G1761" s="64" t="s">
        <v>0</v>
      </c>
      <c r="H1761" s="202">
        <v>42004</v>
      </c>
      <c r="I1761" s="61" t="s">
        <v>958</v>
      </c>
      <c r="J1761" s="63" t="s">
        <v>3980</v>
      </c>
      <c r="K1761" s="63" t="s">
        <v>961</v>
      </c>
      <c r="L1761" s="61" t="s">
        <v>845</v>
      </c>
      <c r="M1761" s="208">
        <f>O1761</f>
        <v>6570.56</v>
      </c>
      <c r="N1761" s="208">
        <f>O1761/F1761</f>
        <v>6570.56</v>
      </c>
      <c r="O1761" s="212">
        <f>13141.12/2*1</f>
        <v>6570.56</v>
      </c>
      <c r="P1761" s="65">
        <v>4310</v>
      </c>
      <c r="Q1761" s="65">
        <f t="shared" si="291"/>
        <v>948.2</v>
      </c>
      <c r="R1761" s="65">
        <f t="shared" si="292"/>
        <v>5258.2</v>
      </c>
      <c r="S1761" s="272"/>
      <c r="T1761" s="203">
        <v>107</v>
      </c>
      <c r="U1761" s="277"/>
      <c r="V1761" s="38">
        <v>4814</v>
      </c>
      <c r="W1761" s="38">
        <f t="shared" si="293"/>
        <v>1059.08</v>
      </c>
      <c r="X1761" s="38">
        <f t="shared" si="296"/>
        <v>5873.08</v>
      </c>
    </row>
    <row r="1762" spans="1:24" ht="30" customHeight="1" x14ac:dyDescent="0.35">
      <c r="A1762" s="56" t="s">
        <v>3973</v>
      </c>
      <c r="B1762" s="20">
        <v>1652</v>
      </c>
      <c r="C1762" s="210">
        <v>10104622</v>
      </c>
      <c r="D1762" s="213" t="s">
        <v>3962</v>
      </c>
      <c r="E1762" s="74" t="s">
        <v>4175</v>
      </c>
      <c r="F1762" s="75">
        <v>1</v>
      </c>
      <c r="G1762" s="64" t="s">
        <v>0</v>
      </c>
      <c r="H1762" s="202">
        <v>42004</v>
      </c>
      <c r="I1762" s="61" t="s">
        <v>958</v>
      </c>
      <c r="J1762" s="214" t="s">
        <v>3982</v>
      </c>
      <c r="K1762" s="63" t="s">
        <v>961</v>
      </c>
      <c r="L1762" s="61" t="s">
        <v>845</v>
      </c>
      <c r="M1762" s="204">
        <f>O1762</f>
        <v>11348.64</v>
      </c>
      <c r="N1762" s="65">
        <f>O1762/F1762</f>
        <v>11348.64</v>
      </c>
      <c r="O1762" s="215">
        <v>11348.64</v>
      </c>
      <c r="P1762" s="65">
        <v>7440</v>
      </c>
      <c r="Q1762" s="65">
        <f t="shared" si="291"/>
        <v>1636.8</v>
      </c>
      <c r="R1762" s="65">
        <f t="shared" si="292"/>
        <v>9076.7999999999993</v>
      </c>
      <c r="S1762" s="272"/>
      <c r="T1762" s="203">
        <v>107</v>
      </c>
      <c r="U1762" s="277"/>
      <c r="V1762" s="38">
        <v>8314</v>
      </c>
      <c r="W1762" s="38">
        <f t="shared" si="293"/>
        <v>1829.08</v>
      </c>
      <c r="X1762" s="38">
        <f t="shared" si="296"/>
        <v>10143.08</v>
      </c>
    </row>
    <row r="1763" spans="1:24" ht="15" customHeight="1" x14ac:dyDescent="0.35">
      <c r="A1763" s="56" t="s">
        <v>3974</v>
      </c>
      <c r="B1763" s="20">
        <v>1653</v>
      </c>
      <c r="C1763" s="216">
        <v>10154340</v>
      </c>
      <c r="D1763" s="217" t="s">
        <v>3963</v>
      </c>
      <c r="E1763" s="74" t="s">
        <v>4175</v>
      </c>
      <c r="F1763" s="75">
        <v>1</v>
      </c>
      <c r="G1763" s="132" t="s">
        <v>0</v>
      </c>
      <c r="H1763" s="218">
        <v>42004</v>
      </c>
      <c r="I1763" s="61" t="s">
        <v>958</v>
      </c>
      <c r="J1763" s="63" t="s">
        <v>3979</v>
      </c>
      <c r="K1763" s="152" t="s">
        <v>961</v>
      </c>
      <c r="L1763" s="61" t="s">
        <v>845</v>
      </c>
      <c r="M1763" s="204">
        <f>O1763</f>
        <v>36369.129999999997</v>
      </c>
      <c r="N1763" s="219">
        <f>O1763/F1763</f>
        <v>36369.129999999997</v>
      </c>
      <c r="O1763" s="219">
        <v>36369.129999999997</v>
      </c>
      <c r="P1763" s="65">
        <v>29830</v>
      </c>
      <c r="Q1763" s="65">
        <f t="shared" si="291"/>
        <v>6562.6</v>
      </c>
      <c r="R1763" s="65">
        <f t="shared" si="292"/>
        <v>36392.6</v>
      </c>
      <c r="S1763" s="276"/>
      <c r="T1763" s="203">
        <v>107</v>
      </c>
      <c r="U1763" s="277"/>
      <c r="V1763" s="38">
        <v>33325</v>
      </c>
      <c r="W1763" s="38">
        <f t="shared" si="293"/>
        <v>7331.5</v>
      </c>
      <c r="X1763" s="38">
        <f t="shared" si="296"/>
        <v>40656.5</v>
      </c>
    </row>
    <row r="1764" spans="1:24" ht="14.5" customHeight="1" x14ac:dyDescent="0.35">
      <c r="A1764" s="56"/>
      <c r="B1764" s="21"/>
      <c r="C1764" s="206"/>
      <c r="D1764" s="206"/>
      <c r="E1764" s="220"/>
      <c r="F1764" s="220"/>
      <c r="G1764" s="220"/>
      <c r="H1764" s="220"/>
      <c r="I1764" s="220"/>
      <c r="J1764" s="220"/>
      <c r="K1764" s="220"/>
      <c r="L1764" s="220"/>
      <c r="M1764" s="204"/>
      <c r="N1764" s="219"/>
      <c r="O1764" s="221">
        <f>SUM(O1753:O1763)</f>
        <v>426203.18</v>
      </c>
      <c r="P1764" s="221">
        <f t="shared" ref="P1764:R1764" si="306">SUM(P1753:P1763)</f>
        <v>297680</v>
      </c>
      <c r="Q1764" s="221">
        <f t="shared" si="306"/>
        <v>65489.599999999999</v>
      </c>
      <c r="R1764" s="221">
        <f t="shared" si="306"/>
        <v>363169.6</v>
      </c>
      <c r="S1764" s="72">
        <f>R1764/100*10</f>
        <v>36316.959999999999</v>
      </c>
      <c r="T1764" s="73">
        <v>107</v>
      </c>
      <c r="U1764" s="277"/>
      <c r="V1764" s="38"/>
      <c r="W1764" s="38"/>
      <c r="X1764" s="38"/>
    </row>
    <row r="1765" spans="1:24" ht="15" customHeight="1" x14ac:dyDescent="0.35">
      <c r="A1765" s="56" t="s">
        <v>3985</v>
      </c>
      <c r="B1765" s="20">
        <v>1654</v>
      </c>
      <c r="C1765" s="205">
        <v>10145249</v>
      </c>
      <c r="D1765" s="205" t="s">
        <v>3984</v>
      </c>
      <c r="E1765" s="105" t="s">
        <v>3976</v>
      </c>
      <c r="F1765" s="222">
        <v>1</v>
      </c>
      <c r="G1765" s="203" t="s">
        <v>0</v>
      </c>
      <c r="H1765" s="67">
        <v>42571</v>
      </c>
      <c r="I1765" s="61" t="s">
        <v>976</v>
      </c>
      <c r="J1765" s="152" t="s">
        <v>1917</v>
      </c>
      <c r="K1765" s="152" t="s">
        <v>961</v>
      </c>
      <c r="L1765" s="61" t="s">
        <v>845</v>
      </c>
      <c r="M1765" s="204">
        <f>O1765</f>
        <v>49806.64</v>
      </c>
      <c r="N1765" s="219">
        <f>O1765/F1765</f>
        <v>49806.64</v>
      </c>
      <c r="O1765" s="209">
        <v>49806.64</v>
      </c>
      <c r="P1765" s="65">
        <v>36490</v>
      </c>
      <c r="Q1765" s="65">
        <f t="shared" si="291"/>
        <v>8027.8</v>
      </c>
      <c r="R1765" s="65">
        <f t="shared" si="292"/>
        <v>44517.8</v>
      </c>
      <c r="S1765" s="125"/>
      <c r="T1765" s="203">
        <v>108</v>
      </c>
      <c r="U1765" s="273" t="s">
        <v>2267</v>
      </c>
      <c r="V1765" s="38">
        <v>36488</v>
      </c>
      <c r="W1765" s="38">
        <f t="shared" si="293"/>
        <v>8027.36</v>
      </c>
      <c r="X1765" s="38">
        <f t="shared" si="296"/>
        <v>44515.360000000001</v>
      </c>
    </row>
    <row r="1766" spans="1:24" ht="15" customHeight="1" x14ac:dyDescent="0.35">
      <c r="A1766" s="56"/>
      <c r="B1766" s="21"/>
      <c r="C1766" s="206"/>
      <c r="D1766" s="206"/>
      <c r="E1766" s="220"/>
      <c r="F1766" s="220"/>
      <c r="G1766" s="220"/>
      <c r="H1766" s="220"/>
      <c r="I1766" s="220"/>
      <c r="J1766" s="220"/>
      <c r="K1766" s="220"/>
      <c r="L1766" s="220"/>
      <c r="M1766" s="204"/>
      <c r="N1766" s="219"/>
      <c r="O1766" s="221">
        <f>SUM(O1765:O1765)</f>
        <v>49806.64</v>
      </c>
      <c r="P1766" s="221">
        <f t="shared" ref="P1766:R1766" si="307">SUM(P1765:P1765)</f>
        <v>36490</v>
      </c>
      <c r="Q1766" s="221">
        <f t="shared" si="307"/>
        <v>8027.8</v>
      </c>
      <c r="R1766" s="221">
        <f t="shared" si="307"/>
        <v>44517.8</v>
      </c>
      <c r="S1766" s="72">
        <f>R1766/100*10</f>
        <v>4451.78</v>
      </c>
      <c r="T1766" s="73">
        <v>108</v>
      </c>
      <c r="U1766" s="271"/>
      <c r="V1766" s="38"/>
      <c r="W1766" s="38"/>
      <c r="X1766" s="38"/>
    </row>
    <row r="1767" spans="1:24" ht="27" customHeight="1" x14ac:dyDescent="0.35">
      <c r="A1767" s="56" t="s">
        <v>4038</v>
      </c>
      <c r="B1767" s="2">
        <v>1655</v>
      </c>
      <c r="C1767" s="74">
        <v>10002828</v>
      </c>
      <c r="D1767" s="105" t="s">
        <v>4010</v>
      </c>
      <c r="E1767" s="74" t="s">
        <v>2147</v>
      </c>
      <c r="F1767" s="75">
        <v>11</v>
      </c>
      <c r="G1767" s="64" t="s">
        <v>8</v>
      </c>
      <c r="H1767" s="61">
        <v>2019</v>
      </c>
      <c r="I1767" s="64" t="s">
        <v>972</v>
      </c>
      <c r="J1767" s="152" t="s">
        <v>1917</v>
      </c>
      <c r="K1767" s="152" t="s">
        <v>961</v>
      </c>
      <c r="L1767" s="61" t="s">
        <v>845</v>
      </c>
      <c r="M1767" s="204">
        <f>O1767</f>
        <v>2624.38</v>
      </c>
      <c r="N1767" s="219">
        <f>O1767/F1767</f>
        <v>238.58</v>
      </c>
      <c r="O1767" s="209">
        <v>2624.38</v>
      </c>
      <c r="P1767" s="65">
        <v>3040</v>
      </c>
      <c r="Q1767" s="65">
        <f t="shared" si="291"/>
        <v>668.8</v>
      </c>
      <c r="R1767" s="65">
        <f t="shared" si="292"/>
        <v>3708.8</v>
      </c>
      <c r="S1767" s="267"/>
      <c r="T1767" s="203">
        <v>109</v>
      </c>
      <c r="U1767" s="273" t="s">
        <v>2287</v>
      </c>
      <c r="V1767" s="38">
        <v>3045</v>
      </c>
      <c r="W1767" s="38">
        <f t="shared" si="293"/>
        <v>669.9</v>
      </c>
      <c r="X1767" s="38">
        <f t="shared" si="296"/>
        <v>3714.9</v>
      </c>
    </row>
    <row r="1768" spans="1:24" ht="27" customHeight="1" x14ac:dyDescent="0.35">
      <c r="A1768" s="56" t="s">
        <v>4039</v>
      </c>
      <c r="B1768" s="2">
        <v>1656</v>
      </c>
      <c r="C1768" s="231">
        <v>102017852</v>
      </c>
      <c r="D1768" s="230" t="s">
        <v>4027</v>
      </c>
      <c r="E1768" s="74" t="s">
        <v>2147</v>
      </c>
      <c r="F1768" s="149">
        <v>5</v>
      </c>
      <c r="G1768" s="132" t="s">
        <v>0</v>
      </c>
      <c r="H1768" s="132">
        <v>2019</v>
      </c>
      <c r="I1768" s="230" t="s">
        <v>972</v>
      </c>
      <c r="J1768" s="152" t="s">
        <v>1917</v>
      </c>
      <c r="K1768" s="152" t="s">
        <v>961</v>
      </c>
      <c r="L1768" s="61" t="s">
        <v>845</v>
      </c>
      <c r="M1768" s="226">
        <f>O1768</f>
        <v>1192.9000000000001</v>
      </c>
      <c r="N1768" s="227">
        <f>O1768/F1768</f>
        <v>238.58</v>
      </c>
      <c r="O1768" s="228">
        <v>1192.9000000000001</v>
      </c>
      <c r="P1768" s="65">
        <v>690</v>
      </c>
      <c r="Q1768" s="65">
        <f t="shared" si="291"/>
        <v>151.80000000000001</v>
      </c>
      <c r="R1768" s="65">
        <f t="shared" si="292"/>
        <v>841.8</v>
      </c>
      <c r="S1768" s="276"/>
      <c r="T1768" s="203">
        <v>109</v>
      </c>
      <c r="U1768" s="270"/>
      <c r="V1768" s="38">
        <v>691</v>
      </c>
      <c r="W1768" s="38">
        <f t="shared" si="293"/>
        <v>152.02000000000001</v>
      </c>
      <c r="X1768" s="38">
        <f t="shared" si="296"/>
        <v>843.02</v>
      </c>
    </row>
    <row r="1769" spans="1:24" ht="15" customHeight="1" x14ac:dyDescent="0.35">
      <c r="A1769" s="56"/>
      <c r="B1769" s="25"/>
      <c r="C1769" s="205"/>
      <c r="D1769" s="206"/>
      <c r="E1769" s="74"/>
      <c r="F1769" s="223"/>
      <c r="G1769" s="64"/>
      <c r="H1769" s="67"/>
      <c r="I1769" s="203"/>
      <c r="J1769" s="152"/>
      <c r="K1769" s="152"/>
      <c r="L1769" s="61"/>
      <c r="M1769" s="204"/>
      <c r="N1769" s="219"/>
      <c r="O1769" s="229">
        <f>SUM(O1767:O1768)</f>
        <v>3817.28</v>
      </c>
      <c r="P1769" s="229">
        <f t="shared" ref="P1769:R1769" si="308">SUM(P1767:P1768)</f>
        <v>3730</v>
      </c>
      <c r="Q1769" s="229">
        <f t="shared" si="308"/>
        <v>820.6</v>
      </c>
      <c r="R1769" s="229">
        <f t="shared" si="308"/>
        <v>4550.6000000000004</v>
      </c>
      <c r="S1769" s="72">
        <f>R1769/100*10</f>
        <v>455.06</v>
      </c>
      <c r="T1769" s="73">
        <v>109</v>
      </c>
      <c r="U1769" s="271"/>
      <c r="V1769" s="38"/>
      <c r="W1769" s="38"/>
      <c r="X1769" s="38"/>
    </row>
    <row r="1770" spans="1:24" ht="15" customHeight="1" x14ac:dyDescent="0.35">
      <c r="A1770" s="56" t="s">
        <v>4040</v>
      </c>
      <c r="B1770" s="2">
        <v>1657</v>
      </c>
      <c r="C1770" s="74">
        <v>10018817</v>
      </c>
      <c r="D1770" s="105" t="s">
        <v>4011</v>
      </c>
      <c r="E1770" s="74" t="s">
        <v>2161</v>
      </c>
      <c r="F1770" s="75">
        <f>4-3</f>
        <v>1</v>
      </c>
      <c r="G1770" s="64" t="s">
        <v>0</v>
      </c>
      <c r="H1770" s="61">
        <v>42004</v>
      </c>
      <c r="I1770" s="105" t="s">
        <v>2158</v>
      </c>
      <c r="J1770" s="152" t="s">
        <v>1917</v>
      </c>
      <c r="K1770" s="152" t="s">
        <v>961</v>
      </c>
      <c r="L1770" s="61" t="s">
        <v>845</v>
      </c>
      <c r="M1770" s="204">
        <f>O1770</f>
        <v>1329.72</v>
      </c>
      <c r="N1770" s="212">
        <f>O1770/F1770</f>
        <v>1329.72</v>
      </c>
      <c r="O1770" s="204">
        <f>5318.88/4*1</f>
        <v>1329.72</v>
      </c>
      <c r="P1770" s="65">
        <v>970</v>
      </c>
      <c r="Q1770" s="65">
        <f t="shared" si="291"/>
        <v>213.4</v>
      </c>
      <c r="R1770" s="65">
        <f t="shared" si="292"/>
        <v>1183.4000000000001</v>
      </c>
      <c r="S1770" s="125"/>
      <c r="T1770" s="64">
        <v>110</v>
      </c>
      <c r="U1770" s="284" t="s">
        <v>2283</v>
      </c>
      <c r="V1770" s="38">
        <v>974</v>
      </c>
      <c r="W1770" s="38">
        <f t="shared" si="293"/>
        <v>214.28</v>
      </c>
      <c r="X1770" s="38">
        <f t="shared" si="296"/>
        <v>1188.28</v>
      </c>
    </row>
    <row r="1771" spans="1:24" ht="15" customHeight="1" x14ac:dyDescent="0.35">
      <c r="A1771" s="56"/>
      <c r="B1771" s="15"/>
      <c r="C1771" s="205"/>
      <c r="D1771" s="206"/>
      <c r="E1771" s="74"/>
      <c r="F1771" s="223"/>
      <c r="G1771" s="64"/>
      <c r="H1771" s="218"/>
      <c r="I1771" s="206"/>
      <c r="J1771" s="152"/>
      <c r="K1771" s="152"/>
      <c r="L1771" s="61"/>
      <c r="M1771" s="204"/>
      <c r="N1771" s="219"/>
      <c r="O1771" s="221">
        <f>SUM(O1770:O1770)</f>
        <v>1329.72</v>
      </c>
      <c r="P1771" s="221">
        <f t="shared" ref="P1771:R1771" si="309">SUM(P1770:P1770)</f>
        <v>970</v>
      </c>
      <c r="Q1771" s="221">
        <f t="shared" si="309"/>
        <v>213.4</v>
      </c>
      <c r="R1771" s="221">
        <f t="shared" si="309"/>
        <v>1183.4000000000001</v>
      </c>
      <c r="S1771" s="72">
        <f>R1771/100*10</f>
        <v>118.34</v>
      </c>
      <c r="T1771" s="73">
        <v>110</v>
      </c>
      <c r="U1771" s="285"/>
      <c r="V1771" s="38"/>
      <c r="W1771" s="38"/>
      <c r="X1771" s="38"/>
    </row>
    <row r="1772" spans="1:24" ht="34.5" customHeight="1" x14ac:dyDescent="0.35">
      <c r="A1772" s="56" t="s">
        <v>4034</v>
      </c>
      <c r="B1772" s="2">
        <v>1658</v>
      </c>
      <c r="C1772" s="205">
        <v>10045980</v>
      </c>
      <c r="D1772" s="105" t="s">
        <v>4015</v>
      </c>
      <c r="E1772" s="103" t="s">
        <v>2150</v>
      </c>
      <c r="F1772" s="223">
        <v>1</v>
      </c>
      <c r="G1772" s="64" t="s">
        <v>0</v>
      </c>
      <c r="H1772" s="61">
        <v>41274</v>
      </c>
      <c r="I1772" s="64" t="s">
        <v>1918</v>
      </c>
      <c r="J1772" s="63" t="s">
        <v>1917</v>
      </c>
      <c r="K1772" s="63" t="s">
        <v>4032</v>
      </c>
      <c r="L1772" s="61" t="s">
        <v>845</v>
      </c>
      <c r="M1772" s="204">
        <f>O1772</f>
        <v>3433.81</v>
      </c>
      <c r="N1772" s="212">
        <f>O1772/F1772</f>
        <v>3433.81</v>
      </c>
      <c r="O1772" s="204">
        <v>3433.81</v>
      </c>
      <c r="P1772" s="65">
        <v>4480</v>
      </c>
      <c r="Q1772" s="65">
        <f t="shared" si="291"/>
        <v>985.6</v>
      </c>
      <c r="R1772" s="65">
        <f t="shared" si="292"/>
        <v>5465.6</v>
      </c>
      <c r="S1772" s="267"/>
      <c r="T1772" s="203">
        <v>111</v>
      </c>
      <c r="U1772" s="284" t="s">
        <v>2267</v>
      </c>
      <c r="V1772" s="38">
        <v>4821</v>
      </c>
      <c r="W1772" s="38">
        <f t="shared" si="293"/>
        <v>1060.6199999999999</v>
      </c>
      <c r="X1772" s="38">
        <f t="shared" si="296"/>
        <v>5881.62</v>
      </c>
    </row>
    <row r="1773" spans="1:24" ht="32.5" customHeight="1" x14ac:dyDescent="0.35">
      <c r="A1773" s="56" t="s">
        <v>4035</v>
      </c>
      <c r="B1773" s="2">
        <v>1659</v>
      </c>
      <c r="C1773" s="205">
        <v>10057125</v>
      </c>
      <c r="D1773" s="105" t="s">
        <v>4017</v>
      </c>
      <c r="E1773" s="103" t="s">
        <v>2150</v>
      </c>
      <c r="F1773" s="223">
        <v>1</v>
      </c>
      <c r="G1773" s="64" t="s">
        <v>0</v>
      </c>
      <c r="H1773" s="61">
        <v>39813</v>
      </c>
      <c r="I1773" s="64" t="s">
        <v>1918</v>
      </c>
      <c r="J1773" s="63" t="s">
        <v>1917</v>
      </c>
      <c r="K1773" s="63" t="s">
        <v>4033</v>
      </c>
      <c r="L1773" s="61" t="s">
        <v>845</v>
      </c>
      <c r="M1773" s="204">
        <f>O1773</f>
        <v>3787.43</v>
      </c>
      <c r="N1773" s="212">
        <f>O1773/F1773</f>
        <v>3787.43</v>
      </c>
      <c r="O1773" s="204">
        <v>3787.43</v>
      </c>
      <c r="P1773" s="65">
        <v>5090</v>
      </c>
      <c r="Q1773" s="65">
        <f t="shared" si="291"/>
        <v>1119.8</v>
      </c>
      <c r="R1773" s="65">
        <f t="shared" si="292"/>
        <v>6209.8</v>
      </c>
      <c r="S1773" s="272"/>
      <c r="T1773" s="203">
        <v>111</v>
      </c>
      <c r="U1773" s="284"/>
      <c r="V1773" s="38">
        <v>5476</v>
      </c>
      <c r="W1773" s="38">
        <f t="shared" si="293"/>
        <v>1204.72</v>
      </c>
      <c r="X1773" s="38">
        <f t="shared" si="296"/>
        <v>6680.72</v>
      </c>
    </row>
    <row r="1774" spans="1:24" ht="29.15" customHeight="1" x14ac:dyDescent="0.35">
      <c r="A1774" s="259" t="s">
        <v>4041</v>
      </c>
      <c r="B1774" s="2">
        <v>1660</v>
      </c>
      <c r="C1774" s="224">
        <v>10104698</v>
      </c>
      <c r="D1774" s="230" t="s">
        <v>4018</v>
      </c>
      <c r="E1774" s="231" t="s">
        <v>2185</v>
      </c>
      <c r="F1774" s="225">
        <f>12-5-1</f>
        <v>6</v>
      </c>
      <c r="G1774" s="132" t="s">
        <v>0</v>
      </c>
      <c r="H1774" s="132">
        <v>2013</v>
      </c>
      <c r="I1774" s="132" t="s">
        <v>962</v>
      </c>
      <c r="J1774" s="132" t="s">
        <v>2232</v>
      </c>
      <c r="K1774" s="152" t="s">
        <v>4036</v>
      </c>
      <c r="L1774" s="132" t="s">
        <v>950</v>
      </c>
      <c r="M1774" s="226">
        <f>O1774</f>
        <v>9178</v>
      </c>
      <c r="N1774" s="232">
        <f>O1774/F1774</f>
        <v>1529.67</v>
      </c>
      <c r="O1774" s="226">
        <v>9178</v>
      </c>
      <c r="P1774" s="65">
        <v>15210</v>
      </c>
      <c r="Q1774" s="65">
        <f t="shared" si="291"/>
        <v>3346.2</v>
      </c>
      <c r="R1774" s="65">
        <f t="shared" si="292"/>
        <v>18556.2</v>
      </c>
      <c r="S1774" s="272"/>
      <c r="T1774" s="203">
        <v>111</v>
      </c>
      <c r="U1774" s="284"/>
      <c r="V1774" s="38">
        <v>16352</v>
      </c>
      <c r="W1774" s="38">
        <f t="shared" si="293"/>
        <v>3597.44</v>
      </c>
      <c r="X1774" s="38">
        <f t="shared" si="296"/>
        <v>19949.439999999999</v>
      </c>
    </row>
    <row r="1775" spans="1:24" ht="29.15" customHeight="1" x14ac:dyDescent="0.35">
      <c r="A1775" s="259" t="s">
        <v>4042</v>
      </c>
      <c r="B1775" s="2">
        <v>1661</v>
      </c>
      <c r="C1775" s="205">
        <v>102004129</v>
      </c>
      <c r="D1775" s="206" t="s">
        <v>4062</v>
      </c>
      <c r="E1775" s="59" t="s">
        <v>2167</v>
      </c>
      <c r="F1775" s="222">
        <v>3</v>
      </c>
      <c r="G1775" s="203" t="s">
        <v>0</v>
      </c>
      <c r="H1775" s="206"/>
      <c r="I1775" s="206" t="s">
        <v>957</v>
      </c>
      <c r="J1775" s="63" t="s">
        <v>1917</v>
      </c>
      <c r="K1775" s="61" t="s">
        <v>961</v>
      </c>
      <c r="L1775" s="69" t="s">
        <v>845</v>
      </c>
      <c r="M1775" s="208">
        <v>60142.14</v>
      </c>
      <c r="N1775" s="65">
        <f>O1775/F1775</f>
        <v>20047.38</v>
      </c>
      <c r="O1775" s="65">
        <v>60142.14</v>
      </c>
      <c r="P1775" s="65">
        <v>59890</v>
      </c>
      <c r="Q1775" s="65">
        <f t="shared" si="291"/>
        <v>13175.8</v>
      </c>
      <c r="R1775" s="65">
        <f t="shared" si="292"/>
        <v>73065.8</v>
      </c>
      <c r="S1775" s="276"/>
      <c r="T1775" s="203">
        <v>111</v>
      </c>
      <c r="U1775" s="284"/>
      <c r="V1775" s="38">
        <v>64402</v>
      </c>
      <c r="W1775" s="38">
        <f t="shared" si="293"/>
        <v>14168.44</v>
      </c>
      <c r="X1775" s="38">
        <f t="shared" si="296"/>
        <v>78570.44</v>
      </c>
    </row>
    <row r="1776" spans="1:24" ht="15" customHeight="1" x14ac:dyDescent="0.35">
      <c r="A1776" s="56"/>
      <c r="B1776" s="15"/>
      <c r="C1776" s="206"/>
      <c r="D1776" s="105"/>
      <c r="E1776" s="206"/>
      <c r="F1776" s="206"/>
      <c r="G1776" s="206"/>
      <c r="H1776" s="206"/>
      <c r="I1776" s="206"/>
      <c r="J1776" s="206"/>
      <c r="K1776" s="206"/>
      <c r="L1776" s="206"/>
      <c r="M1776" s="206"/>
      <c r="N1776" s="206"/>
      <c r="O1776" s="221">
        <f>SUM(O1772:O1775)</f>
        <v>76541.38</v>
      </c>
      <c r="P1776" s="221">
        <f t="shared" ref="P1776:R1776" si="310">SUM(P1772:P1775)</f>
        <v>84670</v>
      </c>
      <c r="Q1776" s="221">
        <f t="shared" si="310"/>
        <v>18627.400000000001</v>
      </c>
      <c r="R1776" s="221">
        <f t="shared" si="310"/>
        <v>103297.4</v>
      </c>
      <c r="S1776" s="72">
        <f>R1776/100*10</f>
        <v>10329.74</v>
      </c>
      <c r="T1776" s="73">
        <v>111</v>
      </c>
      <c r="U1776" s="285"/>
      <c r="V1776" s="38"/>
      <c r="W1776" s="38"/>
      <c r="X1776" s="38"/>
    </row>
    <row r="1777" spans="1:24" ht="28.5" customHeight="1" x14ac:dyDescent="0.35">
      <c r="A1777" s="260" t="s">
        <v>4043</v>
      </c>
      <c r="B1777" s="17">
        <v>1662</v>
      </c>
      <c r="C1777" s="233">
        <v>10019892</v>
      </c>
      <c r="D1777" s="234" t="s">
        <v>4012</v>
      </c>
      <c r="E1777" s="161" t="s">
        <v>1978</v>
      </c>
      <c r="F1777" s="235">
        <v>20</v>
      </c>
      <c r="G1777" s="163" t="s">
        <v>0</v>
      </c>
      <c r="H1777" s="61">
        <v>42004</v>
      </c>
      <c r="I1777" s="206" t="s">
        <v>957</v>
      </c>
      <c r="J1777" s="203" t="s">
        <v>1917</v>
      </c>
      <c r="K1777" s="61" t="s">
        <v>961</v>
      </c>
      <c r="L1777" s="68" t="s">
        <v>4057</v>
      </c>
      <c r="M1777" s="236">
        <f>O1777</f>
        <v>3571.47</v>
      </c>
      <c r="N1777" s="237">
        <f>O1777/F1777</f>
        <v>178.57</v>
      </c>
      <c r="O1777" s="238">
        <v>3571.47</v>
      </c>
      <c r="P1777" s="65">
        <v>3540</v>
      </c>
      <c r="Q1777" s="65">
        <f t="shared" ref="Q1777:Q1839" si="311">P1777*0.22</f>
        <v>778.8</v>
      </c>
      <c r="R1777" s="65">
        <f t="shared" ref="R1777:R1839" si="312">P1777+Q1777</f>
        <v>4318.8</v>
      </c>
      <c r="S1777" s="267"/>
      <c r="T1777" s="239">
        <v>112</v>
      </c>
      <c r="U1777" s="282" t="s">
        <v>4056</v>
      </c>
      <c r="V1777" s="38">
        <v>3809</v>
      </c>
      <c r="W1777" s="38">
        <f t="shared" ref="W1777:W1839" si="313">V1777*0.22</f>
        <v>837.98</v>
      </c>
      <c r="X1777" s="38">
        <f t="shared" si="296"/>
        <v>4646.9799999999996</v>
      </c>
    </row>
    <row r="1778" spans="1:24" ht="14.5" customHeight="1" x14ac:dyDescent="0.35">
      <c r="A1778" s="56" t="s">
        <v>4044</v>
      </c>
      <c r="B1778" s="17">
        <v>1663</v>
      </c>
      <c r="C1778" s="205">
        <v>10158934</v>
      </c>
      <c r="D1778" s="105" t="s">
        <v>4023</v>
      </c>
      <c r="E1778" s="206" t="s">
        <v>4055</v>
      </c>
      <c r="F1778" s="223">
        <v>4</v>
      </c>
      <c r="G1778" s="64" t="s">
        <v>0</v>
      </c>
      <c r="H1778" s="61">
        <v>42676</v>
      </c>
      <c r="I1778" s="206" t="s">
        <v>2158</v>
      </c>
      <c r="J1778" s="203" t="s">
        <v>1917</v>
      </c>
      <c r="K1778" s="61" t="s">
        <v>961</v>
      </c>
      <c r="L1778" s="203" t="s">
        <v>950</v>
      </c>
      <c r="M1778" s="204">
        <f>O1778</f>
        <v>115091.16</v>
      </c>
      <c r="N1778" s="219">
        <f>O1778/F1778</f>
        <v>28772.79</v>
      </c>
      <c r="O1778" s="209">
        <v>115091.16</v>
      </c>
      <c r="P1778" s="65">
        <v>156110</v>
      </c>
      <c r="Q1778" s="65">
        <f t="shared" si="311"/>
        <v>34344.199999999997</v>
      </c>
      <c r="R1778" s="65">
        <f t="shared" si="312"/>
        <v>190454.2</v>
      </c>
      <c r="S1778" s="272"/>
      <c r="T1778" s="239">
        <v>112</v>
      </c>
      <c r="U1778" s="284"/>
      <c r="V1778" s="38">
        <v>167860</v>
      </c>
      <c r="W1778" s="38">
        <f t="shared" si="313"/>
        <v>36929.199999999997</v>
      </c>
      <c r="X1778" s="38">
        <f t="shared" ref="X1778:X1841" si="314">V1778+W1778</f>
        <v>204789.2</v>
      </c>
    </row>
    <row r="1779" spans="1:24" ht="14.5" customHeight="1" x14ac:dyDescent="0.35">
      <c r="A1779" s="56" t="s">
        <v>4045</v>
      </c>
      <c r="B1779" s="17">
        <v>1664</v>
      </c>
      <c r="C1779" s="205">
        <v>102004310</v>
      </c>
      <c r="D1779" s="105" t="s">
        <v>4026</v>
      </c>
      <c r="E1779" s="74" t="s">
        <v>2160</v>
      </c>
      <c r="F1779" s="223">
        <v>1</v>
      </c>
      <c r="G1779" s="64" t="s">
        <v>0</v>
      </c>
      <c r="H1779" s="61">
        <v>42688</v>
      </c>
      <c r="I1779" s="206" t="s">
        <v>2158</v>
      </c>
      <c r="J1779" s="203" t="s">
        <v>1917</v>
      </c>
      <c r="K1779" s="61" t="s">
        <v>961</v>
      </c>
      <c r="L1779" s="203" t="s">
        <v>2097</v>
      </c>
      <c r="M1779" s="204">
        <f>O1779</f>
        <v>4404.63</v>
      </c>
      <c r="N1779" s="219">
        <f>O1779/F1779</f>
        <v>4404.63</v>
      </c>
      <c r="O1779" s="209">
        <v>4404.63</v>
      </c>
      <c r="P1779" s="65">
        <v>5100</v>
      </c>
      <c r="Q1779" s="65">
        <f t="shared" si="311"/>
        <v>1122</v>
      </c>
      <c r="R1779" s="65">
        <f t="shared" si="312"/>
        <v>6222</v>
      </c>
      <c r="S1779" s="276"/>
      <c r="T1779" s="239">
        <v>112</v>
      </c>
      <c r="U1779" s="284"/>
      <c r="V1779" s="38">
        <v>5479</v>
      </c>
      <c r="W1779" s="38">
        <f t="shared" si="313"/>
        <v>1205.3800000000001</v>
      </c>
      <c r="X1779" s="38">
        <f t="shared" si="314"/>
        <v>6684.38</v>
      </c>
    </row>
    <row r="1780" spans="1:24" ht="15" customHeight="1" x14ac:dyDescent="0.35">
      <c r="A1780" s="56"/>
      <c r="B1780" s="15"/>
      <c r="C1780" s="205"/>
      <c r="D1780" s="105"/>
      <c r="E1780" s="74"/>
      <c r="F1780" s="223"/>
      <c r="G1780" s="64"/>
      <c r="H1780" s="206"/>
      <c r="I1780" s="206"/>
      <c r="J1780" s="206"/>
      <c r="K1780" s="206"/>
      <c r="L1780" s="206"/>
      <c r="M1780" s="204"/>
      <c r="N1780" s="219"/>
      <c r="O1780" s="229">
        <f>SUM(O1777:O1779)</f>
        <v>123067.26</v>
      </c>
      <c r="P1780" s="229">
        <f t="shared" ref="P1780:R1780" si="315">SUM(P1777:P1779)</f>
        <v>164750</v>
      </c>
      <c r="Q1780" s="229">
        <f t="shared" si="315"/>
        <v>36245</v>
      </c>
      <c r="R1780" s="229">
        <f t="shared" si="315"/>
        <v>200995</v>
      </c>
      <c r="S1780" s="72">
        <f>R1780/100*10</f>
        <v>20099.5</v>
      </c>
      <c r="T1780" s="73">
        <v>112</v>
      </c>
      <c r="U1780" s="285"/>
      <c r="V1780" s="38"/>
      <c r="W1780" s="38"/>
      <c r="X1780" s="38"/>
    </row>
    <row r="1781" spans="1:24" ht="28" customHeight="1" x14ac:dyDescent="0.35">
      <c r="A1781" s="56" t="s">
        <v>4046</v>
      </c>
      <c r="B1781" s="2">
        <v>1665</v>
      </c>
      <c r="C1781" s="74">
        <v>10022651</v>
      </c>
      <c r="D1781" s="105" t="s">
        <v>4013</v>
      </c>
      <c r="E1781" s="59" t="s">
        <v>2187</v>
      </c>
      <c r="F1781" s="75">
        <v>16</v>
      </c>
      <c r="G1781" s="64" t="s">
        <v>0</v>
      </c>
      <c r="H1781" s="61">
        <v>42765</v>
      </c>
      <c r="I1781" s="64" t="s">
        <v>957</v>
      </c>
      <c r="J1781" s="152" t="s">
        <v>4058</v>
      </c>
      <c r="K1781" s="152" t="s">
        <v>4059</v>
      </c>
      <c r="L1781" s="61" t="s">
        <v>950</v>
      </c>
      <c r="M1781" s="204">
        <f>O1781</f>
        <v>20800</v>
      </c>
      <c r="N1781" s="219">
        <f>O1781/F1781</f>
        <v>1300</v>
      </c>
      <c r="O1781" s="209">
        <v>20800</v>
      </c>
      <c r="P1781" s="65">
        <v>28410</v>
      </c>
      <c r="Q1781" s="65">
        <f t="shared" si="311"/>
        <v>6250.2</v>
      </c>
      <c r="R1781" s="65">
        <f t="shared" si="312"/>
        <v>34660.199999999997</v>
      </c>
      <c r="S1781" s="267"/>
      <c r="T1781" s="203">
        <v>113</v>
      </c>
      <c r="U1781" s="282" t="s">
        <v>2288</v>
      </c>
      <c r="V1781" s="38">
        <v>30545</v>
      </c>
      <c r="W1781" s="38">
        <f t="shared" si="313"/>
        <v>6719.9</v>
      </c>
      <c r="X1781" s="38">
        <f t="shared" si="314"/>
        <v>37264.9</v>
      </c>
    </row>
    <row r="1782" spans="1:24" ht="28" customHeight="1" x14ac:dyDescent="0.35">
      <c r="A1782" s="56" t="s">
        <v>4047</v>
      </c>
      <c r="B1782" s="2">
        <v>1666</v>
      </c>
      <c r="C1782" s="74">
        <v>10023282</v>
      </c>
      <c r="D1782" s="105" t="s">
        <v>4014</v>
      </c>
      <c r="E1782" s="59" t="s">
        <v>2187</v>
      </c>
      <c r="F1782" s="75">
        <v>1</v>
      </c>
      <c r="G1782" s="64" t="s">
        <v>0</v>
      </c>
      <c r="H1782" s="61">
        <v>42765</v>
      </c>
      <c r="I1782" s="64" t="s">
        <v>957</v>
      </c>
      <c r="J1782" s="152" t="s">
        <v>4058</v>
      </c>
      <c r="K1782" s="152" t="s">
        <v>4059</v>
      </c>
      <c r="L1782" s="61" t="s">
        <v>950</v>
      </c>
      <c r="M1782" s="204">
        <f>O1782</f>
        <v>2302.8000000000002</v>
      </c>
      <c r="N1782" s="219">
        <f>O1782/F1782</f>
        <v>2302.8000000000002</v>
      </c>
      <c r="O1782" s="209">
        <v>2302.8000000000002</v>
      </c>
      <c r="P1782" s="65">
        <v>3140</v>
      </c>
      <c r="Q1782" s="65">
        <f t="shared" si="311"/>
        <v>690.8</v>
      </c>
      <c r="R1782" s="65">
        <f t="shared" si="312"/>
        <v>3830.8</v>
      </c>
      <c r="S1782" s="272"/>
      <c r="T1782" s="203">
        <v>113</v>
      </c>
      <c r="U1782" s="284"/>
      <c r="V1782" s="38">
        <v>3382</v>
      </c>
      <c r="W1782" s="38">
        <f t="shared" si="313"/>
        <v>744.04</v>
      </c>
      <c r="X1782" s="38">
        <f t="shared" si="314"/>
        <v>4126.04</v>
      </c>
    </row>
    <row r="1783" spans="1:24" ht="28" customHeight="1" x14ac:dyDescent="0.35">
      <c r="A1783" s="56" t="s">
        <v>4048</v>
      </c>
      <c r="B1783" s="2">
        <v>1667</v>
      </c>
      <c r="C1783" s="74">
        <v>10049870</v>
      </c>
      <c r="D1783" s="105" t="s">
        <v>4016</v>
      </c>
      <c r="E1783" s="59" t="s">
        <v>2187</v>
      </c>
      <c r="F1783" s="75">
        <v>9</v>
      </c>
      <c r="G1783" s="64" t="s">
        <v>0</v>
      </c>
      <c r="H1783" s="61">
        <v>42765</v>
      </c>
      <c r="I1783" s="64" t="s">
        <v>957</v>
      </c>
      <c r="J1783" s="152" t="s">
        <v>4058</v>
      </c>
      <c r="K1783" s="152" t="s">
        <v>4059</v>
      </c>
      <c r="L1783" s="61" t="s">
        <v>950</v>
      </c>
      <c r="M1783" s="204">
        <f>O1783</f>
        <v>11700</v>
      </c>
      <c r="N1783" s="219">
        <f>O1783/F1783</f>
        <v>1300</v>
      </c>
      <c r="O1783" s="209">
        <v>11700</v>
      </c>
      <c r="P1783" s="65">
        <v>15980</v>
      </c>
      <c r="Q1783" s="65">
        <f t="shared" si="311"/>
        <v>3515.6</v>
      </c>
      <c r="R1783" s="65">
        <f t="shared" si="312"/>
        <v>19495.599999999999</v>
      </c>
      <c r="S1783" s="272"/>
      <c r="T1783" s="203">
        <v>113</v>
      </c>
      <c r="U1783" s="284"/>
      <c r="V1783" s="38">
        <v>17181</v>
      </c>
      <c r="W1783" s="38">
        <f t="shared" si="313"/>
        <v>3779.82</v>
      </c>
      <c r="X1783" s="38">
        <f t="shared" si="314"/>
        <v>20960.82</v>
      </c>
    </row>
    <row r="1784" spans="1:24" ht="28" customHeight="1" x14ac:dyDescent="0.35">
      <c r="A1784" s="56" t="s">
        <v>4049</v>
      </c>
      <c r="B1784" s="2">
        <v>1668</v>
      </c>
      <c r="C1784" s="74">
        <v>102003851</v>
      </c>
      <c r="D1784" s="105" t="s">
        <v>4024</v>
      </c>
      <c r="E1784" s="59" t="s">
        <v>2187</v>
      </c>
      <c r="F1784" s="75">
        <v>2</v>
      </c>
      <c r="G1784" s="64" t="s">
        <v>0</v>
      </c>
      <c r="H1784" s="61">
        <v>42765</v>
      </c>
      <c r="I1784" s="64" t="s">
        <v>957</v>
      </c>
      <c r="J1784" s="152" t="s">
        <v>4058</v>
      </c>
      <c r="K1784" s="152" t="s">
        <v>4059</v>
      </c>
      <c r="L1784" s="61" t="s">
        <v>950</v>
      </c>
      <c r="M1784" s="204">
        <f>O1784</f>
        <v>2600</v>
      </c>
      <c r="N1784" s="219">
        <f>O1784/F1784</f>
        <v>1300</v>
      </c>
      <c r="O1784" s="209">
        <v>2600</v>
      </c>
      <c r="P1784" s="65">
        <v>3780</v>
      </c>
      <c r="Q1784" s="65">
        <f t="shared" si="311"/>
        <v>831.6</v>
      </c>
      <c r="R1784" s="65">
        <f t="shared" si="312"/>
        <v>4611.6000000000004</v>
      </c>
      <c r="S1784" s="272"/>
      <c r="T1784" s="203">
        <v>113</v>
      </c>
      <c r="U1784" s="284"/>
      <c r="V1784" s="38">
        <v>4065</v>
      </c>
      <c r="W1784" s="38">
        <f t="shared" si="313"/>
        <v>894.3</v>
      </c>
      <c r="X1784" s="38">
        <f t="shared" si="314"/>
        <v>4959.3</v>
      </c>
    </row>
    <row r="1785" spans="1:24" ht="28" customHeight="1" x14ac:dyDescent="0.35">
      <c r="A1785" s="56" t="s">
        <v>4050</v>
      </c>
      <c r="B1785" s="2">
        <v>1669</v>
      </c>
      <c r="C1785" s="74">
        <v>102003854</v>
      </c>
      <c r="D1785" s="105" t="s">
        <v>4025</v>
      </c>
      <c r="E1785" s="59" t="s">
        <v>2187</v>
      </c>
      <c r="F1785" s="75">
        <v>6</v>
      </c>
      <c r="G1785" s="64" t="s">
        <v>0</v>
      </c>
      <c r="H1785" s="61">
        <v>42765</v>
      </c>
      <c r="I1785" s="64" t="s">
        <v>957</v>
      </c>
      <c r="J1785" s="152" t="s">
        <v>4058</v>
      </c>
      <c r="K1785" s="152" t="s">
        <v>4059</v>
      </c>
      <c r="L1785" s="61" t="s">
        <v>950</v>
      </c>
      <c r="M1785" s="204">
        <f>O1785</f>
        <v>9720</v>
      </c>
      <c r="N1785" s="219">
        <f>O1785/F1785</f>
        <v>1620</v>
      </c>
      <c r="O1785" s="209">
        <v>9720</v>
      </c>
      <c r="P1785" s="65">
        <v>14130</v>
      </c>
      <c r="Q1785" s="65">
        <f t="shared" si="311"/>
        <v>3108.6</v>
      </c>
      <c r="R1785" s="65">
        <f t="shared" si="312"/>
        <v>17238.599999999999</v>
      </c>
      <c r="S1785" s="276"/>
      <c r="T1785" s="203">
        <v>113</v>
      </c>
      <c r="U1785" s="284"/>
      <c r="V1785" s="38">
        <v>15197</v>
      </c>
      <c r="W1785" s="38">
        <f t="shared" si="313"/>
        <v>3343.34</v>
      </c>
      <c r="X1785" s="38">
        <f t="shared" si="314"/>
        <v>18540.34</v>
      </c>
    </row>
    <row r="1786" spans="1:24" ht="15" customHeight="1" x14ac:dyDescent="0.35">
      <c r="A1786" s="56"/>
      <c r="B1786" s="15"/>
      <c r="C1786" s="205"/>
      <c r="D1786" s="105"/>
      <c r="E1786" s="59"/>
      <c r="F1786" s="75"/>
      <c r="G1786" s="64"/>
      <c r="H1786" s="132"/>
      <c r="I1786" s="64"/>
      <c r="J1786" s="206"/>
      <c r="K1786" s="206"/>
      <c r="L1786" s="206"/>
      <c r="M1786" s="204"/>
      <c r="N1786" s="219"/>
      <c r="O1786" s="221">
        <f>SUM(O1781:O1785)</f>
        <v>47122.8</v>
      </c>
      <c r="P1786" s="221">
        <f t="shared" ref="P1786:R1786" si="316">SUM(P1781:P1785)</f>
        <v>65440</v>
      </c>
      <c r="Q1786" s="221">
        <f t="shared" si="316"/>
        <v>14396.8</v>
      </c>
      <c r="R1786" s="221">
        <f t="shared" si="316"/>
        <v>79836.800000000003</v>
      </c>
      <c r="S1786" s="72">
        <f>R1786/100*10</f>
        <v>7983.68</v>
      </c>
      <c r="T1786" s="73">
        <v>113</v>
      </c>
      <c r="U1786" s="285"/>
      <c r="V1786" s="38"/>
      <c r="W1786" s="38"/>
      <c r="X1786" s="38"/>
    </row>
    <row r="1787" spans="1:24" ht="14.5" customHeight="1" x14ac:dyDescent="0.35">
      <c r="A1787" s="56" t="s">
        <v>4052</v>
      </c>
      <c r="B1787" s="2">
        <v>1670</v>
      </c>
      <c r="C1787" s="205">
        <v>10141819</v>
      </c>
      <c r="D1787" s="206" t="s">
        <v>4020</v>
      </c>
      <c r="E1787" s="74" t="s">
        <v>684</v>
      </c>
      <c r="F1787" s="197">
        <v>1</v>
      </c>
      <c r="G1787" s="64" t="s">
        <v>0</v>
      </c>
      <c r="H1787" s="64">
        <v>2014</v>
      </c>
      <c r="I1787" s="64" t="s">
        <v>976</v>
      </c>
      <c r="J1787" s="152" t="s">
        <v>1917</v>
      </c>
      <c r="K1787" s="64" t="s">
        <v>4028</v>
      </c>
      <c r="L1787" s="64" t="s">
        <v>4031</v>
      </c>
      <c r="M1787" s="204">
        <f>O1787</f>
        <v>425479.66</v>
      </c>
      <c r="N1787" s="219">
        <f>O1787/F1787</f>
        <v>425479.66</v>
      </c>
      <c r="O1787" s="209">
        <v>425479.66</v>
      </c>
      <c r="P1787" s="65">
        <v>45420</v>
      </c>
      <c r="Q1787" s="65">
        <f t="shared" si="311"/>
        <v>9992.4</v>
      </c>
      <c r="R1787" s="65">
        <f t="shared" si="312"/>
        <v>55412.4</v>
      </c>
      <c r="S1787" s="272"/>
      <c r="T1787" s="203">
        <v>114</v>
      </c>
      <c r="U1787" s="284" t="s">
        <v>4514</v>
      </c>
      <c r="V1787" s="38">
        <v>45418</v>
      </c>
      <c r="W1787" s="38">
        <f t="shared" si="313"/>
        <v>9991.9599999999991</v>
      </c>
      <c r="X1787" s="38">
        <f t="shared" si="314"/>
        <v>55409.96</v>
      </c>
    </row>
    <row r="1788" spans="1:24" ht="14.5" customHeight="1" x14ac:dyDescent="0.35">
      <c r="A1788" s="56" t="s">
        <v>4053</v>
      </c>
      <c r="B1788" s="2">
        <v>1671</v>
      </c>
      <c r="C1788" s="205">
        <v>10142131</v>
      </c>
      <c r="D1788" s="206" t="s">
        <v>4021</v>
      </c>
      <c r="E1788" s="74" t="s">
        <v>684</v>
      </c>
      <c r="F1788" s="197">
        <v>1</v>
      </c>
      <c r="G1788" s="64" t="s">
        <v>0</v>
      </c>
      <c r="H1788" s="64">
        <v>2014</v>
      </c>
      <c r="I1788" s="64" t="s">
        <v>976</v>
      </c>
      <c r="J1788" s="152" t="s">
        <v>1917</v>
      </c>
      <c r="K1788" s="64" t="s">
        <v>4029</v>
      </c>
      <c r="L1788" s="64" t="s">
        <v>4031</v>
      </c>
      <c r="M1788" s="204">
        <f>O1788</f>
        <v>1662552</v>
      </c>
      <c r="N1788" s="219">
        <f>O1788/F1788</f>
        <v>1662552</v>
      </c>
      <c r="O1788" s="209">
        <v>1662552</v>
      </c>
      <c r="P1788" s="65">
        <v>176710</v>
      </c>
      <c r="Q1788" s="65">
        <f t="shared" si="311"/>
        <v>38876.199999999997</v>
      </c>
      <c r="R1788" s="65">
        <f t="shared" si="312"/>
        <v>215586.2</v>
      </c>
      <c r="S1788" s="276"/>
      <c r="T1788" s="203">
        <v>114</v>
      </c>
      <c r="U1788" s="284"/>
      <c r="V1788" s="38">
        <v>176709</v>
      </c>
      <c r="W1788" s="38">
        <f t="shared" si="313"/>
        <v>38875.980000000003</v>
      </c>
      <c r="X1788" s="38">
        <f t="shared" si="314"/>
        <v>215584.98</v>
      </c>
    </row>
    <row r="1789" spans="1:24" ht="15" customHeight="1" x14ac:dyDescent="0.35">
      <c r="A1789" s="56"/>
      <c r="B1789" s="15"/>
      <c r="C1789" s="205"/>
      <c r="D1789" s="206"/>
      <c r="E1789" s="74"/>
      <c r="F1789" s="75"/>
      <c r="G1789" s="64"/>
      <c r="H1789" s="64"/>
      <c r="I1789" s="64"/>
      <c r="J1789" s="152"/>
      <c r="K1789" s="64"/>
      <c r="L1789" s="64"/>
      <c r="M1789" s="204"/>
      <c r="N1789" s="219"/>
      <c r="O1789" s="229">
        <f>SUM(O1787:O1788)</f>
        <v>2088031.66</v>
      </c>
      <c r="P1789" s="229">
        <f t="shared" ref="P1789:R1789" si="317">SUM(P1787:P1788)</f>
        <v>222130</v>
      </c>
      <c r="Q1789" s="229">
        <f t="shared" si="317"/>
        <v>48868.6</v>
      </c>
      <c r="R1789" s="229">
        <f t="shared" si="317"/>
        <v>270998.59999999998</v>
      </c>
      <c r="S1789" s="72">
        <f>R1789/100*10</f>
        <v>27099.86</v>
      </c>
      <c r="T1789" s="73">
        <v>114</v>
      </c>
      <c r="U1789" s="285"/>
      <c r="V1789" s="38"/>
      <c r="W1789" s="38"/>
      <c r="X1789" s="38"/>
    </row>
    <row r="1790" spans="1:24" ht="28" customHeight="1" x14ac:dyDescent="0.35">
      <c r="A1790" s="56" t="s">
        <v>4051</v>
      </c>
      <c r="B1790" s="2">
        <v>1672</v>
      </c>
      <c r="C1790" s="74">
        <v>10129298</v>
      </c>
      <c r="D1790" s="105" t="s">
        <v>4019</v>
      </c>
      <c r="E1790" s="74" t="s">
        <v>2151</v>
      </c>
      <c r="F1790" s="75">
        <v>3</v>
      </c>
      <c r="G1790" s="64" t="s">
        <v>0</v>
      </c>
      <c r="H1790" s="64">
        <v>2015</v>
      </c>
      <c r="I1790" s="64" t="s">
        <v>972</v>
      </c>
      <c r="J1790" s="152" t="s">
        <v>1917</v>
      </c>
      <c r="K1790" s="152" t="s">
        <v>961</v>
      </c>
      <c r="L1790" s="61" t="s">
        <v>845</v>
      </c>
      <c r="M1790" s="204">
        <f>O1790</f>
        <v>1230</v>
      </c>
      <c r="N1790" s="219">
        <f>O1790/F1790</f>
        <v>410</v>
      </c>
      <c r="O1790" s="209">
        <v>1230</v>
      </c>
      <c r="P1790" s="65">
        <v>680</v>
      </c>
      <c r="Q1790" s="65">
        <f t="shared" si="311"/>
        <v>149.6</v>
      </c>
      <c r="R1790" s="65">
        <f t="shared" si="312"/>
        <v>829.6</v>
      </c>
      <c r="S1790" s="267"/>
      <c r="T1790" s="203">
        <v>115</v>
      </c>
      <c r="U1790" s="273" t="s">
        <v>4054</v>
      </c>
      <c r="V1790" s="38">
        <v>677</v>
      </c>
      <c r="W1790" s="38">
        <f t="shared" si="313"/>
        <v>148.94</v>
      </c>
      <c r="X1790" s="38">
        <f t="shared" si="314"/>
        <v>825.94</v>
      </c>
    </row>
    <row r="1791" spans="1:24" ht="18.75" customHeight="1" x14ac:dyDescent="0.35">
      <c r="A1791" s="56" t="s">
        <v>4082</v>
      </c>
      <c r="B1791" s="2">
        <v>1673</v>
      </c>
      <c r="C1791" s="74">
        <v>10142237</v>
      </c>
      <c r="D1791" s="105" t="s">
        <v>4022</v>
      </c>
      <c r="E1791" s="74" t="s">
        <v>684</v>
      </c>
      <c r="F1791" s="75">
        <v>2</v>
      </c>
      <c r="G1791" s="64" t="s">
        <v>0</v>
      </c>
      <c r="H1791" s="64">
        <v>2014</v>
      </c>
      <c r="I1791" s="64" t="s">
        <v>976</v>
      </c>
      <c r="J1791" s="152" t="s">
        <v>1917</v>
      </c>
      <c r="K1791" s="64" t="s">
        <v>4030</v>
      </c>
      <c r="L1791" s="64" t="s">
        <v>4031</v>
      </c>
      <c r="M1791" s="204">
        <f>O1791</f>
        <v>158334.25</v>
      </c>
      <c r="N1791" s="219">
        <f>O1791/F1791</f>
        <v>79167.13</v>
      </c>
      <c r="O1791" s="209">
        <v>158334.25</v>
      </c>
      <c r="P1791" s="65">
        <v>16960</v>
      </c>
      <c r="Q1791" s="65">
        <f t="shared" si="311"/>
        <v>3731.2</v>
      </c>
      <c r="R1791" s="65">
        <f t="shared" si="312"/>
        <v>20691.2</v>
      </c>
      <c r="S1791" s="276"/>
      <c r="T1791" s="203">
        <v>115</v>
      </c>
      <c r="U1791" s="270"/>
      <c r="V1791" s="38">
        <v>16964</v>
      </c>
      <c r="W1791" s="38">
        <f t="shared" si="313"/>
        <v>3732.08</v>
      </c>
      <c r="X1791" s="38">
        <f t="shared" si="314"/>
        <v>20696.080000000002</v>
      </c>
    </row>
    <row r="1792" spans="1:24" ht="15" customHeight="1" x14ac:dyDescent="0.35">
      <c r="A1792" s="56"/>
      <c r="B1792" s="15"/>
      <c r="C1792" s="64"/>
      <c r="D1792" s="64"/>
      <c r="E1792" s="64"/>
      <c r="F1792" s="64"/>
      <c r="G1792" s="64"/>
      <c r="H1792" s="64"/>
      <c r="I1792" s="64"/>
      <c r="J1792" s="64"/>
      <c r="K1792" s="64"/>
      <c r="L1792" s="64"/>
      <c r="M1792" s="64"/>
      <c r="N1792" s="64"/>
      <c r="O1792" s="195">
        <f>SUM(O1790:O1791)</f>
        <v>159564.25</v>
      </c>
      <c r="P1792" s="195">
        <f t="shared" ref="P1792:R1792" si="318">SUM(P1790:P1791)</f>
        <v>17640</v>
      </c>
      <c r="Q1792" s="195">
        <f t="shared" si="318"/>
        <v>3880.8</v>
      </c>
      <c r="R1792" s="195">
        <f t="shared" si="318"/>
        <v>21520.799999999999</v>
      </c>
      <c r="S1792" s="72">
        <f>R1792/100*10</f>
        <v>2152.08</v>
      </c>
      <c r="T1792" s="73">
        <v>115</v>
      </c>
      <c r="U1792" s="271"/>
      <c r="V1792" s="38"/>
      <c r="W1792" s="38"/>
      <c r="X1792" s="38"/>
    </row>
    <row r="1793" spans="1:24" ht="29.15" customHeight="1" x14ac:dyDescent="0.35">
      <c r="A1793" s="56" t="s">
        <v>2754</v>
      </c>
      <c r="B1793" s="2">
        <v>1674</v>
      </c>
      <c r="C1793" s="74">
        <v>10108375</v>
      </c>
      <c r="D1793" s="59" t="s">
        <v>1302</v>
      </c>
      <c r="E1793" s="40" t="s">
        <v>4177</v>
      </c>
      <c r="F1793" s="197">
        <v>1</v>
      </c>
      <c r="G1793" s="64" t="s">
        <v>0</v>
      </c>
      <c r="H1793" s="64" t="s">
        <v>494</v>
      </c>
      <c r="I1793" s="64" t="s">
        <v>1316</v>
      </c>
      <c r="J1793" s="64" t="s">
        <v>1917</v>
      </c>
      <c r="K1793" s="64" t="s">
        <v>961</v>
      </c>
      <c r="L1793" s="64" t="s">
        <v>950</v>
      </c>
      <c r="M1793" s="65">
        <f t="shared" ref="M1793:M1856" si="319">O1793</f>
        <v>53806</v>
      </c>
      <c r="N1793" s="65">
        <f t="shared" ref="N1793:N1856" si="320">O1793/F1793</f>
        <v>53806</v>
      </c>
      <c r="O1793" s="174">
        <v>53806</v>
      </c>
      <c r="P1793" s="65">
        <v>58370</v>
      </c>
      <c r="Q1793" s="65">
        <f t="shared" si="311"/>
        <v>12841.4</v>
      </c>
      <c r="R1793" s="65">
        <f t="shared" si="312"/>
        <v>71211.399999999994</v>
      </c>
      <c r="S1793" s="267"/>
      <c r="T1793" s="64">
        <v>116</v>
      </c>
      <c r="U1793" s="273" t="s">
        <v>2267</v>
      </c>
      <c r="V1793" s="38">
        <v>67011</v>
      </c>
      <c r="W1793" s="38">
        <f t="shared" si="313"/>
        <v>14742.42</v>
      </c>
      <c r="X1793" s="38">
        <f t="shared" si="314"/>
        <v>81753.42</v>
      </c>
    </row>
    <row r="1794" spans="1:24" ht="27.65" customHeight="1" x14ac:dyDescent="0.35">
      <c r="A1794" s="56" t="s">
        <v>2755</v>
      </c>
      <c r="B1794" s="2">
        <v>1675</v>
      </c>
      <c r="C1794" s="74">
        <v>10108257</v>
      </c>
      <c r="D1794" s="59" t="s">
        <v>1303</v>
      </c>
      <c r="E1794" s="40" t="s">
        <v>4178</v>
      </c>
      <c r="F1794" s="197">
        <v>1</v>
      </c>
      <c r="G1794" s="64" t="s">
        <v>0</v>
      </c>
      <c r="H1794" s="64" t="s">
        <v>494</v>
      </c>
      <c r="I1794" s="64" t="s">
        <v>1316</v>
      </c>
      <c r="J1794" s="64" t="s">
        <v>1917</v>
      </c>
      <c r="K1794" s="64" t="s">
        <v>961</v>
      </c>
      <c r="L1794" s="64" t="s">
        <v>950</v>
      </c>
      <c r="M1794" s="65">
        <f t="shared" si="319"/>
        <v>98400</v>
      </c>
      <c r="N1794" s="65">
        <f t="shared" si="320"/>
        <v>98400</v>
      </c>
      <c r="O1794" s="174">
        <v>98400</v>
      </c>
      <c r="P1794" s="65">
        <v>106740</v>
      </c>
      <c r="Q1794" s="65">
        <f t="shared" si="311"/>
        <v>23482.799999999999</v>
      </c>
      <c r="R1794" s="65">
        <f t="shared" si="312"/>
        <v>130222.8</v>
      </c>
      <c r="S1794" s="272"/>
      <c r="T1794" s="64">
        <v>116</v>
      </c>
      <c r="U1794" s="270"/>
      <c r="V1794" s="38">
        <v>122549</v>
      </c>
      <c r="W1794" s="38">
        <f t="shared" si="313"/>
        <v>26960.78</v>
      </c>
      <c r="X1794" s="38">
        <f t="shared" si="314"/>
        <v>149509.78</v>
      </c>
    </row>
    <row r="1795" spans="1:24" ht="29.5" customHeight="1" x14ac:dyDescent="0.35">
      <c r="A1795" s="56" t="s">
        <v>2757</v>
      </c>
      <c r="B1795" s="2">
        <v>1676</v>
      </c>
      <c r="C1795" s="74">
        <v>10124477</v>
      </c>
      <c r="D1795" s="59" t="s">
        <v>1305</v>
      </c>
      <c r="E1795" s="40" t="s">
        <v>4178</v>
      </c>
      <c r="F1795" s="197">
        <v>1</v>
      </c>
      <c r="G1795" s="64" t="s">
        <v>0</v>
      </c>
      <c r="H1795" s="64" t="s">
        <v>494</v>
      </c>
      <c r="I1795" s="64" t="s">
        <v>1316</v>
      </c>
      <c r="J1795" s="64" t="s">
        <v>1917</v>
      </c>
      <c r="K1795" s="64" t="s">
        <v>961</v>
      </c>
      <c r="L1795" s="64" t="s">
        <v>950</v>
      </c>
      <c r="M1795" s="65">
        <f t="shared" si="319"/>
        <v>102602.85</v>
      </c>
      <c r="N1795" s="65">
        <f t="shared" si="320"/>
        <v>102602.85</v>
      </c>
      <c r="O1795" s="174">
        <v>102602.85</v>
      </c>
      <c r="P1795" s="65">
        <v>111300</v>
      </c>
      <c r="Q1795" s="65">
        <f t="shared" si="311"/>
        <v>24486</v>
      </c>
      <c r="R1795" s="65">
        <f t="shared" si="312"/>
        <v>135786</v>
      </c>
      <c r="S1795" s="272"/>
      <c r="T1795" s="64">
        <v>116</v>
      </c>
      <c r="U1795" s="270"/>
      <c r="V1795" s="38">
        <v>127784</v>
      </c>
      <c r="W1795" s="38">
        <f t="shared" si="313"/>
        <v>28112.48</v>
      </c>
      <c r="X1795" s="38">
        <f t="shared" si="314"/>
        <v>155896.48000000001</v>
      </c>
    </row>
    <row r="1796" spans="1:24" ht="30.65" customHeight="1" x14ac:dyDescent="0.35">
      <c r="A1796" s="56" t="s">
        <v>2758</v>
      </c>
      <c r="B1796" s="2">
        <v>1677</v>
      </c>
      <c r="C1796" s="74">
        <v>10124572</v>
      </c>
      <c r="D1796" s="59" t="s">
        <v>1306</v>
      </c>
      <c r="E1796" s="40" t="s">
        <v>4178</v>
      </c>
      <c r="F1796" s="197">
        <v>1</v>
      </c>
      <c r="G1796" s="64" t="s">
        <v>0</v>
      </c>
      <c r="H1796" s="64" t="s">
        <v>494</v>
      </c>
      <c r="I1796" s="64" t="s">
        <v>1316</v>
      </c>
      <c r="J1796" s="64" t="s">
        <v>1917</v>
      </c>
      <c r="K1796" s="64" t="s">
        <v>961</v>
      </c>
      <c r="L1796" s="64" t="s">
        <v>950</v>
      </c>
      <c r="M1796" s="65">
        <f t="shared" si="319"/>
        <v>106153.95</v>
      </c>
      <c r="N1796" s="65">
        <f t="shared" si="320"/>
        <v>106153.95</v>
      </c>
      <c r="O1796" s="174">
        <v>106153.95</v>
      </c>
      <c r="P1796" s="65">
        <v>115150</v>
      </c>
      <c r="Q1796" s="65">
        <f t="shared" si="311"/>
        <v>25333</v>
      </c>
      <c r="R1796" s="65">
        <f t="shared" si="312"/>
        <v>140483</v>
      </c>
      <c r="S1796" s="272"/>
      <c r="T1796" s="64">
        <v>116</v>
      </c>
      <c r="U1796" s="270"/>
      <c r="V1796" s="38">
        <v>132206</v>
      </c>
      <c r="W1796" s="38">
        <f t="shared" si="313"/>
        <v>29085.32</v>
      </c>
      <c r="X1796" s="38">
        <f t="shared" si="314"/>
        <v>161291.32</v>
      </c>
    </row>
    <row r="1797" spans="1:24" ht="32.15" customHeight="1" x14ac:dyDescent="0.35">
      <c r="A1797" s="56" t="s">
        <v>2759</v>
      </c>
      <c r="B1797" s="2">
        <v>1678</v>
      </c>
      <c r="C1797" s="74">
        <v>10124573</v>
      </c>
      <c r="D1797" s="59" t="s">
        <v>1307</v>
      </c>
      <c r="E1797" s="40" t="s">
        <v>4178</v>
      </c>
      <c r="F1797" s="197">
        <v>1</v>
      </c>
      <c r="G1797" s="64" t="s">
        <v>0</v>
      </c>
      <c r="H1797" s="64" t="s">
        <v>494</v>
      </c>
      <c r="I1797" s="64" t="s">
        <v>1316</v>
      </c>
      <c r="J1797" s="64" t="s">
        <v>1917</v>
      </c>
      <c r="K1797" s="64" t="s">
        <v>961</v>
      </c>
      <c r="L1797" s="64" t="s">
        <v>950</v>
      </c>
      <c r="M1797" s="65">
        <f t="shared" si="319"/>
        <v>115450.65</v>
      </c>
      <c r="N1797" s="65">
        <f t="shared" si="320"/>
        <v>115450.65</v>
      </c>
      <c r="O1797" s="174">
        <v>115450.65</v>
      </c>
      <c r="P1797" s="65">
        <v>125240</v>
      </c>
      <c r="Q1797" s="65">
        <f t="shared" si="311"/>
        <v>27552.799999999999</v>
      </c>
      <c r="R1797" s="65">
        <f t="shared" si="312"/>
        <v>152792.79999999999</v>
      </c>
      <c r="S1797" s="272"/>
      <c r="T1797" s="64">
        <v>116</v>
      </c>
      <c r="U1797" s="270"/>
      <c r="V1797" s="38">
        <v>143785</v>
      </c>
      <c r="W1797" s="38">
        <f t="shared" si="313"/>
        <v>31632.7</v>
      </c>
      <c r="X1797" s="38">
        <f t="shared" si="314"/>
        <v>175417.7</v>
      </c>
    </row>
    <row r="1798" spans="1:24" ht="15" customHeight="1" x14ac:dyDescent="0.35">
      <c r="A1798" s="56" t="s">
        <v>2861</v>
      </c>
      <c r="B1798" s="2">
        <v>1679</v>
      </c>
      <c r="C1798" s="74">
        <v>10108262</v>
      </c>
      <c r="D1798" s="59" t="s">
        <v>1862</v>
      </c>
      <c r="E1798" s="59" t="s">
        <v>2167</v>
      </c>
      <c r="F1798" s="197">
        <v>1</v>
      </c>
      <c r="G1798" s="64" t="s">
        <v>0</v>
      </c>
      <c r="H1798" s="64">
        <v>42004</v>
      </c>
      <c r="I1798" s="64" t="s">
        <v>957</v>
      </c>
      <c r="J1798" s="64" t="s">
        <v>1917</v>
      </c>
      <c r="K1798" s="64" t="s">
        <v>961</v>
      </c>
      <c r="L1798" s="64" t="s">
        <v>950</v>
      </c>
      <c r="M1798" s="65">
        <f t="shared" si="319"/>
        <v>72617.460000000006</v>
      </c>
      <c r="N1798" s="65">
        <f t="shared" si="320"/>
        <v>72617.460000000006</v>
      </c>
      <c r="O1798" s="174">
        <v>72617.460000000006</v>
      </c>
      <c r="P1798" s="65">
        <v>78770</v>
      </c>
      <c r="Q1798" s="65">
        <f t="shared" si="311"/>
        <v>17329.400000000001</v>
      </c>
      <c r="R1798" s="65">
        <f t="shared" si="312"/>
        <v>96099.4</v>
      </c>
      <c r="S1798" s="272"/>
      <c r="T1798" s="64">
        <v>116</v>
      </c>
      <c r="U1798" s="270"/>
      <c r="V1798" s="38">
        <v>90439</v>
      </c>
      <c r="W1798" s="38">
        <f t="shared" si="313"/>
        <v>19896.580000000002</v>
      </c>
      <c r="X1798" s="38">
        <f t="shared" si="314"/>
        <v>110335.58</v>
      </c>
    </row>
    <row r="1799" spans="1:24" ht="15" customHeight="1" x14ac:dyDescent="0.35">
      <c r="A1799" s="56" t="s">
        <v>2862</v>
      </c>
      <c r="B1799" s="2">
        <v>1680</v>
      </c>
      <c r="C1799" s="74">
        <v>10109263</v>
      </c>
      <c r="D1799" s="59" t="s">
        <v>1863</v>
      </c>
      <c r="E1799" s="59" t="s">
        <v>2167</v>
      </c>
      <c r="F1799" s="197">
        <v>1</v>
      </c>
      <c r="G1799" s="64" t="s">
        <v>0</v>
      </c>
      <c r="H1799" s="64">
        <v>42004</v>
      </c>
      <c r="I1799" s="64" t="s">
        <v>957</v>
      </c>
      <c r="J1799" s="64" t="s">
        <v>1917</v>
      </c>
      <c r="K1799" s="64" t="s">
        <v>961</v>
      </c>
      <c r="L1799" s="64" t="s">
        <v>950</v>
      </c>
      <c r="M1799" s="65">
        <f t="shared" si="319"/>
        <v>57724.42</v>
      </c>
      <c r="N1799" s="65">
        <f t="shared" si="320"/>
        <v>57724.42</v>
      </c>
      <c r="O1799" s="174">
        <v>57724.42</v>
      </c>
      <c r="P1799" s="65">
        <v>62620</v>
      </c>
      <c r="Q1799" s="65">
        <f t="shared" si="311"/>
        <v>13776.4</v>
      </c>
      <c r="R1799" s="65">
        <f t="shared" si="312"/>
        <v>76396.399999999994</v>
      </c>
      <c r="S1799" s="272"/>
      <c r="T1799" s="64">
        <v>116</v>
      </c>
      <c r="U1799" s="270"/>
      <c r="V1799" s="38">
        <v>71891</v>
      </c>
      <c r="W1799" s="38">
        <f t="shared" si="313"/>
        <v>15816.02</v>
      </c>
      <c r="X1799" s="38">
        <f t="shared" si="314"/>
        <v>87707.02</v>
      </c>
    </row>
    <row r="1800" spans="1:24" ht="15" customHeight="1" x14ac:dyDescent="0.35">
      <c r="A1800" s="56" t="s">
        <v>2887</v>
      </c>
      <c r="B1800" s="2">
        <v>1681</v>
      </c>
      <c r="C1800" s="74">
        <v>102002213</v>
      </c>
      <c r="D1800" s="59" t="s">
        <v>402</v>
      </c>
      <c r="E1800" s="74" t="s">
        <v>2185</v>
      </c>
      <c r="F1800" s="197">
        <v>1</v>
      </c>
      <c r="G1800" s="64" t="s">
        <v>0</v>
      </c>
      <c r="H1800" s="64">
        <v>42824</v>
      </c>
      <c r="I1800" s="64" t="s">
        <v>962</v>
      </c>
      <c r="J1800" s="64" t="s">
        <v>1917</v>
      </c>
      <c r="K1800" s="64" t="s">
        <v>961</v>
      </c>
      <c r="L1800" s="64" t="s">
        <v>2093</v>
      </c>
      <c r="M1800" s="65">
        <f t="shared" si="319"/>
        <v>21531.3</v>
      </c>
      <c r="N1800" s="65">
        <f t="shared" si="320"/>
        <v>21531.3</v>
      </c>
      <c r="O1800" s="174">
        <v>21531.3</v>
      </c>
      <c r="P1800" s="65">
        <v>11910</v>
      </c>
      <c r="Q1800" s="65">
        <f t="shared" si="311"/>
        <v>2620.1999999999998</v>
      </c>
      <c r="R1800" s="65">
        <f t="shared" si="312"/>
        <v>14530.2</v>
      </c>
      <c r="S1800" s="272"/>
      <c r="T1800" s="64">
        <v>116</v>
      </c>
      <c r="U1800" s="270"/>
      <c r="V1800" s="38">
        <v>13671</v>
      </c>
      <c r="W1800" s="38">
        <f t="shared" si="313"/>
        <v>3007.62</v>
      </c>
      <c r="X1800" s="38">
        <f t="shared" si="314"/>
        <v>16678.62</v>
      </c>
    </row>
    <row r="1801" spans="1:24" ht="15" customHeight="1" x14ac:dyDescent="0.35">
      <c r="A1801" s="56" t="s">
        <v>2888</v>
      </c>
      <c r="B1801" s="2">
        <v>1682</v>
      </c>
      <c r="C1801" s="74">
        <v>102002220</v>
      </c>
      <c r="D1801" s="59" t="s">
        <v>403</v>
      </c>
      <c r="E1801" s="74" t="s">
        <v>2185</v>
      </c>
      <c r="F1801" s="197">
        <v>1</v>
      </c>
      <c r="G1801" s="64" t="s">
        <v>0</v>
      </c>
      <c r="H1801" s="64">
        <v>2015</v>
      </c>
      <c r="I1801" s="64" t="s">
        <v>962</v>
      </c>
      <c r="J1801" s="64" t="s">
        <v>1917</v>
      </c>
      <c r="K1801" s="64" t="s">
        <v>961</v>
      </c>
      <c r="L1801" s="64" t="s">
        <v>2093</v>
      </c>
      <c r="M1801" s="65">
        <f t="shared" si="319"/>
        <v>19310.02</v>
      </c>
      <c r="N1801" s="65">
        <f t="shared" si="320"/>
        <v>19310.02</v>
      </c>
      <c r="O1801" s="174">
        <v>19310.02</v>
      </c>
      <c r="P1801" s="65">
        <v>11580</v>
      </c>
      <c r="Q1801" s="65">
        <f t="shared" si="311"/>
        <v>2547.6</v>
      </c>
      <c r="R1801" s="65">
        <f t="shared" si="312"/>
        <v>14127.6</v>
      </c>
      <c r="S1801" s="272"/>
      <c r="T1801" s="64">
        <v>116</v>
      </c>
      <c r="U1801" s="270"/>
      <c r="V1801" s="38">
        <v>13297</v>
      </c>
      <c r="W1801" s="38">
        <f t="shared" si="313"/>
        <v>2925.34</v>
      </c>
      <c r="X1801" s="38">
        <f t="shared" si="314"/>
        <v>16222.34</v>
      </c>
    </row>
    <row r="1802" spans="1:24" ht="15" customHeight="1" x14ac:dyDescent="0.35">
      <c r="A1802" s="56" t="s">
        <v>2889</v>
      </c>
      <c r="B1802" s="2">
        <v>1683</v>
      </c>
      <c r="C1802" s="74">
        <v>102002225</v>
      </c>
      <c r="D1802" s="59" t="s">
        <v>404</v>
      </c>
      <c r="E1802" s="74" t="s">
        <v>2185</v>
      </c>
      <c r="F1802" s="197">
        <v>1</v>
      </c>
      <c r="G1802" s="64" t="s">
        <v>0</v>
      </c>
      <c r="H1802" s="64">
        <v>42824</v>
      </c>
      <c r="I1802" s="64" t="s">
        <v>962</v>
      </c>
      <c r="J1802" s="64" t="s">
        <v>1917</v>
      </c>
      <c r="K1802" s="64" t="s">
        <v>961</v>
      </c>
      <c r="L1802" s="64" t="s">
        <v>2093</v>
      </c>
      <c r="M1802" s="65">
        <f t="shared" si="319"/>
        <v>28098.36</v>
      </c>
      <c r="N1802" s="65">
        <f t="shared" si="320"/>
        <v>28098.36</v>
      </c>
      <c r="O1802" s="174">
        <v>28098.36</v>
      </c>
      <c r="P1802" s="65">
        <v>15540</v>
      </c>
      <c r="Q1802" s="65">
        <f t="shared" si="311"/>
        <v>3418.8</v>
      </c>
      <c r="R1802" s="65">
        <f t="shared" si="312"/>
        <v>18958.8</v>
      </c>
      <c r="S1802" s="272"/>
      <c r="T1802" s="64">
        <v>116</v>
      </c>
      <c r="U1802" s="270"/>
      <c r="V1802" s="38">
        <v>17840</v>
      </c>
      <c r="W1802" s="38">
        <f t="shared" si="313"/>
        <v>3924.8</v>
      </c>
      <c r="X1802" s="38">
        <f t="shared" si="314"/>
        <v>21764.799999999999</v>
      </c>
    </row>
    <row r="1803" spans="1:24" ht="15" customHeight="1" x14ac:dyDescent="0.35">
      <c r="A1803" s="56" t="s">
        <v>2890</v>
      </c>
      <c r="B1803" s="2">
        <v>1684</v>
      </c>
      <c r="C1803" s="74">
        <v>102002286</v>
      </c>
      <c r="D1803" s="59" t="s">
        <v>406</v>
      </c>
      <c r="E1803" s="74" t="s">
        <v>2185</v>
      </c>
      <c r="F1803" s="197">
        <v>1</v>
      </c>
      <c r="G1803" s="64" t="s">
        <v>0</v>
      </c>
      <c r="H1803" s="64">
        <v>42004</v>
      </c>
      <c r="I1803" s="64" t="s">
        <v>962</v>
      </c>
      <c r="J1803" s="64" t="s">
        <v>1917</v>
      </c>
      <c r="K1803" s="64" t="s">
        <v>961</v>
      </c>
      <c r="L1803" s="64" t="s">
        <v>2093</v>
      </c>
      <c r="M1803" s="65">
        <f t="shared" si="319"/>
        <v>21905.94</v>
      </c>
      <c r="N1803" s="65">
        <f t="shared" si="320"/>
        <v>21905.94</v>
      </c>
      <c r="O1803" s="174">
        <v>21905.94</v>
      </c>
      <c r="P1803" s="65">
        <v>13980</v>
      </c>
      <c r="Q1803" s="65">
        <f t="shared" si="311"/>
        <v>3075.6</v>
      </c>
      <c r="R1803" s="65">
        <f t="shared" si="312"/>
        <v>17055.599999999999</v>
      </c>
      <c r="S1803" s="272"/>
      <c r="T1803" s="64">
        <v>116</v>
      </c>
      <c r="U1803" s="270"/>
      <c r="V1803" s="38">
        <v>16048</v>
      </c>
      <c r="W1803" s="38">
        <f t="shared" si="313"/>
        <v>3530.56</v>
      </c>
      <c r="X1803" s="38">
        <f t="shared" si="314"/>
        <v>19578.560000000001</v>
      </c>
    </row>
    <row r="1804" spans="1:24" ht="15" customHeight="1" x14ac:dyDescent="0.35">
      <c r="A1804" s="56" t="s">
        <v>2894</v>
      </c>
      <c r="B1804" s="2">
        <v>1685</v>
      </c>
      <c r="C1804" s="74">
        <v>102002315</v>
      </c>
      <c r="D1804" s="59" t="s">
        <v>412</v>
      </c>
      <c r="E1804" s="74" t="s">
        <v>2185</v>
      </c>
      <c r="F1804" s="197">
        <v>1</v>
      </c>
      <c r="G1804" s="64" t="s">
        <v>0</v>
      </c>
      <c r="H1804" s="64">
        <v>42824</v>
      </c>
      <c r="I1804" s="64" t="s">
        <v>962</v>
      </c>
      <c r="J1804" s="64" t="s">
        <v>1917</v>
      </c>
      <c r="K1804" s="64" t="s">
        <v>961</v>
      </c>
      <c r="L1804" s="64" t="s">
        <v>2093</v>
      </c>
      <c r="M1804" s="65">
        <f t="shared" si="319"/>
        <v>53603.72</v>
      </c>
      <c r="N1804" s="65">
        <f t="shared" si="320"/>
        <v>53603.72</v>
      </c>
      <c r="O1804" s="174">
        <v>53603.72</v>
      </c>
      <c r="P1804" s="65">
        <v>29640</v>
      </c>
      <c r="Q1804" s="65">
        <f t="shared" si="311"/>
        <v>6520.8</v>
      </c>
      <c r="R1804" s="65">
        <f t="shared" si="312"/>
        <v>36160.800000000003</v>
      </c>
      <c r="S1804" s="272"/>
      <c r="T1804" s="64">
        <v>116</v>
      </c>
      <c r="U1804" s="270"/>
      <c r="V1804" s="38">
        <v>34034</v>
      </c>
      <c r="W1804" s="38">
        <f t="shared" si="313"/>
        <v>7487.48</v>
      </c>
      <c r="X1804" s="38">
        <f t="shared" si="314"/>
        <v>41521.480000000003</v>
      </c>
    </row>
    <row r="1805" spans="1:24" ht="15" customHeight="1" x14ac:dyDescent="0.35">
      <c r="A1805" s="56" t="s">
        <v>2895</v>
      </c>
      <c r="B1805" s="2">
        <v>1686</v>
      </c>
      <c r="C1805" s="74">
        <v>102002320</v>
      </c>
      <c r="D1805" s="59" t="s">
        <v>413</v>
      </c>
      <c r="E1805" s="74" t="s">
        <v>2185</v>
      </c>
      <c r="F1805" s="197">
        <v>1</v>
      </c>
      <c r="G1805" s="64" t="s">
        <v>0</v>
      </c>
      <c r="H1805" s="64">
        <v>42004</v>
      </c>
      <c r="I1805" s="64" t="s">
        <v>962</v>
      </c>
      <c r="J1805" s="64" t="s">
        <v>1917</v>
      </c>
      <c r="K1805" s="64" t="s">
        <v>961</v>
      </c>
      <c r="L1805" s="64" t="s">
        <v>2093</v>
      </c>
      <c r="M1805" s="65">
        <f t="shared" si="319"/>
        <v>48500</v>
      </c>
      <c r="N1805" s="65">
        <f t="shared" si="320"/>
        <v>48500</v>
      </c>
      <c r="O1805" s="174">
        <v>48500</v>
      </c>
      <c r="P1805" s="65">
        <v>30950</v>
      </c>
      <c r="Q1805" s="65">
        <f t="shared" si="311"/>
        <v>6809</v>
      </c>
      <c r="R1805" s="65">
        <f t="shared" si="312"/>
        <v>37759</v>
      </c>
      <c r="S1805" s="272"/>
      <c r="T1805" s="64">
        <v>116</v>
      </c>
      <c r="U1805" s="270"/>
      <c r="V1805" s="38">
        <v>35531</v>
      </c>
      <c r="W1805" s="38">
        <f t="shared" si="313"/>
        <v>7816.82</v>
      </c>
      <c r="X1805" s="38">
        <f t="shared" si="314"/>
        <v>43347.82</v>
      </c>
    </row>
    <row r="1806" spans="1:24" ht="15" customHeight="1" x14ac:dyDescent="0.35">
      <c r="A1806" s="56" t="s">
        <v>2896</v>
      </c>
      <c r="B1806" s="2">
        <v>1687</v>
      </c>
      <c r="C1806" s="74">
        <v>102002328</v>
      </c>
      <c r="D1806" s="59" t="s">
        <v>415</v>
      </c>
      <c r="E1806" s="74" t="s">
        <v>2185</v>
      </c>
      <c r="F1806" s="197">
        <v>1</v>
      </c>
      <c r="G1806" s="64" t="s">
        <v>0</v>
      </c>
      <c r="H1806" s="64" t="s">
        <v>2145</v>
      </c>
      <c r="I1806" s="64" t="s">
        <v>962</v>
      </c>
      <c r="J1806" s="64" t="s">
        <v>1917</v>
      </c>
      <c r="K1806" s="64" t="s">
        <v>961</v>
      </c>
      <c r="L1806" s="64" t="s">
        <v>2093</v>
      </c>
      <c r="M1806" s="65">
        <f t="shared" si="319"/>
        <v>39677.360000000001</v>
      </c>
      <c r="N1806" s="65">
        <f t="shared" si="320"/>
        <v>39677.360000000001</v>
      </c>
      <c r="O1806" s="174">
        <v>39677.360000000001</v>
      </c>
      <c r="P1806" s="65">
        <v>28390</v>
      </c>
      <c r="Q1806" s="65">
        <f t="shared" si="311"/>
        <v>6245.8</v>
      </c>
      <c r="R1806" s="65">
        <f t="shared" si="312"/>
        <v>34635.800000000003</v>
      </c>
      <c r="S1806" s="272"/>
      <c r="T1806" s="64">
        <v>116</v>
      </c>
      <c r="U1806" s="270"/>
      <c r="V1806" s="38">
        <v>32594</v>
      </c>
      <c r="W1806" s="38">
        <f t="shared" si="313"/>
        <v>7170.68</v>
      </c>
      <c r="X1806" s="38">
        <f t="shared" si="314"/>
        <v>39764.68</v>
      </c>
    </row>
    <row r="1807" spans="1:24" ht="15" customHeight="1" x14ac:dyDescent="0.35">
      <c r="A1807" s="56" t="s">
        <v>2897</v>
      </c>
      <c r="B1807" s="2">
        <v>1688</v>
      </c>
      <c r="C1807" s="74">
        <v>102002337</v>
      </c>
      <c r="D1807" s="59" t="s">
        <v>416</v>
      </c>
      <c r="E1807" s="74" t="s">
        <v>2185</v>
      </c>
      <c r="F1807" s="197">
        <v>1</v>
      </c>
      <c r="G1807" s="64" t="s">
        <v>0</v>
      </c>
      <c r="H1807" s="64" t="s">
        <v>2145</v>
      </c>
      <c r="I1807" s="64" t="s">
        <v>962</v>
      </c>
      <c r="J1807" s="64" t="s">
        <v>1917</v>
      </c>
      <c r="K1807" s="64" t="s">
        <v>961</v>
      </c>
      <c r="L1807" s="64" t="s">
        <v>2093</v>
      </c>
      <c r="M1807" s="65">
        <f t="shared" si="319"/>
        <v>35465.24</v>
      </c>
      <c r="N1807" s="65">
        <f t="shared" si="320"/>
        <v>35465.24</v>
      </c>
      <c r="O1807" s="174">
        <v>35465.24</v>
      </c>
      <c r="P1807" s="65">
        <v>25380</v>
      </c>
      <c r="Q1807" s="65">
        <f t="shared" si="311"/>
        <v>5583.6</v>
      </c>
      <c r="R1807" s="65">
        <f t="shared" si="312"/>
        <v>30963.599999999999</v>
      </c>
      <c r="S1807" s="272"/>
      <c r="T1807" s="64">
        <v>116</v>
      </c>
      <c r="U1807" s="270"/>
      <c r="V1807" s="38">
        <v>29134</v>
      </c>
      <c r="W1807" s="38">
        <f t="shared" si="313"/>
        <v>6409.48</v>
      </c>
      <c r="X1807" s="38">
        <f t="shared" si="314"/>
        <v>35543.480000000003</v>
      </c>
    </row>
    <row r="1808" spans="1:24" ht="15" customHeight="1" x14ac:dyDescent="0.35">
      <c r="A1808" s="56" t="s">
        <v>2898</v>
      </c>
      <c r="B1808" s="2">
        <v>1689</v>
      </c>
      <c r="C1808" s="74">
        <v>102002338</v>
      </c>
      <c r="D1808" s="59" t="s">
        <v>417</v>
      </c>
      <c r="E1808" s="74" t="s">
        <v>2185</v>
      </c>
      <c r="F1808" s="197">
        <v>1</v>
      </c>
      <c r="G1808" s="64" t="s">
        <v>0</v>
      </c>
      <c r="H1808" s="64" t="s">
        <v>2145</v>
      </c>
      <c r="I1808" s="64" t="s">
        <v>962</v>
      </c>
      <c r="J1808" s="64" t="s">
        <v>1917</v>
      </c>
      <c r="K1808" s="64" t="s">
        <v>961</v>
      </c>
      <c r="L1808" s="64" t="s">
        <v>2093</v>
      </c>
      <c r="M1808" s="65">
        <f t="shared" si="319"/>
        <v>39237.93</v>
      </c>
      <c r="N1808" s="65">
        <f t="shared" si="320"/>
        <v>39237.93</v>
      </c>
      <c r="O1808" s="174">
        <v>39237.93</v>
      </c>
      <c r="P1808" s="65">
        <v>28080</v>
      </c>
      <c r="Q1808" s="65">
        <f t="shared" si="311"/>
        <v>6177.6</v>
      </c>
      <c r="R1808" s="65">
        <f t="shared" si="312"/>
        <v>34257.599999999999</v>
      </c>
      <c r="S1808" s="272"/>
      <c r="T1808" s="64">
        <v>116</v>
      </c>
      <c r="U1808" s="270"/>
      <c r="V1808" s="38">
        <v>32233</v>
      </c>
      <c r="W1808" s="38">
        <f t="shared" si="313"/>
        <v>7091.26</v>
      </c>
      <c r="X1808" s="38">
        <f t="shared" si="314"/>
        <v>39324.26</v>
      </c>
    </row>
    <row r="1809" spans="1:24" ht="15" customHeight="1" x14ac:dyDescent="0.35">
      <c r="A1809" s="56" t="s">
        <v>2899</v>
      </c>
      <c r="B1809" s="2">
        <v>1690</v>
      </c>
      <c r="C1809" s="74">
        <v>102002345</v>
      </c>
      <c r="D1809" s="59" t="s">
        <v>419</v>
      </c>
      <c r="E1809" s="74" t="s">
        <v>2185</v>
      </c>
      <c r="F1809" s="197">
        <v>1</v>
      </c>
      <c r="G1809" s="64" t="s">
        <v>0</v>
      </c>
      <c r="H1809" s="64" t="s">
        <v>2145</v>
      </c>
      <c r="I1809" s="64" t="s">
        <v>962</v>
      </c>
      <c r="J1809" s="64" t="s">
        <v>1917</v>
      </c>
      <c r="K1809" s="64" t="s">
        <v>961</v>
      </c>
      <c r="L1809" s="64" t="s">
        <v>2093</v>
      </c>
      <c r="M1809" s="65">
        <f t="shared" si="319"/>
        <v>34710.720000000001</v>
      </c>
      <c r="N1809" s="65">
        <f t="shared" si="320"/>
        <v>34710.720000000001</v>
      </c>
      <c r="O1809" s="174">
        <v>34710.720000000001</v>
      </c>
      <c r="P1809" s="65">
        <v>24840</v>
      </c>
      <c r="Q1809" s="65">
        <f t="shared" si="311"/>
        <v>5464.8</v>
      </c>
      <c r="R1809" s="65">
        <f t="shared" si="312"/>
        <v>30304.799999999999</v>
      </c>
      <c r="S1809" s="272"/>
      <c r="T1809" s="64">
        <v>116</v>
      </c>
      <c r="U1809" s="270"/>
      <c r="V1809" s="38">
        <v>28514</v>
      </c>
      <c r="W1809" s="38">
        <f t="shared" si="313"/>
        <v>6273.08</v>
      </c>
      <c r="X1809" s="38">
        <f t="shared" si="314"/>
        <v>34787.08</v>
      </c>
    </row>
    <row r="1810" spans="1:24" ht="15" customHeight="1" x14ac:dyDescent="0.35">
      <c r="A1810" s="56" t="s">
        <v>2900</v>
      </c>
      <c r="B1810" s="2">
        <v>1691</v>
      </c>
      <c r="C1810" s="74">
        <v>102002347</v>
      </c>
      <c r="D1810" s="59" t="s">
        <v>420</v>
      </c>
      <c r="E1810" s="74" t="s">
        <v>2185</v>
      </c>
      <c r="F1810" s="197">
        <v>1</v>
      </c>
      <c r="G1810" s="64" t="s">
        <v>0</v>
      </c>
      <c r="H1810" s="64" t="s">
        <v>2145</v>
      </c>
      <c r="I1810" s="64" t="s">
        <v>962</v>
      </c>
      <c r="J1810" s="64" t="s">
        <v>1917</v>
      </c>
      <c r="K1810" s="64" t="s">
        <v>961</v>
      </c>
      <c r="L1810" s="64" t="s">
        <v>2093</v>
      </c>
      <c r="M1810" s="65">
        <f t="shared" si="319"/>
        <v>53710.03</v>
      </c>
      <c r="N1810" s="65">
        <f t="shared" si="320"/>
        <v>53710.03</v>
      </c>
      <c r="O1810" s="174">
        <v>53710.03</v>
      </c>
      <c r="P1810" s="65">
        <v>38430</v>
      </c>
      <c r="Q1810" s="65">
        <f t="shared" si="311"/>
        <v>8454.6</v>
      </c>
      <c r="R1810" s="65">
        <f t="shared" si="312"/>
        <v>46884.6</v>
      </c>
      <c r="S1810" s="272"/>
      <c r="T1810" s="64">
        <v>116</v>
      </c>
      <c r="U1810" s="270"/>
      <c r="V1810" s="38">
        <v>44122</v>
      </c>
      <c r="W1810" s="38">
        <f t="shared" si="313"/>
        <v>9706.84</v>
      </c>
      <c r="X1810" s="38">
        <f t="shared" si="314"/>
        <v>53828.84</v>
      </c>
    </row>
    <row r="1811" spans="1:24" ht="15" customHeight="1" x14ac:dyDescent="0.35">
      <c r="A1811" s="56" t="s">
        <v>2903</v>
      </c>
      <c r="B1811" s="2">
        <v>1692</v>
      </c>
      <c r="C1811" s="74">
        <v>102002308</v>
      </c>
      <c r="D1811" s="59" t="s">
        <v>434</v>
      </c>
      <c r="E1811" s="74" t="s">
        <v>2185</v>
      </c>
      <c r="F1811" s="197">
        <v>2</v>
      </c>
      <c r="G1811" s="64" t="s">
        <v>0</v>
      </c>
      <c r="H1811" s="64" t="s">
        <v>2145</v>
      </c>
      <c r="I1811" s="64" t="s">
        <v>962</v>
      </c>
      <c r="J1811" s="64" t="s">
        <v>1917</v>
      </c>
      <c r="K1811" s="64" t="s">
        <v>961</v>
      </c>
      <c r="L1811" s="64" t="s">
        <v>2093</v>
      </c>
      <c r="M1811" s="65">
        <f t="shared" si="319"/>
        <v>128987.33</v>
      </c>
      <c r="N1811" s="65">
        <f t="shared" si="320"/>
        <v>64493.67</v>
      </c>
      <c r="O1811" s="174">
        <v>128987.33</v>
      </c>
      <c r="P1811" s="65">
        <v>92290</v>
      </c>
      <c r="Q1811" s="65">
        <f t="shared" si="311"/>
        <v>20303.8</v>
      </c>
      <c r="R1811" s="65">
        <f t="shared" si="312"/>
        <v>112593.8</v>
      </c>
      <c r="S1811" s="272"/>
      <c r="T1811" s="64">
        <v>116</v>
      </c>
      <c r="U1811" s="270"/>
      <c r="V1811" s="38">
        <v>105961</v>
      </c>
      <c r="W1811" s="38">
        <f t="shared" si="313"/>
        <v>23311.42</v>
      </c>
      <c r="X1811" s="38">
        <f t="shared" si="314"/>
        <v>129272.42</v>
      </c>
    </row>
    <row r="1812" spans="1:24" ht="15" customHeight="1" x14ac:dyDescent="0.35">
      <c r="A1812" s="56" t="s">
        <v>2904</v>
      </c>
      <c r="B1812" s="2">
        <v>1693</v>
      </c>
      <c r="C1812" s="74">
        <v>102002309</v>
      </c>
      <c r="D1812" s="59" t="s">
        <v>435</v>
      </c>
      <c r="E1812" s="74" t="s">
        <v>2185</v>
      </c>
      <c r="F1812" s="197">
        <v>2</v>
      </c>
      <c r="G1812" s="64" t="s">
        <v>0</v>
      </c>
      <c r="H1812" s="64" t="s">
        <v>2145</v>
      </c>
      <c r="I1812" s="64" t="s">
        <v>962</v>
      </c>
      <c r="J1812" s="64" t="s">
        <v>1917</v>
      </c>
      <c r="K1812" s="64" t="s">
        <v>961</v>
      </c>
      <c r="L1812" s="64" t="s">
        <v>2093</v>
      </c>
      <c r="M1812" s="65">
        <f t="shared" si="319"/>
        <v>126843.4</v>
      </c>
      <c r="N1812" s="65">
        <f t="shared" si="320"/>
        <v>63421.7</v>
      </c>
      <c r="O1812" s="174">
        <v>126843.4</v>
      </c>
      <c r="P1812" s="65">
        <v>90760</v>
      </c>
      <c r="Q1812" s="65">
        <f t="shared" si="311"/>
        <v>19967.2</v>
      </c>
      <c r="R1812" s="65">
        <f t="shared" si="312"/>
        <v>110727.2</v>
      </c>
      <c r="S1812" s="272"/>
      <c r="T1812" s="64">
        <v>116</v>
      </c>
      <c r="U1812" s="270"/>
      <c r="V1812" s="38">
        <v>104199</v>
      </c>
      <c r="W1812" s="38">
        <f t="shared" si="313"/>
        <v>22923.78</v>
      </c>
      <c r="X1812" s="38">
        <f t="shared" si="314"/>
        <v>127122.78</v>
      </c>
    </row>
    <row r="1813" spans="1:24" ht="15" customHeight="1" x14ac:dyDescent="0.35">
      <c r="A1813" s="56" t="s">
        <v>2906</v>
      </c>
      <c r="B1813" s="2">
        <v>1694</v>
      </c>
      <c r="C1813" s="74">
        <v>102002342</v>
      </c>
      <c r="D1813" s="59" t="s">
        <v>438</v>
      </c>
      <c r="E1813" s="74" t="s">
        <v>2185</v>
      </c>
      <c r="F1813" s="197">
        <v>2</v>
      </c>
      <c r="G1813" s="64" t="s">
        <v>0</v>
      </c>
      <c r="H1813" s="64" t="s">
        <v>2145</v>
      </c>
      <c r="I1813" s="64" t="s">
        <v>962</v>
      </c>
      <c r="J1813" s="64" t="s">
        <v>1917</v>
      </c>
      <c r="K1813" s="64" t="s">
        <v>961</v>
      </c>
      <c r="L1813" s="64" t="s">
        <v>2093</v>
      </c>
      <c r="M1813" s="65">
        <f t="shared" si="319"/>
        <v>112063.56</v>
      </c>
      <c r="N1813" s="65">
        <f t="shared" si="320"/>
        <v>56031.78</v>
      </c>
      <c r="O1813" s="174">
        <v>112063.56</v>
      </c>
      <c r="P1813" s="65">
        <v>80180</v>
      </c>
      <c r="Q1813" s="65">
        <f t="shared" si="311"/>
        <v>17639.599999999999</v>
      </c>
      <c r="R1813" s="65">
        <f t="shared" si="312"/>
        <v>97819.6</v>
      </c>
      <c r="S1813" s="272"/>
      <c r="T1813" s="64">
        <v>116</v>
      </c>
      <c r="U1813" s="270"/>
      <c r="V1813" s="38">
        <v>92058</v>
      </c>
      <c r="W1813" s="38">
        <f t="shared" si="313"/>
        <v>20252.759999999998</v>
      </c>
      <c r="X1813" s="38">
        <f t="shared" si="314"/>
        <v>112310.76</v>
      </c>
    </row>
    <row r="1814" spans="1:24" ht="15" customHeight="1" x14ac:dyDescent="0.35">
      <c r="A1814" s="56" t="s">
        <v>2907</v>
      </c>
      <c r="B1814" s="2">
        <v>1695</v>
      </c>
      <c r="C1814" s="74">
        <v>102002358</v>
      </c>
      <c r="D1814" s="59" t="s">
        <v>439</v>
      </c>
      <c r="E1814" s="74" t="s">
        <v>2185</v>
      </c>
      <c r="F1814" s="197">
        <v>2</v>
      </c>
      <c r="G1814" s="64" t="s">
        <v>0</v>
      </c>
      <c r="H1814" s="64" t="s">
        <v>2145</v>
      </c>
      <c r="I1814" s="64" t="s">
        <v>962</v>
      </c>
      <c r="J1814" s="64" t="s">
        <v>1917</v>
      </c>
      <c r="K1814" s="64" t="s">
        <v>961</v>
      </c>
      <c r="L1814" s="64" t="s">
        <v>2093</v>
      </c>
      <c r="M1814" s="65">
        <f t="shared" si="319"/>
        <v>93894.41</v>
      </c>
      <c r="N1814" s="65">
        <f t="shared" si="320"/>
        <v>46947.21</v>
      </c>
      <c r="O1814" s="174">
        <v>93894.41</v>
      </c>
      <c r="P1814" s="65">
        <v>67180</v>
      </c>
      <c r="Q1814" s="65">
        <f t="shared" si="311"/>
        <v>14779.6</v>
      </c>
      <c r="R1814" s="65">
        <f t="shared" si="312"/>
        <v>81959.600000000006</v>
      </c>
      <c r="S1814" s="272"/>
      <c r="T1814" s="64">
        <v>116</v>
      </c>
      <c r="U1814" s="270"/>
      <c r="V1814" s="38">
        <v>77132</v>
      </c>
      <c r="W1814" s="38">
        <f t="shared" si="313"/>
        <v>16969.04</v>
      </c>
      <c r="X1814" s="38">
        <f t="shared" si="314"/>
        <v>94101.04</v>
      </c>
    </row>
    <row r="1815" spans="1:24" ht="15" customHeight="1" x14ac:dyDescent="0.35">
      <c r="A1815" s="56" t="s">
        <v>2908</v>
      </c>
      <c r="B1815" s="2">
        <v>1696</v>
      </c>
      <c r="C1815" s="74">
        <v>102002359</v>
      </c>
      <c r="D1815" s="59" t="s">
        <v>440</v>
      </c>
      <c r="E1815" s="74" t="s">
        <v>2185</v>
      </c>
      <c r="F1815" s="197">
        <v>2</v>
      </c>
      <c r="G1815" s="64" t="s">
        <v>0</v>
      </c>
      <c r="H1815" s="64">
        <v>42824</v>
      </c>
      <c r="I1815" s="64" t="s">
        <v>962</v>
      </c>
      <c r="J1815" s="64" t="s">
        <v>1917</v>
      </c>
      <c r="K1815" s="64" t="s">
        <v>961</v>
      </c>
      <c r="L1815" s="64" t="s">
        <v>2093</v>
      </c>
      <c r="M1815" s="65">
        <f t="shared" si="319"/>
        <v>131723.45000000001</v>
      </c>
      <c r="N1815" s="65">
        <f t="shared" si="320"/>
        <v>65861.73</v>
      </c>
      <c r="O1815" s="174">
        <v>131723.45000000001</v>
      </c>
      <c r="P1815" s="65">
        <v>72850</v>
      </c>
      <c r="Q1815" s="65">
        <f t="shared" si="311"/>
        <v>16027</v>
      </c>
      <c r="R1815" s="65">
        <f t="shared" si="312"/>
        <v>88877</v>
      </c>
      <c r="S1815" s="272"/>
      <c r="T1815" s="64">
        <v>116</v>
      </c>
      <c r="U1815" s="270"/>
      <c r="V1815" s="38">
        <v>83634</v>
      </c>
      <c r="W1815" s="38">
        <f t="shared" si="313"/>
        <v>18399.48</v>
      </c>
      <c r="X1815" s="38">
        <f t="shared" si="314"/>
        <v>102033.48</v>
      </c>
    </row>
    <row r="1816" spans="1:24" ht="15" customHeight="1" x14ac:dyDescent="0.35">
      <c r="A1816" s="56" t="s">
        <v>2910</v>
      </c>
      <c r="B1816" s="2">
        <v>1697</v>
      </c>
      <c r="C1816" s="74">
        <v>102002341</v>
      </c>
      <c r="D1816" s="59" t="s">
        <v>445</v>
      </c>
      <c r="E1816" s="74" t="s">
        <v>2185</v>
      </c>
      <c r="F1816" s="197">
        <v>3</v>
      </c>
      <c r="G1816" s="64" t="s">
        <v>0</v>
      </c>
      <c r="H1816" s="64">
        <v>42824</v>
      </c>
      <c r="I1816" s="64" t="s">
        <v>962</v>
      </c>
      <c r="J1816" s="64" t="s">
        <v>1917</v>
      </c>
      <c r="K1816" s="64" t="s">
        <v>961</v>
      </c>
      <c r="L1816" s="64" t="s">
        <v>2093</v>
      </c>
      <c r="M1816" s="65">
        <f t="shared" si="319"/>
        <v>207859.45</v>
      </c>
      <c r="N1816" s="65">
        <f t="shared" si="320"/>
        <v>69286.48</v>
      </c>
      <c r="O1816" s="174">
        <v>207859.45</v>
      </c>
      <c r="P1816" s="65">
        <v>114950</v>
      </c>
      <c r="Q1816" s="65">
        <f t="shared" si="311"/>
        <v>25289</v>
      </c>
      <c r="R1816" s="65">
        <f t="shared" si="312"/>
        <v>140239</v>
      </c>
      <c r="S1816" s="272"/>
      <c r="T1816" s="64">
        <v>116</v>
      </c>
      <c r="U1816" s="270"/>
      <c r="V1816" s="38">
        <v>131974</v>
      </c>
      <c r="W1816" s="38">
        <f t="shared" si="313"/>
        <v>29034.28</v>
      </c>
      <c r="X1816" s="38">
        <f t="shared" si="314"/>
        <v>161008.28</v>
      </c>
    </row>
    <row r="1817" spans="1:24" ht="15" customHeight="1" x14ac:dyDescent="0.35">
      <c r="A1817" s="56" t="s">
        <v>2911</v>
      </c>
      <c r="B1817" s="2">
        <v>1698</v>
      </c>
      <c r="C1817" s="74">
        <v>102002349</v>
      </c>
      <c r="D1817" s="59" t="s">
        <v>446</v>
      </c>
      <c r="E1817" s="74" t="s">
        <v>2185</v>
      </c>
      <c r="F1817" s="197">
        <v>3</v>
      </c>
      <c r="G1817" s="64" t="s">
        <v>0</v>
      </c>
      <c r="H1817" s="64">
        <v>42824</v>
      </c>
      <c r="I1817" s="64" t="s">
        <v>962</v>
      </c>
      <c r="J1817" s="64" t="s">
        <v>1917</v>
      </c>
      <c r="K1817" s="64" t="s">
        <v>961</v>
      </c>
      <c r="L1817" s="64" t="s">
        <v>2093</v>
      </c>
      <c r="M1817" s="65">
        <f t="shared" si="319"/>
        <v>258685.96</v>
      </c>
      <c r="N1817" s="65">
        <f t="shared" si="320"/>
        <v>86228.65</v>
      </c>
      <c r="O1817" s="174">
        <v>258685.96</v>
      </c>
      <c r="P1817" s="65">
        <v>143060</v>
      </c>
      <c r="Q1817" s="65">
        <f t="shared" si="311"/>
        <v>31473.200000000001</v>
      </c>
      <c r="R1817" s="65">
        <f t="shared" si="312"/>
        <v>174533.2</v>
      </c>
      <c r="S1817" s="272"/>
      <c r="T1817" s="64">
        <v>116</v>
      </c>
      <c r="U1817" s="270"/>
      <c r="V1817" s="38">
        <v>164245</v>
      </c>
      <c r="W1817" s="38">
        <f t="shared" si="313"/>
        <v>36133.9</v>
      </c>
      <c r="X1817" s="38">
        <f t="shared" si="314"/>
        <v>200378.9</v>
      </c>
    </row>
    <row r="1818" spans="1:24" ht="15" customHeight="1" x14ac:dyDescent="0.35">
      <c r="A1818" s="56" t="s">
        <v>2912</v>
      </c>
      <c r="B1818" s="2">
        <v>1699</v>
      </c>
      <c r="C1818" s="74">
        <v>102002351</v>
      </c>
      <c r="D1818" s="59" t="s">
        <v>447</v>
      </c>
      <c r="E1818" s="74" t="s">
        <v>2185</v>
      </c>
      <c r="F1818" s="197">
        <v>3</v>
      </c>
      <c r="G1818" s="64" t="s">
        <v>0</v>
      </c>
      <c r="H1818" s="64">
        <v>42824</v>
      </c>
      <c r="I1818" s="64" t="s">
        <v>962</v>
      </c>
      <c r="J1818" s="64" t="s">
        <v>1917</v>
      </c>
      <c r="K1818" s="64" t="s">
        <v>961</v>
      </c>
      <c r="L1818" s="64" t="s">
        <v>2093</v>
      </c>
      <c r="M1818" s="65">
        <f t="shared" si="319"/>
        <v>164183.78</v>
      </c>
      <c r="N1818" s="65">
        <f t="shared" si="320"/>
        <v>54727.93</v>
      </c>
      <c r="O1818" s="174">
        <v>164183.78</v>
      </c>
      <c r="P1818" s="65">
        <v>90800</v>
      </c>
      <c r="Q1818" s="65">
        <f t="shared" si="311"/>
        <v>19976</v>
      </c>
      <c r="R1818" s="65">
        <f t="shared" si="312"/>
        <v>110776</v>
      </c>
      <c r="S1818" s="272"/>
      <c r="T1818" s="64">
        <v>116</v>
      </c>
      <c r="U1818" s="270"/>
      <c r="V1818" s="38">
        <v>104244</v>
      </c>
      <c r="W1818" s="38">
        <f t="shared" si="313"/>
        <v>22933.68</v>
      </c>
      <c r="X1818" s="38">
        <f t="shared" si="314"/>
        <v>127177.68</v>
      </c>
    </row>
    <row r="1819" spans="1:24" ht="15" customHeight="1" x14ac:dyDescent="0.35">
      <c r="A1819" s="56" t="s">
        <v>2913</v>
      </c>
      <c r="B1819" s="2">
        <v>1700</v>
      </c>
      <c r="C1819" s="74">
        <v>102002352</v>
      </c>
      <c r="D1819" s="59" t="s">
        <v>448</v>
      </c>
      <c r="E1819" s="74" t="s">
        <v>2185</v>
      </c>
      <c r="F1819" s="197">
        <v>3</v>
      </c>
      <c r="G1819" s="64" t="s">
        <v>0</v>
      </c>
      <c r="H1819" s="64">
        <v>42824</v>
      </c>
      <c r="I1819" s="64" t="s">
        <v>962</v>
      </c>
      <c r="J1819" s="64" t="s">
        <v>1917</v>
      </c>
      <c r="K1819" s="64" t="s">
        <v>961</v>
      </c>
      <c r="L1819" s="64" t="s">
        <v>2093</v>
      </c>
      <c r="M1819" s="65">
        <f t="shared" si="319"/>
        <v>313180.46999999997</v>
      </c>
      <c r="N1819" s="65">
        <f t="shared" si="320"/>
        <v>104393.49</v>
      </c>
      <c r="O1819" s="174">
        <v>313180.46999999997</v>
      </c>
      <c r="P1819" s="65">
        <v>173190</v>
      </c>
      <c r="Q1819" s="65">
        <f t="shared" si="311"/>
        <v>38101.800000000003</v>
      </c>
      <c r="R1819" s="65">
        <f t="shared" si="312"/>
        <v>211291.8</v>
      </c>
      <c r="S1819" s="272"/>
      <c r="T1819" s="64">
        <v>116</v>
      </c>
      <c r="U1819" s="270"/>
      <c r="V1819" s="38">
        <v>198845</v>
      </c>
      <c r="W1819" s="38">
        <f t="shared" si="313"/>
        <v>43745.9</v>
      </c>
      <c r="X1819" s="38">
        <f t="shared" si="314"/>
        <v>242590.9</v>
      </c>
    </row>
    <row r="1820" spans="1:24" ht="15" customHeight="1" x14ac:dyDescent="0.35">
      <c r="A1820" s="56" t="s">
        <v>2915</v>
      </c>
      <c r="B1820" s="2">
        <v>1701</v>
      </c>
      <c r="C1820" s="74">
        <v>102002343</v>
      </c>
      <c r="D1820" s="59" t="s">
        <v>459</v>
      </c>
      <c r="E1820" s="74" t="s">
        <v>2185</v>
      </c>
      <c r="F1820" s="197">
        <v>5</v>
      </c>
      <c r="G1820" s="64" t="s">
        <v>0</v>
      </c>
      <c r="H1820" s="64" t="s">
        <v>2145</v>
      </c>
      <c r="I1820" s="64" t="s">
        <v>962</v>
      </c>
      <c r="J1820" s="64" t="s">
        <v>1917</v>
      </c>
      <c r="K1820" s="64" t="s">
        <v>961</v>
      </c>
      <c r="L1820" s="64" t="s">
        <v>2093</v>
      </c>
      <c r="M1820" s="65">
        <f t="shared" si="319"/>
        <v>312411.53999999998</v>
      </c>
      <c r="N1820" s="65">
        <f t="shared" si="320"/>
        <v>62482.31</v>
      </c>
      <c r="O1820" s="174">
        <v>312411.53999999998</v>
      </c>
      <c r="P1820" s="65">
        <v>223530</v>
      </c>
      <c r="Q1820" s="65">
        <f t="shared" si="311"/>
        <v>49176.6</v>
      </c>
      <c r="R1820" s="65">
        <f t="shared" si="312"/>
        <v>272706.59999999998</v>
      </c>
      <c r="S1820" s="272"/>
      <c r="T1820" s="64">
        <v>116</v>
      </c>
      <c r="U1820" s="270"/>
      <c r="V1820" s="38">
        <v>256640</v>
      </c>
      <c r="W1820" s="38">
        <f t="shared" si="313"/>
        <v>56460.800000000003</v>
      </c>
      <c r="X1820" s="38">
        <f t="shared" si="314"/>
        <v>313100.79999999999</v>
      </c>
    </row>
    <row r="1821" spans="1:24" ht="15" customHeight="1" x14ac:dyDescent="0.35">
      <c r="A1821" s="56" t="s">
        <v>2916</v>
      </c>
      <c r="B1821" s="2">
        <v>1702</v>
      </c>
      <c r="C1821" s="74">
        <v>102002348</v>
      </c>
      <c r="D1821" s="59" t="s">
        <v>460</v>
      </c>
      <c r="E1821" s="74" t="s">
        <v>2185</v>
      </c>
      <c r="F1821" s="197">
        <v>5</v>
      </c>
      <c r="G1821" s="64" t="s">
        <v>0</v>
      </c>
      <c r="H1821" s="64" t="s">
        <v>494</v>
      </c>
      <c r="I1821" s="64" t="s">
        <v>962</v>
      </c>
      <c r="J1821" s="64" t="s">
        <v>1917</v>
      </c>
      <c r="K1821" s="64" t="s">
        <v>961</v>
      </c>
      <c r="L1821" s="64" t="s">
        <v>2093</v>
      </c>
      <c r="M1821" s="65">
        <f t="shared" si="319"/>
        <v>342833.5</v>
      </c>
      <c r="N1821" s="65">
        <f t="shared" si="320"/>
        <v>68566.7</v>
      </c>
      <c r="O1821" s="174">
        <v>342833.5</v>
      </c>
      <c r="P1821" s="65">
        <v>218760</v>
      </c>
      <c r="Q1821" s="65">
        <f t="shared" si="311"/>
        <v>48127.199999999997</v>
      </c>
      <c r="R1821" s="65">
        <f t="shared" si="312"/>
        <v>266887.2</v>
      </c>
      <c r="S1821" s="272"/>
      <c r="T1821" s="64">
        <v>116</v>
      </c>
      <c r="U1821" s="270"/>
      <c r="V1821" s="38">
        <v>251160</v>
      </c>
      <c r="W1821" s="38">
        <f t="shared" si="313"/>
        <v>55255.199999999997</v>
      </c>
      <c r="X1821" s="38">
        <f t="shared" si="314"/>
        <v>306415.2</v>
      </c>
    </row>
    <row r="1822" spans="1:24" ht="15" customHeight="1" x14ac:dyDescent="0.35">
      <c r="A1822" s="56" t="s">
        <v>2917</v>
      </c>
      <c r="B1822" s="2">
        <v>1703</v>
      </c>
      <c r="C1822" s="74">
        <v>102002350</v>
      </c>
      <c r="D1822" s="59" t="s">
        <v>461</v>
      </c>
      <c r="E1822" s="74" t="s">
        <v>2185</v>
      </c>
      <c r="F1822" s="197">
        <v>5</v>
      </c>
      <c r="G1822" s="64" t="s">
        <v>0</v>
      </c>
      <c r="H1822" s="64" t="s">
        <v>494</v>
      </c>
      <c r="I1822" s="64" t="s">
        <v>962</v>
      </c>
      <c r="J1822" s="64" t="s">
        <v>1917</v>
      </c>
      <c r="K1822" s="64" t="s">
        <v>961</v>
      </c>
      <c r="L1822" s="64" t="s">
        <v>2093</v>
      </c>
      <c r="M1822" s="65">
        <f t="shared" si="319"/>
        <v>281940.2</v>
      </c>
      <c r="N1822" s="65">
        <f t="shared" si="320"/>
        <v>56388.04</v>
      </c>
      <c r="O1822" s="174">
        <v>281940.2</v>
      </c>
      <c r="P1822" s="65">
        <v>179900</v>
      </c>
      <c r="Q1822" s="65">
        <f t="shared" si="311"/>
        <v>39578</v>
      </c>
      <c r="R1822" s="65">
        <f t="shared" si="312"/>
        <v>219478</v>
      </c>
      <c r="S1822" s="272"/>
      <c r="T1822" s="64">
        <v>116</v>
      </c>
      <c r="U1822" s="270"/>
      <c r="V1822" s="38">
        <v>206549</v>
      </c>
      <c r="W1822" s="38">
        <f t="shared" si="313"/>
        <v>45440.78</v>
      </c>
      <c r="X1822" s="38">
        <f t="shared" si="314"/>
        <v>251989.78</v>
      </c>
    </row>
    <row r="1823" spans="1:24" ht="15" customHeight="1" x14ac:dyDescent="0.35">
      <c r="A1823" s="56" t="s">
        <v>2918</v>
      </c>
      <c r="B1823" s="2">
        <v>1704</v>
      </c>
      <c r="C1823" s="74">
        <v>102002322</v>
      </c>
      <c r="D1823" s="59" t="s">
        <v>464</v>
      </c>
      <c r="E1823" s="74" t="s">
        <v>2185</v>
      </c>
      <c r="F1823" s="197">
        <v>6</v>
      </c>
      <c r="G1823" s="64" t="s">
        <v>0</v>
      </c>
      <c r="H1823" s="64" t="s">
        <v>494</v>
      </c>
      <c r="I1823" s="64" t="s">
        <v>962</v>
      </c>
      <c r="J1823" s="64" t="s">
        <v>1917</v>
      </c>
      <c r="K1823" s="64" t="s">
        <v>961</v>
      </c>
      <c r="L1823" s="64" t="s">
        <v>2093</v>
      </c>
      <c r="M1823" s="65">
        <f t="shared" si="319"/>
        <v>328832.89</v>
      </c>
      <c r="N1823" s="65">
        <f t="shared" si="320"/>
        <v>54805.48</v>
      </c>
      <c r="O1823" s="174">
        <v>328832.89</v>
      </c>
      <c r="P1823" s="65">
        <v>209830</v>
      </c>
      <c r="Q1823" s="65">
        <f t="shared" si="311"/>
        <v>46162.6</v>
      </c>
      <c r="R1823" s="65">
        <f t="shared" si="312"/>
        <v>255992.6</v>
      </c>
      <c r="S1823" s="272"/>
      <c r="T1823" s="64">
        <v>116</v>
      </c>
      <c r="U1823" s="270"/>
      <c r="V1823" s="38">
        <v>240903</v>
      </c>
      <c r="W1823" s="38">
        <f t="shared" si="313"/>
        <v>52998.66</v>
      </c>
      <c r="X1823" s="38">
        <f t="shared" si="314"/>
        <v>293901.65999999997</v>
      </c>
    </row>
    <row r="1824" spans="1:24" ht="15" customHeight="1" x14ac:dyDescent="0.35">
      <c r="A1824" s="56" t="s">
        <v>2924</v>
      </c>
      <c r="B1824" s="2">
        <v>1705</v>
      </c>
      <c r="C1824" s="74">
        <v>10124616</v>
      </c>
      <c r="D1824" s="59" t="s">
        <v>144</v>
      </c>
      <c r="E1824" s="74" t="s">
        <v>2161</v>
      </c>
      <c r="F1824" s="197">
        <v>1</v>
      </c>
      <c r="G1824" s="64" t="s">
        <v>0</v>
      </c>
      <c r="H1824" s="64" t="s">
        <v>505</v>
      </c>
      <c r="I1824" s="64" t="s">
        <v>2158</v>
      </c>
      <c r="J1824" s="64" t="s">
        <v>1917</v>
      </c>
      <c r="K1824" s="64" t="s">
        <v>961</v>
      </c>
      <c r="L1824" s="64" t="s">
        <v>2093</v>
      </c>
      <c r="M1824" s="65">
        <f t="shared" si="319"/>
        <v>45107</v>
      </c>
      <c r="N1824" s="65">
        <f t="shared" si="320"/>
        <v>45107</v>
      </c>
      <c r="O1824" s="174">
        <v>45107</v>
      </c>
      <c r="P1824" s="65">
        <v>24940</v>
      </c>
      <c r="Q1824" s="65">
        <f t="shared" si="311"/>
        <v>5486.8</v>
      </c>
      <c r="R1824" s="65">
        <f t="shared" si="312"/>
        <v>30426.799999999999</v>
      </c>
      <c r="S1824" s="272"/>
      <c r="T1824" s="64">
        <v>116</v>
      </c>
      <c r="U1824" s="270"/>
      <c r="V1824" s="38">
        <v>28639</v>
      </c>
      <c r="W1824" s="38">
        <f t="shared" si="313"/>
        <v>6300.58</v>
      </c>
      <c r="X1824" s="38">
        <f t="shared" si="314"/>
        <v>34939.58</v>
      </c>
    </row>
    <row r="1825" spans="1:24" ht="15" customHeight="1" x14ac:dyDescent="0.35">
      <c r="A1825" s="56" t="s">
        <v>3025</v>
      </c>
      <c r="B1825" s="2">
        <v>1706</v>
      </c>
      <c r="C1825" s="74">
        <v>102001156</v>
      </c>
      <c r="D1825" s="59" t="s">
        <v>549</v>
      </c>
      <c r="E1825" s="74" t="s">
        <v>2184</v>
      </c>
      <c r="F1825" s="197">
        <v>1</v>
      </c>
      <c r="G1825" s="64" t="s">
        <v>0</v>
      </c>
      <c r="H1825" s="64">
        <v>42004</v>
      </c>
      <c r="I1825" s="64" t="s">
        <v>976</v>
      </c>
      <c r="J1825" s="64" t="s">
        <v>1917</v>
      </c>
      <c r="K1825" s="64" t="s">
        <v>713</v>
      </c>
      <c r="L1825" s="64" t="s">
        <v>845</v>
      </c>
      <c r="M1825" s="65">
        <f t="shared" si="319"/>
        <v>87685</v>
      </c>
      <c r="N1825" s="65">
        <f t="shared" si="320"/>
        <v>87685</v>
      </c>
      <c r="O1825" s="174">
        <v>87685</v>
      </c>
      <c r="P1825" s="65">
        <v>55950</v>
      </c>
      <c r="Q1825" s="65">
        <f t="shared" si="311"/>
        <v>12309</v>
      </c>
      <c r="R1825" s="65">
        <f t="shared" si="312"/>
        <v>68259</v>
      </c>
      <c r="S1825" s="272"/>
      <c r="T1825" s="64">
        <v>116</v>
      </c>
      <c r="U1825" s="270"/>
      <c r="V1825" s="38">
        <v>64238</v>
      </c>
      <c r="W1825" s="38">
        <f t="shared" si="313"/>
        <v>14132.36</v>
      </c>
      <c r="X1825" s="38">
        <f t="shared" si="314"/>
        <v>78370.36</v>
      </c>
    </row>
    <row r="1826" spans="1:24" ht="15" customHeight="1" x14ac:dyDescent="0.35">
      <c r="A1826" s="56" t="s">
        <v>3109</v>
      </c>
      <c r="B1826" s="2">
        <v>1707</v>
      </c>
      <c r="C1826" s="74">
        <v>10108248</v>
      </c>
      <c r="D1826" s="59" t="s">
        <v>214</v>
      </c>
      <c r="E1826" s="74" t="s">
        <v>4007</v>
      </c>
      <c r="F1826" s="197">
        <v>1</v>
      </c>
      <c r="G1826" s="64" t="s">
        <v>0</v>
      </c>
      <c r="H1826" s="64">
        <v>41852</v>
      </c>
      <c r="I1826" s="64" t="s">
        <v>2094</v>
      </c>
      <c r="J1826" s="64" t="s">
        <v>1917</v>
      </c>
      <c r="K1826" s="64" t="s">
        <v>961</v>
      </c>
      <c r="L1826" s="61" t="s">
        <v>845</v>
      </c>
      <c r="M1826" s="65">
        <f t="shared" si="319"/>
        <v>65236.25</v>
      </c>
      <c r="N1826" s="65">
        <f t="shared" si="320"/>
        <v>65236.25</v>
      </c>
      <c r="O1826" s="174">
        <v>65236.25</v>
      </c>
      <c r="P1826" s="65">
        <v>41850</v>
      </c>
      <c r="Q1826" s="65">
        <f t="shared" si="311"/>
        <v>9207</v>
      </c>
      <c r="R1826" s="65">
        <f t="shared" si="312"/>
        <v>51057</v>
      </c>
      <c r="S1826" s="272"/>
      <c r="T1826" s="64">
        <v>116</v>
      </c>
      <c r="U1826" s="270"/>
      <c r="V1826" s="38">
        <v>48050</v>
      </c>
      <c r="W1826" s="38">
        <f t="shared" si="313"/>
        <v>10571</v>
      </c>
      <c r="X1826" s="38">
        <f t="shared" si="314"/>
        <v>58621</v>
      </c>
    </row>
    <row r="1827" spans="1:24" ht="15" customHeight="1" x14ac:dyDescent="0.35">
      <c r="A1827" s="56" t="s">
        <v>3110</v>
      </c>
      <c r="B1827" s="2">
        <v>1708</v>
      </c>
      <c r="C1827" s="74">
        <v>102010077</v>
      </c>
      <c r="D1827" s="59" t="s">
        <v>224</v>
      </c>
      <c r="E1827" s="74" t="s">
        <v>2154</v>
      </c>
      <c r="F1827" s="197">
        <v>1</v>
      </c>
      <c r="G1827" s="64" t="s">
        <v>0</v>
      </c>
      <c r="H1827" s="64">
        <v>43160</v>
      </c>
      <c r="I1827" s="64" t="s">
        <v>2094</v>
      </c>
      <c r="J1827" s="64" t="s">
        <v>1917</v>
      </c>
      <c r="K1827" s="64" t="s">
        <v>961</v>
      </c>
      <c r="L1827" s="64" t="s">
        <v>845</v>
      </c>
      <c r="M1827" s="65">
        <f t="shared" si="319"/>
        <v>136911</v>
      </c>
      <c r="N1827" s="65">
        <f t="shared" si="320"/>
        <v>136911</v>
      </c>
      <c r="O1827" s="174">
        <v>136911</v>
      </c>
      <c r="P1827" s="65">
        <v>73510</v>
      </c>
      <c r="Q1827" s="65">
        <f t="shared" si="311"/>
        <v>16172.2</v>
      </c>
      <c r="R1827" s="65">
        <f t="shared" si="312"/>
        <v>89682.2</v>
      </c>
      <c r="S1827" s="272"/>
      <c r="T1827" s="64">
        <v>116</v>
      </c>
      <c r="U1827" s="270"/>
      <c r="V1827" s="38">
        <v>84397</v>
      </c>
      <c r="W1827" s="38">
        <f t="shared" si="313"/>
        <v>18567.34</v>
      </c>
      <c r="X1827" s="38">
        <f t="shared" si="314"/>
        <v>102964.34</v>
      </c>
    </row>
    <row r="1828" spans="1:24" ht="15" customHeight="1" x14ac:dyDescent="0.35">
      <c r="A1828" s="56" t="s">
        <v>3111</v>
      </c>
      <c r="B1828" s="2">
        <v>1709</v>
      </c>
      <c r="C1828" s="74">
        <v>102010954</v>
      </c>
      <c r="D1828" s="59" t="s">
        <v>230</v>
      </c>
      <c r="E1828" s="74" t="s">
        <v>2154</v>
      </c>
      <c r="F1828" s="197">
        <v>2</v>
      </c>
      <c r="G1828" s="64" t="s">
        <v>0</v>
      </c>
      <c r="H1828" s="64">
        <v>43160</v>
      </c>
      <c r="I1828" s="64" t="s">
        <v>2094</v>
      </c>
      <c r="J1828" s="64" t="s">
        <v>1917</v>
      </c>
      <c r="K1828" s="64" t="s">
        <v>961</v>
      </c>
      <c r="L1828" s="64" t="s">
        <v>845</v>
      </c>
      <c r="M1828" s="65">
        <f t="shared" si="319"/>
        <v>378262</v>
      </c>
      <c r="N1828" s="65">
        <f t="shared" si="320"/>
        <v>189131</v>
      </c>
      <c r="O1828" s="174">
        <v>378262</v>
      </c>
      <c r="P1828" s="65">
        <v>203100</v>
      </c>
      <c r="Q1828" s="65">
        <f t="shared" si="311"/>
        <v>44682</v>
      </c>
      <c r="R1828" s="65">
        <f t="shared" si="312"/>
        <v>247782</v>
      </c>
      <c r="S1828" s="272"/>
      <c r="T1828" s="64">
        <v>116</v>
      </c>
      <c r="U1828" s="270"/>
      <c r="V1828" s="38">
        <v>233176</v>
      </c>
      <c r="W1828" s="38">
        <f t="shared" si="313"/>
        <v>51298.720000000001</v>
      </c>
      <c r="X1828" s="38">
        <f t="shared" si="314"/>
        <v>284474.71999999997</v>
      </c>
    </row>
    <row r="1829" spans="1:24" ht="15" customHeight="1" x14ac:dyDescent="0.35">
      <c r="A1829" s="56" t="s">
        <v>3112</v>
      </c>
      <c r="B1829" s="2">
        <v>1710</v>
      </c>
      <c r="C1829" s="74">
        <v>102010963</v>
      </c>
      <c r="D1829" s="59" t="s">
        <v>231</v>
      </c>
      <c r="E1829" s="74" t="s">
        <v>2154</v>
      </c>
      <c r="F1829" s="197">
        <v>2</v>
      </c>
      <c r="G1829" s="64" t="s">
        <v>0</v>
      </c>
      <c r="H1829" s="64">
        <v>43160</v>
      </c>
      <c r="I1829" s="64" t="s">
        <v>2094</v>
      </c>
      <c r="J1829" s="64" t="s">
        <v>1917</v>
      </c>
      <c r="K1829" s="64" t="s">
        <v>961</v>
      </c>
      <c r="L1829" s="64" t="s">
        <v>845</v>
      </c>
      <c r="M1829" s="65">
        <f t="shared" si="319"/>
        <v>342278</v>
      </c>
      <c r="N1829" s="65">
        <f t="shared" si="320"/>
        <v>171139</v>
      </c>
      <c r="O1829" s="174">
        <v>342278</v>
      </c>
      <c r="P1829" s="65">
        <v>183780</v>
      </c>
      <c r="Q1829" s="65">
        <f t="shared" si="311"/>
        <v>40431.599999999999</v>
      </c>
      <c r="R1829" s="65">
        <f t="shared" si="312"/>
        <v>224211.6</v>
      </c>
      <c r="S1829" s="272"/>
      <c r="T1829" s="64">
        <v>116</v>
      </c>
      <c r="U1829" s="270"/>
      <c r="V1829" s="38">
        <v>210994</v>
      </c>
      <c r="W1829" s="38">
        <f t="shared" si="313"/>
        <v>46418.68</v>
      </c>
      <c r="X1829" s="38">
        <f t="shared" si="314"/>
        <v>257412.68</v>
      </c>
    </row>
    <row r="1830" spans="1:24" ht="15" customHeight="1" x14ac:dyDescent="0.35">
      <c r="A1830" s="56" t="s">
        <v>3129</v>
      </c>
      <c r="B1830" s="2">
        <v>1711</v>
      </c>
      <c r="C1830" s="74">
        <v>102000579</v>
      </c>
      <c r="D1830" s="59" t="s">
        <v>907</v>
      </c>
      <c r="E1830" s="74" t="s">
        <v>3986</v>
      </c>
      <c r="F1830" s="197">
        <v>1</v>
      </c>
      <c r="G1830" s="64" t="s">
        <v>28</v>
      </c>
      <c r="H1830" s="64">
        <v>42277</v>
      </c>
      <c r="I1830" s="64" t="s">
        <v>972</v>
      </c>
      <c r="J1830" s="63" t="s">
        <v>959</v>
      </c>
      <c r="K1830" s="64" t="s">
        <v>961</v>
      </c>
      <c r="L1830" s="64" t="s">
        <v>845</v>
      </c>
      <c r="M1830" s="65">
        <f t="shared" si="319"/>
        <v>105661.07</v>
      </c>
      <c r="N1830" s="65">
        <f t="shared" si="320"/>
        <v>105661.07</v>
      </c>
      <c r="O1830" s="174">
        <v>105661.07</v>
      </c>
      <c r="P1830" s="65">
        <v>63170</v>
      </c>
      <c r="Q1830" s="65">
        <f t="shared" si="311"/>
        <v>13897.4</v>
      </c>
      <c r="R1830" s="65">
        <f t="shared" si="312"/>
        <v>77067.399999999994</v>
      </c>
      <c r="S1830" s="272"/>
      <c r="T1830" s="64">
        <v>116</v>
      </c>
      <c r="U1830" s="270"/>
      <c r="V1830" s="38">
        <v>72526</v>
      </c>
      <c r="W1830" s="38">
        <f t="shared" si="313"/>
        <v>15955.72</v>
      </c>
      <c r="X1830" s="38">
        <f t="shared" si="314"/>
        <v>88481.72</v>
      </c>
    </row>
    <row r="1831" spans="1:24" ht="15" customHeight="1" x14ac:dyDescent="0.35">
      <c r="A1831" s="56" t="s">
        <v>3157</v>
      </c>
      <c r="B1831" s="2">
        <v>1712</v>
      </c>
      <c r="C1831" s="74">
        <v>10124622</v>
      </c>
      <c r="D1831" s="59" t="s">
        <v>398</v>
      </c>
      <c r="E1831" s="74" t="s">
        <v>2185</v>
      </c>
      <c r="F1831" s="197">
        <v>1</v>
      </c>
      <c r="G1831" s="64" t="s">
        <v>0</v>
      </c>
      <c r="H1831" s="64" t="s">
        <v>500</v>
      </c>
      <c r="I1831" s="64" t="s">
        <v>962</v>
      </c>
      <c r="J1831" s="63" t="s">
        <v>1917</v>
      </c>
      <c r="K1831" s="63" t="s">
        <v>398</v>
      </c>
      <c r="L1831" s="64" t="s">
        <v>845</v>
      </c>
      <c r="M1831" s="65">
        <f t="shared" si="319"/>
        <v>57700.6</v>
      </c>
      <c r="N1831" s="65">
        <f t="shared" si="320"/>
        <v>57700.6</v>
      </c>
      <c r="O1831" s="174">
        <v>57700.6</v>
      </c>
      <c r="P1831" s="65">
        <v>38500</v>
      </c>
      <c r="Q1831" s="65">
        <f t="shared" si="311"/>
        <v>8470</v>
      </c>
      <c r="R1831" s="65">
        <f t="shared" si="312"/>
        <v>46970</v>
      </c>
      <c r="S1831" s="272"/>
      <c r="T1831" s="64">
        <v>116</v>
      </c>
      <c r="U1831" s="270"/>
      <c r="V1831" s="38">
        <v>44201</v>
      </c>
      <c r="W1831" s="38">
        <f t="shared" si="313"/>
        <v>9724.2199999999993</v>
      </c>
      <c r="X1831" s="38">
        <f t="shared" si="314"/>
        <v>53925.22</v>
      </c>
    </row>
    <row r="1832" spans="1:24" ht="15" customHeight="1" x14ac:dyDescent="0.35">
      <c r="A1832" s="56" t="s">
        <v>3158</v>
      </c>
      <c r="B1832" s="2">
        <v>1713</v>
      </c>
      <c r="C1832" s="74">
        <v>10108273</v>
      </c>
      <c r="D1832" s="59" t="s">
        <v>243</v>
      </c>
      <c r="E1832" s="74" t="s">
        <v>2185</v>
      </c>
      <c r="F1832" s="197">
        <v>1</v>
      </c>
      <c r="G1832" s="64" t="s">
        <v>0</v>
      </c>
      <c r="H1832" s="64" t="s">
        <v>1122</v>
      </c>
      <c r="I1832" s="64" t="s">
        <v>962</v>
      </c>
      <c r="J1832" s="63" t="s">
        <v>1125</v>
      </c>
      <c r="K1832" s="63" t="s">
        <v>243</v>
      </c>
      <c r="L1832" s="64" t="s">
        <v>845</v>
      </c>
      <c r="M1832" s="65">
        <f t="shared" si="319"/>
        <v>52045.13</v>
      </c>
      <c r="N1832" s="65">
        <f t="shared" si="320"/>
        <v>52045.13</v>
      </c>
      <c r="O1832" s="174">
        <v>52045.13</v>
      </c>
      <c r="P1832" s="65">
        <v>37240</v>
      </c>
      <c r="Q1832" s="65">
        <f t="shared" si="311"/>
        <v>8192.7999999999993</v>
      </c>
      <c r="R1832" s="65">
        <f t="shared" si="312"/>
        <v>45432.800000000003</v>
      </c>
      <c r="S1832" s="272"/>
      <c r="T1832" s="64">
        <v>116</v>
      </c>
      <c r="U1832" s="270"/>
      <c r="V1832" s="38">
        <v>42754</v>
      </c>
      <c r="W1832" s="38">
        <f t="shared" si="313"/>
        <v>9405.8799999999992</v>
      </c>
      <c r="X1832" s="38">
        <f t="shared" si="314"/>
        <v>52159.88</v>
      </c>
    </row>
    <row r="1833" spans="1:24" ht="15" customHeight="1" x14ac:dyDescent="0.35">
      <c r="A1833" s="56" t="s">
        <v>3159</v>
      </c>
      <c r="B1833" s="2">
        <v>1714</v>
      </c>
      <c r="C1833" s="74">
        <v>10124644</v>
      </c>
      <c r="D1833" s="59" t="s">
        <v>427</v>
      </c>
      <c r="E1833" s="74" t="s">
        <v>2185</v>
      </c>
      <c r="F1833" s="197">
        <v>2</v>
      </c>
      <c r="G1833" s="64" t="s">
        <v>0</v>
      </c>
      <c r="H1833" s="64" t="s">
        <v>497</v>
      </c>
      <c r="I1833" s="64" t="s">
        <v>962</v>
      </c>
      <c r="J1833" s="63" t="s">
        <v>1126</v>
      </c>
      <c r="K1833" s="63" t="s">
        <v>427</v>
      </c>
      <c r="L1833" s="64" t="s">
        <v>845</v>
      </c>
      <c r="M1833" s="65">
        <f t="shared" si="319"/>
        <v>104666</v>
      </c>
      <c r="N1833" s="65">
        <f t="shared" si="320"/>
        <v>52333</v>
      </c>
      <c r="O1833" s="174">
        <v>104666</v>
      </c>
      <c r="P1833" s="65">
        <v>68510</v>
      </c>
      <c r="Q1833" s="65">
        <f t="shared" si="311"/>
        <v>15072.2</v>
      </c>
      <c r="R1833" s="65">
        <f t="shared" si="312"/>
        <v>83582.2</v>
      </c>
      <c r="S1833" s="272"/>
      <c r="T1833" s="64">
        <v>116</v>
      </c>
      <c r="U1833" s="270"/>
      <c r="V1833" s="38">
        <v>78659</v>
      </c>
      <c r="W1833" s="38">
        <f t="shared" si="313"/>
        <v>17304.98</v>
      </c>
      <c r="X1833" s="38">
        <f t="shared" si="314"/>
        <v>95963.98</v>
      </c>
    </row>
    <row r="1834" spans="1:24" ht="30.65" customHeight="1" x14ac:dyDescent="0.35">
      <c r="A1834" s="56" t="s">
        <v>3160</v>
      </c>
      <c r="B1834" s="2">
        <v>1715</v>
      </c>
      <c r="C1834" s="74">
        <v>10118557</v>
      </c>
      <c r="D1834" s="59" t="s">
        <v>986</v>
      </c>
      <c r="E1834" s="74" t="s">
        <v>2185</v>
      </c>
      <c r="F1834" s="197">
        <v>1</v>
      </c>
      <c r="G1834" s="64" t="s">
        <v>0</v>
      </c>
      <c r="H1834" s="64" t="s">
        <v>497</v>
      </c>
      <c r="I1834" s="64" t="s">
        <v>962</v>
      </c>
      <c r="J1834" s="63" t="s">
        <v>1127</v>
      </c>
      <c r="K1834" s="63" t="s">
        <v>986</v>
      </c>
      <c r="L1834" s="64" t="s">
        <v>845</v>
      </c>
      <c r="M1834" s="65">
        <f t="shared" si="319"/>
        <v>65759</v>
      </c>
      <c r="N1834" s="65">
        <f t="shared" si="320"/>
        <v>65759</v>
      </c>
      <c r="O1834" s="174">
        <v>65759</v>
      </c>
      <c r="P1834" s="65">
        <v>43040</v>
      </c>
      <c r="Q1834" s="65">
        <f t="shared" si="311"/>
        <v>9468.7999999999993</v>
      </c>
      <c r="R1834" s="65">
        <f t="shared" si="312"/>
        <v>52508.800000000003</v>
      </c>
      <c r="S1834" s="272"/>
      <c r="T1834" s="64">
        <v>116</v>
      </c>
      <c r="U1834" s="270"/>
      <c r="V1834" s="38">
        <v>49419</v>
      </c>
      <c r="W1834" s="38">
        <f t="shared" si="313"/>
        <v>10872.18</v>
      </c>
      <c r="X1834" s="38">
        <f t="shared" si="314"/>
        <v>60291.18</v>
      </c>
    </row>
    <row r="1835" spans="1:24" ht="23.5" customHeight="1" x14ac:dyDescent="0.35">
      <c r="A1835" s="56" t="s">
        <v>3161</v>
      </c>
      <c r="B1835" s="2">
        <v>1716</v>
      </c>
      <c r="C1835" s="74">
        <v>10108375</v>
      </c>
      <c r="D1835" s="59" t="s">
        <v>987</v>
      </c>
      <c r="E1835" s="74" t="s">
        <v>2185</v>
      </c>
      <c r="F1835" s="197">
        <v>2</v>
      </c>
      <c r="G1835" s="64" t="s">
        <v>0</v>
      </c>
      <c r="H1835" s="64" t="s">
        <v>500</v>
      </c>
      <c r="I1835" s="64" t="s">
        <v>962</v>
      </c>
      <c r="J1835" s="63" t="s">
        <v>1917</v>
      </c>
      <c r="K1835" s="63" t="s">
        <v>987</v>
      </c>
      <c r="L1835" s="64" t="s">
        <v>845</v>
      </c>
      <c r="M1835" s="65">
        <f t="shared" si="319"/>
        <v>107612</v>
      </c>
      <c r="N1835" s="65">
        <f t="shared" si="320"/>
        <v>53806</v>
      </c>
      <c r="O1835" s="174">
        <v>107612</v>
      </c>
      <c r="P1835" s="65">
        <v>68670</v>
      </c>
      <c r="Q1835" s="65">
        <f t="shared" si="311"/>
        <v>15107.4</v>
      </c>
      <c r="R1835" s="65">
        <f t="shared" si="312"/>
        <v>83777.399999999994</v>
      </c>
      <c r="S1835" s="272"/>
      <c r="T1835" s="64">
        <v>116</v>
      </c>
      <c r="U1835" s="270"/>
      <c r="V1835" s="38">
        <v>78837</v>
      </c>
      <c r="W1835" s="38">
        <f t="shared" si="313"/>
        <v>17344.14</v>
      </c>
      <c r="X1835" s="38">
        <f t="shared" si="314"/>
        <v>96181.14</v>
      </c>
    </row>
    <row r="1836" spans="1:24" ht="36.75" customHeight="1" x14ac:dyDescent="0.35">
      <c r="A1836" s="56" t="s">
        <v>3162</v>
      </c>
      <c r="B1836" s="2">
        <v>1717</v>
      </c>
      <c r="C1836" s="74">
        <v>10108247</v>
      </c>
      <c r="D1836" s="59" t="s">
        <v>988</v>
      </c>
      <c r="E1836" s="74" t="s">
        <v>2185</v>
      </c>
      <c r="F1836" s="197">
        <v>4</v>
      </c>
      <c r="G1836" s="64" t="s">
        <v>0</v>
      </c>
      <c r="H1836" s="64" t="s">
        <v>500</v>
      </c>
      <c r="I1836" s="64" t="s">
        <v>962</v>
      </c>
      <c r="J1836" s="63" t="s">
        <v>1128</v>
      </c>
      <c r="K1836" s="63" t="s">
        <v>988</v>
      </c>
      <c r="L1836" s="64" t="s">
        <v>845</v>
      </c>
      <c r="M1836" s="65">
        <f t="shared" si="319"/>
        <v>218116.29</v>
      </c>
      <c r="N1836" s="65">
        <f t="shared" si="320"/>
        <v>54529.07</v>
      </c>
      <c r="O1836" s="174">
        <v>218116.29</v>
      </c>
      <c r="P1836" s="65">
        <v>145530</v>
      </c>
      <c r="Q1836" s="65">
        <f t="shared" si="311"/>
        <v>32016.6</v>
      </c>
      <c r="R1836" s="65">
        <f t="shared" si="312"/>
        <v>177546.6</v>
      </c>
      <c r="S1836" s="272"/>
      <c r="T1836" s="64">
        <v>116</v>
      </c>
      <c r="U1836" s="270"/>
      <c r="V1836" s="38">
        <v>167086</v>
      </c>
      <c r="W1836" s="38">
        <f t="shared" si="313"/>
        <v>36758.92</v>
      </c>
      <c r="X1836" s="38">
        <f t="shared" si="314"/>
        <v>203844.92</v>
      </c>
    </row>
    <row r="1837" spans="1:24" ht="15" customHeight="1" x14ac:dyDescent="0.35">
      <c r="A1837" s="56" t="s">
        <v>3163</v>
      </c>
      <c r="B1837" s="2">
        <v>1718</v>
      </c>
      <c r="C1837" s="74">
        <v>10124615</v>
      </c>
      <c r="D1837" s="59" t="s">
        <v>397</v>
      </c>
      <c r="E1837" s="74" t="s">
        <v>2185</v>
      </c>
      <c r="F1837" s="197">
        <v>1</v>
      </c>
      <c r="G1837" s="64" t="s">
        <v>0</v>
      </c>
      <c r="H1837" s="64" t="s">
        <v>497</v>
      </c>
      <c r="I1837" s="64" t="s">
        <v>962</v>
      </c>
      <c r="J1837" s="63" t="s">
        <v>1129</v>
      </c>
      <c r="K1837" s="63" t="s">
        <v>397</v>
      </c>
      <c r="L1837" s="64" t="s">
        <v>845</v>
      </c>
      <c r="M1837" s="65">
        <f t="shared" si="319"/>
        <v>50612</v>
      </c>
      <c r="N1837" s="65">
        <f t="shared" si="320"/>
        <v>50612</v>
      </c>
      <c r="O1837" s="174">
        <v>50612</v>
      </c>
      <c r="P1837" s="65">
        <v>33130</v>
      </c>
      <c r="Q1837" s="65">
        <f t="shared" si="311"/>
        <v>7288.6</v>
      </c>
      <c r="R1837" s="65">
        <f t="shared" si="312"/>
        <v>40418.6</v>
      </c>
      <c r="S1837" s="272"/>
      <c r="T1837" s="64">
        <v>116</v>
      </c>
      <c r="U1837" s="270"/>
      <c r="V1837" s="38">
        <v>38036</v>
      </c>
      <c r="W1837" s="38">
        <f t="shared" si="313"/>
        <v>8367.92</v>
      </c>
      <c r="X1837" s="38">
        <f t="shared" si="314"/>
        <v>46403.92</v>
      </c>
    </row>
    <row r="1838" spans="1:24" ht="57" customHeight="1" x14ac:dyDescent="0.35">
      <c r="A1838" s="56" t="s">
        <v>3164</v>
      </c>
      <c r="B1838" s="2">
        <v>1719</v>
      </c>
      <c r="C1838" s="74">
        <v>10108245</v>
      </c>
      <c r="D1838" s="59" t="s">
        <v>989</v>
      </c>
      <c r="E1838" s="74" t="s">
        <v>2185</v>
      </c>
      <c r="F1838" s="197">
        <f>9-1</f>
        <v>8</v>
      </c>
      <c r="G1838" s="64" t="s">
        <v>0</v>
      </c>
      <c r="H1838" s="64" t="s">
        <v>497</v>
      </c>
      <c r="I1838" s="64" t="s">
        <v>962</v>
      </c>
      <c r="J1838" s="63" t="s">
        <v>1130</v>
      </c>
      <c r="K1838" s="63" t="s">
        <v>989</v>
      </c>
      <c r="L1838" s="64" t="s">
        <v>845</v>
      </c>
      <c r="M1838" s="65">
        <f t="shared" si="319"/>
        <v>437387.63</v>
      </c>
      <c r="N1838" s="65">
        <f t="shared" si="320"/>
        <v>54673.45</v>
      </c>
      <c r="O1838" s="174">
        <f>492061.08/9*8</f>
        <v>437387.63</v>
      </c>
      <c r="P1838" s="65">
        <v>286300</v>
      </c>
      <c r="Q1838" s="65">
        <f t="shared" si="311"/>
        <v>62986</v>
      </c>
      <c r="R1838" s="65">
        <f t="shared" si="312"/>
        <v>349286</v>
      </c>
      <c r="S1838" s="272"/>
      <c r="T1838" s="64">
        <v>116</v>
      </c>
      <c r="U1838" s="270"/>
      <c r="V1838" s="38">
        <v>328706</v>
      </c>
      <c r="W1838" s="38">
        <f t="shared" si="313"/>
        <v>72315.320000000007</v>
      </c>
      <c r="X1838" s="38">
        <f t="shared" si="314"/>
        <v>401021.32</v>
      </c>
    </row>
    <row r="1839" spans="1:24" ht="39" customHeight="1" x14ac:dyDescent="0.35">
      <c r="A1839" s="56" t="s">
        <v>3165</v>
      </c>
      <c r="B1839" s="2">
        <v>1720</v>
      </c>
      <c r="C1839" s="74">
        <v>10108187</v>
      </c>
      <c r="D1839" s="59" t="s">
        <v>990</v>
      </c>
      <c r="E1839" s="74" t="s">
        <v>2185</v>
      </c>
      <c r="F1839" s="197">
        <v>3</v>
      </c>
      <c r="G1839" s="64" t="s">
        <v>0</v>
      </c>
      <c r="H1839" s="64" t="s">
        <v>1123</v>
      </c>
      <c r="I1839" s="64" t="s">
        <v>962</v>
      </c>
      <c r="J1839" s="63" t="s">
        <v>1131</v>
      </c>
      <c r="K1839" s="63" t="s">
        <v>990</v>
      </c>
      <c r="L1839" s="64" t="s">
        <v>845</v>
      </c>
      <c r="M1839" s="65">
        <f t="shared" si="319"/>
        <v>151648.24</v>
      </c>
      <c r="N1839" s="65">
        <f t="shared" si="320"/>
        <v>50549.41</v>
      </c>
      <c r="O1839" s="174">
        <v>151648.24</v>
      </c>
      <c r="P1839" s="65">
        <v>101180</v>
      </c>
      <c r="Q1839" s="65">
        <f t="shared" si="311"/>
        <v>22259.599999999999</v>
      </c>
      <c r="R1839" s="65">
        <f t="shared" si="312"/>
        <v>123439.6</v>
      </c>
      <c r="S1839" s="272"/>
      <c r="T1839" s="64">
        <v>116</v>
      </c>
      <c r="U1839" s="270"/>
      <c r="V1839" s="38">
        <v>116169</v>
      </c>
      <c r="W1839" s="38">
        <f t="shared" si="313"/>
        <v>25557.18</v>
      </c>
      <c r="X1839" s="38">
        <f t="shared" si="314"/>
        <v>141726.18</v>
      </c>
    </row>
    <row r="1840" spans="1:24" ht="57" customHeight="1" x14ac:dyDescent="0.35">
      <c r="A1840" s="56" t="s">
        <v>3166</v>
      </c>
      <c r="B1840" s="2">
        <v>1721</v>
      </c>
      <c r="C1840" s="74">
        <v>10108186</v>
      </c>
      <c r="D1840" s="59" t="s">
        <v>991</v>
      </c>
      <c r="E1840" s="74" t="s">
        <v>2185</v>
      </c>
      <c r="F1840" s="197">
        <v>7</v>
      </c>
      <c r="G1840" s="64" t="s">
        <v>0</v>
      </c>
      <c r="H1840" s="64" t="s">
        <v>1123</v>
      </c>
      <c r="I1840" s="64" t="s">
        <v>962</v>
      </c>
      <c r="J1840" s="63" t="s">
        <v>1132</v>
      </c>
      <c r="K1840" s="63" t="s">
        <v>991</v>
      </c>
      <c r="L1840" s="64" t="s">
        <v>845</v>
      </c>
      <c r="M1840" s="65">
        <f t="shared" si="319"/>
        <v>393041.21</v>
      </c>
      <c r="N1840" s="65">
        <f t="shared" si="320"/>
        <v>56148.74</v>
      </c>
      <c r="O1840" s="174">
        <v>393041.21</v>
      </c>
      <c r="P1840" s="65">
        <v>262250</v>
      </c>
      <c r="Q1840" s="65">
        <f t="shared" ref="Q1840:Q1902" si="321">P1840*0.22</f>
        <v>57695</v>
      </c>
      <c r="R1840" s="65">
        <f t="shared" ref="R1840:R1902" si="322">P1840+Q1840</f>
        <v>319945</v>
      </c>
      <c r="S1840" s="272"/>
      <c r="T1840" s="64">
        <v>116</v>
      </c>
      <c r="U1840" s="270"/>
      <c r="V1840" s="38">
        <v>301085</v>
      </c>
      <c r="W1840" s="38">
        <f t="shared" ref="W1840:W1902" si="323">V1840*0.22</f>
        <v>66238.7</v>
      </c>
      <c r="X1840" s="38">
        <f t="shared" si="314"/>
        <v>367323.7</v>
      </c>
    </row>
    <row r="1841" spans="1:24" ht="45" customHeight="1" x14ac:dyDescent="0.35">
      <c r="A1841" s="56" t="s">
        <v>3167</v>
      </c>
      <c r="B1841" s="2">
        <v>1722</v>
      </c>
      <c r="C1841" s="74">
        <v>10124595</v>
      </c>
      <c r="D1841" s="59" t="s">
        <v>442</v>
      </c>
      <c r="E1841" s="74" t="s">
        <v>2185</v>
      </c>
      <c r="F1841" s="197">
        <v>3</v>
      </c>
      <c r="G1841" s="64" t="s">
        <v>0</v>
      </c>
      <c r="H1841" s="64" t="s">
        <v>497</v>
      </c>
      <c r="I1841" s="64" t="s">
        <v>962</v>
      </c>
      <c r="J1841" s="63" t="s">
        <v>1133</v>
      </c>
      <c r="K1841" s="63" t="s">
        <v>442</v>
      </c>
      <c r="L1841" s="64" t="s">
        <v>845</v>
      </c>
      <c r="M1841" s="65">
        <f t="shared" si="319"/>
        <v>231681</v>
      </c>
      <c r="N1841" s="65">
        <f t="shared" si="320"/>
        <v>77227</v>
      </c>
      <c r="O1841" s="174">
        <v>231681</v>
      </c>
      <c r="P1841" s="65">
        <v>151650</v>
      </c>
      <c r="Q1841" s="65">
        <f t="shared" si="321"/>
        <v>33363</v>
      </c>
      <c r="R1841" s="65">
        <f t="shared" si="322"/>
        <v>185013</v>
      </c>
      <c r="S1841" s="272"/>
      <c r="T1841" s="64">
        <v>116</v>
      </c>
      <c r="U1841" s="270"/>
      <c r="V1841" s="38">
        <v>174113</v>
      </c>
      <c r="W1841" s="38">
        <f t="shared" si="323"/>
        <v>38304.86</v>
      </c>
      <c r="X1841" s="38">
        <f t="shared" si="314"/>
        <v>212417.86</v>
      </c>
    </row>
    <row r="1842" spans="1:24" ht="32.25" customHeight="1" x14ac:dyDescent="0.35">
      <c r="A1842" s="56" t="s">
        <v>3168</v>
      </c>
      <c r="B1842" s="2">
        <v>1723</v>
      </c>
      <c r="C1842" s="74">
        <v>10124643</v>
      </c>
      <c r="D1842" s="59" t="s">
        <v>426</v>
      </c>
      <c r="E1842" s="74" t="s">
        <v>2185</v>
      </c>
      <c r="F1842" s="197">
        <v>2</v>
      </c>
      <c r="G1842" s="64" t="s">
        <v>0</v>
      </c>
      <c r="H1842" s="64" t="s">
        <v>497</v>
      </c>
      <c r="I1842" s="64" t="s">
        <v>962</v>
      </c>
      <c r="J1842" s="63" t="s">
        <v>1134</v>
      </c>
      <c r="K1842" s="63" t="s">
        <v>426</v>
      </c>
      <c r="L1842" s="64" t="s">
        <v>845</v>
      </c>
      <c r="M1842" s="65">
        <f t="shared" si="319"/>
        <v>158684</v>
      </c>
      <c r="N1842" s="65">
        <f t="shared" si="320"/>
        <v>79342</v>
      </c>
      <c r="O1842" s="174">
        <v>158684</v>
      </c>
      <c r="P1842" s="65">
        <v>103870</v>
      </c>
      <c r="Q1842" s="65">
        <f t="shared" si="321"/>
        <v>22851.4</v>
      </c>
      <c r="R1842" s="65">
        <f t="shared" si="322"/>
        <v>126721.4</v>
      </c>
      <c r="S1842" s="272"/>
      <c r="T1842" s="64">
        <v>116</v>
      </c>
      <c r="U1842" s="270"/>
      <c r="V1842" s="38">
        <v>119254</v>
      </c>
      <c r="W1842" s="38">
        <f t="shared" si="323"/>
        <v>26235.88</v>
      </c>
      <c r="X1842" s="38">
        <f t="shared" ref="X1842:X1905" si="324">V1842+W1842</f>
        <v>145489.88</v>
      </c>
    </row>
    <row r="1843" spans="1:24" ht="30.65" customHeight="1" x14ac:dyDescent="0.35">
      <c r="A1843" s="56" t="s">
        <v>3169</v>
      </c>
      <c r="B1843" s="2">
        <v>1724</v>
      </c>
      <c r="C1843" s="74">
        <v>10124642</v>
      </c>
      <c r="D1843" s="59" t="s">
        <v>425</v>
      </c>
      <c r="E1843" s="74" t="s">
        <v>2185</v>
      </c>
      <c r="F1843" s="197">
        <v>2</v>
      </c>
      <c r="G1843" s="64" t="s">
        <v>0</v>
      </c>
      <c r="H1843" s="64" t="s">
        <v>500</v>
      </c>
      <c r="I1843" s="64" t="s">
        <v>962</v>
      </c>
      <c r="J1843" s="63" t="s">
        <v>1135</v>
      </c>
      <c r="K1843" s="63" t="s">
        <v>425</v>
      </c>
      <c r="L1843" s="64" t="s">
        <v>845</v>
      </c>
      <c r="M1843" s="65">
        <f t="shared" si="319"/>
        <v>160512</v>
      </c>
      <c r="N1843" s="65">
        <f t="shared" si="320"/>
        <v>80256</v>
      </c>
      <c r="O1843" s="174">
        <v>160512</v>
      </c>
      <c r="P1843" s="65">
        <v>107100</v>
      </c>
      <c r="Q1843" s="65">
        <f t="shared" si="321"/>
        <v>23562</v>
      </c>
      <c r="R1843" s="65">
        <f t="shared" si="322"/>
        <v>130662</v>
      </c>
      <c r="S1843" s="272"/>
      <c r="T1843" s="64">
        <v>116</v>
      </c>
      <c r="U1843" s="270"/>
      <c r="V1843" s="38">
        <v>122959</v>
      </c>
      <c r="W1843" s="38">
        <f t="shared" si="323"/>
        <v>27050.98</v>
      </c>
      <c r="X1843" s="38">
        <f t="shared" si="324"/>
        <v>150009.98000000001</v>
      </c>
    </row>
    <row r="1844" spans="1:24" ht="30.65" customHeight="1" x14ac:dyDescent="0.35">
      <c r="A1844" s="56" t="s">
        <v>3170</v>
      </c>
      <c r="B1844" s="2">
        <v>1725</v>
      </c>
      <c r="C1844" s="74">
        <v>10124528</v>
      </c>
      <c r="D1844" s="59" t="s">
        <v>393</v>
      </c>
      <c r="E1844" s="74" t="s">
        <v>2185</v>
      </c>
      <c r="F1844" s="197">
        <v>1</v>
      </c>
      <c r="G1844" s="64" t="s">
        <v>0</v>
      </c>
      <c r="H1844" s="64" t="s">
        <v>497</v>
      </c>
      <c r="I1844" s="64" t="s">
        <v>962</v>
      </c>
      <c r="J1844" s="63" t="s">
        <v>1136</v>
      </c>
      <c r="K1844" s="63" t="s">
        <v>393</v>
      </c>
      <c r="L1844" s="64" t="s">
        <v>845</v>
      </c>
      <c r="M1844" s="65">
        <f t="shared" si="319"/>
        <v>81099</v>
      </c>
      <c r="N1844" s="65">
        <f t="shared" si="320"/>
        <v>81099</v>
      </c>
      <c r="O1844" s="174">
        <v>81099</v>
      </c>
      <c r="P1844" s="65">
        <v>53090</v>
      </c>
      <c r="Q1844" s="65">
        <f t="shared" si="321"/>
        <v>11679.8</v>
      </c>
      <c r="R1844" s="65">
        <f t="shared" si="322"/>
        <v>64769.8</v>
      </c>
      <c r="S1844" s="272"/>
      <c r="T1844" s="64">
        <v>116</v>
      </c>
      <c r="U1844" s="270"/>
      <c r="V1844" s="38">
        <v>60948</v>
      </c>
      <c r="W1844" s="38">
        <f t="shared" si="323"/>
        <v>13408.56</v>
      </c>
      <c r="X1844" s="38">
        <f t="shared" si="324"/>
        <v>74356.56</v>
      </c>
    </row>
    <row r="1845" spans="1:24" ht="30.65" customHeight="1" x14ac:dyDescent="0.35">
      <c r="A1845" s="56" t="s">
        <v>3171</v>
      </c>
      <c r="B1845" s="2">
        <v>1726</v>
      </c>
      <c r="C1845" s="74">
        <v>10124506</v>
      </c>
      <c r="D1845" s="59" t="s">
        <v>391</v>
      </c>
      <c r="E1845" s="74" t="s">
        <v>2185</v>
      </c>
      <c r="F1845" s="197">
        <v>1</v>
      </c>
      <c r="G1845" s="64" t="s">
        <v>0</v>
      </c>
      <c r="H1845" s="64" t="s">
        <v>497</v>
      </c>
      <c r="I1845" s="64" t="s">
        <v>962</v>
      </c>
      <c r="J1845" s="63" t="s">
        <v>1137</v>
      </c>
      <c r="K1845" s="63" t="s">
        <v>391</v>
      </c>
      <c r="L1845" s="64" t="s">
        <v>845</v>
      </c>
      <c r="M1845" s="65">
        <f t="shared" si="319"/>
        <v>83214</v>
      </c>
      <c r="N1845" s="65">
        <f t="shared" si="320"/>
        <v>83214</v>
      </c>
      <c r="O1845" s="174">
        <v>83214</v>
      </c>
      <c r="P1845" s="65">
        <v>54470</v>
      </c>
      <c r="Q1845" s="65">
        <f t="shared" si="321"/>
        <v>11983.4</v>
      </c>
      <c r="R1845" s="65">
        <f t="shared" si="322"/>
        <v>66453.399999999994</v>
      </c>
      <c r="S1845" s="272"/>
      <c r="T1845" s="64">
        <v>116</v>
      </c>
      <c r="U1845" s="270"/>
      <c r="V1845" s="38">
        <v>62537</v>
      </c>
      <c r="W1845" s="38">
        <f t="shared" si="323"/>
        <v>13758.14</v>
      </c>
      <c r="X1845" s="38">
        <f t="shared" si="324"/>
        <v>76295.14</v>
      </c>
    </row>
    <row r="1846" spans="1:24" ht="30.65" customHeight="1" x14ac:dyDescent="0.35">
      <c r="A1846" s="56" t="s">
        <v>3172</v>
      </c>
      <c r="B1846" s="2">
        <v>1727</v>
      </c>
      <c r="C1846" s="74">
        <v>10124612</v>
      </c>
      <c r="D1846" s="59" t="s">
        <v>396</v>
      </c>
      <c r="E1846" s="74" t="s">
        <v>2185</v>
      </c>
      <c r="F1846" s="197">
        <v>1</v>
      </c>
      <c r="G1846" s="64" t="s">
        <v>0</v>
      </c>
      <c r="H1846" s="64" t="s">
        <v>500</v>
      </c>
      <c r="I1846" s="64" t="s">
        <v>962</v>
      </c>
      <c r="J1846" s="63" t="s">
        <v>1138</v>
      </c>
      <c r="K1846" s="63" t="s">
        <v>396</v>
      </c>
      <c r="L1846" s="64" t="s">
        <v>845</v>
      </c>
      <c r="M1846" s="65">
        <f t="shared" si="319"/>
        <v>79245</v>
      </c>
      <c r="N1846" s="65">
        <f t="shared" si="320"/>
        <v>79245</v>
      </c>
      <c r="O1846" s="174">
        <v>79245</v>
      </c>
      <c r="P1846" s="65">
        <v>52870</v>
      </c>
      <c r="Q1846" s="65">
        <f t="shared" si="321"/>
        <v>11631.4</v>
      </c>
      <c r="R1846" s="65">
        <f t="shared" si="322"/>
        <v>64501.4</v>
      </c>
      <c r="S1846" s="272"/>
      <c r="T1846" s="64">
        <v>116</v>
      </c>
      <c r="U1846" s="270"/>
      <c r="V1846" s="38">
        <v>60705</v>
      </c>
      <c r="W1846" s="38">
        <f t="shared" si="323"/>
        <v>13355.1</v>
      </c>
      <c r="X1846" s="38">
        <f t="shared" si="324"/>
        <v>74060.100000000006</v>
      </c>
    </row>
    <row r="1847" spans="1:24" ht="26.25" customHeight="1" x14ac:dyDescent="0.35">
      <c r="A1847" s="56" t="s">
        <v>3173</v>
      </c>
      <c r="B1847" s="2">
        <v>1728</v>
      </c>
      <c r="C1847" s="74">
        <v>10124613</v>
      </c>
      <c r="D1847" s="59" t="s">
        <v>443</v>
      </c>
      <c r="E1847" s="74" t="s">
        <v>2185</v>
      </c>
      <c r="F1847" s="197">
        <v>3</v>
      </c>
      <c r="G1847" s="64" t="s">
        <v>0</v>
      </c>
      <c r="H1847" s="64" t="s">
        <v>497</v>
      </c>
      <c r="I1847" s="64" t="s">
        <v>962</v>
      </c>
      <c r="J1847" s="63" t="s">
        <v>1139</v>
      </c>
      <c r="K1847" s="63" t="s">
        <v>443</v>
      </c>
      <c r="L1847" s="64" t="s">
        <v>845</v>
      </c>
      <c r="M1847" s="65">
        <f t="shared" si="319"/>
        <v>236322</v>
      </c>
      <c r="N1847" s="65">
        <f t="shared" si="320"/>
        <v>78774</v>
      </c>
      <c r="O1847" s="174">
        <v>236322</v>
      </c>
      <c r="P1847" s="65">
        <v>154690</v>
      </c>
      <c r="Q1847" s="65">
        <f t="shared" si="321"/>
        <v>34031.800000000003</v>
      </c>
      <c r="R1847" s="65">
        <f t="shared" si="322"/>
        <v>188721.8</v>
      </c>
      <c r="S1847" s="272"/>
      <c r="T1847" s="64">
        <v>116</v>
      </c>
      <c r="U1847" s="270"/>
      <c r="V1847" s="38">
        <v>177601</v>
      </c>
      <c r="W1847" s="38">
        <f t="shared" si="323"/>
        <v>39072.22</v>
      </c>
      <c r="X1847" s="38">
        <f t="shared" si="324"/>
        <v>216673.22</v>
      </c>
    </row>
    <row r="1848" spans="1:24" ht="43.5" customHeight="1" x14ac:dyDescent="0.35">
      <c r="A1848" s="56" t="s">
        <v>3174</v>
      </c>
      <c r="B1848" s="2">
        <v>1729</v>
      </c>
      <c r="C1848" s="74">
        <v>10124565</v>
      </c>
      <c r="D1848" s="59" t="s">
        <v>465</v>
      </c>
      <c r="E1848" s="74" t="s">
        <v>2185</v>
      </c>
      <c r="F1848" s="197">
        <v>7</v>
      </c>
      <c r="G1848" s="64" t="s">
        <v>0</v>
      </c>
      <c r="H1848" s="64" t="s">
        <v>497</v>
      </c>
      <c r="I1848" s="64" t="s">
        <v>962</v>
      </c>
      <c r="J1848" s="63" t="s">
        <v>1140</v>
      </c>
      <c r="K1848" s="63" t="s">
        <v>465</v>
      </c>
      <c r="L1848" s="64" t="s">
        <v>845</v>
      </c>
      <c r="M1848" s="65">
        <f t="shared" si="319"/>
        <v>557802</v>
      </c>
      <c r="N1848" s="65">
        <f t="shared" si="320"/>
        <v>79686</v>
      </c>
      <c r="O1848" s="174">
        <v>557802</v>
      </c>
      <c r="P1848" s="65">
        <v>365120</v>
      </c>
      <c r="Q1848" s="65">
        <f t="shared" si="321"/>
        <v>80326.399999999994</v>
      </c>
      <c r="R1848" s="65">
        <f t="shared" si="322"/>
        <v>445446.40000000002</v>
      </c>
      <c r="S1848" s="272"/>
      <c r="T1848" s="64">
        <v>116</v>
      </c>
      <c r="U1848" s="270"/>
      <c r="V1848" s="38">
        <v>419199</v>
      </c>
      <c r="W1848" s="38">
        <f t="shared" si="323"/>
        <v>92223.78</v>
      </c>
      <c r="X1848" s="38">
        <f t="shared" si="324"/>
        <v>511422.78</v>
      </c>
    </row>
    <row r="1849" spans="1:24" ht="40.5" customHeight="1" x14ac:dyDescent="0.35">
      <c r="A1849" s="56" t="s">
        <v>3175</v>
      </c>
      <c r="B1849" s="2">
        <v>1730</v>
      </c>
      <c r="C1849" s="74">
        <v>10120709</v>
      </c>
      <c r="D1849" s="59" t="s">
        <v>992</v>
      </c>
      <c r="E1849" s="74" t="s">
        <v>2185</v>
      </c>
      <c r="F1849" s="197">
        <v>4</v>
      </c>
      <c r="G1849" s="64" t="s">
        <v>0</v>
      </c>
      <c r="H1849" s="64" t="s">
        <v>500</v>
      </c>
      <c r="I1849" s="64" t="s">
        <v>962</v>
      </c>
      <c r="J1849" s="63" t="s">
        <v>1141</v>
      </c>
      <c r="K1849" s="63" t="s">
        <v>992</v>
      </c>
      <c r="L1849" s="64" t="s">
        <v>845</v>
      </c>
      <c r="M1849" s="65">
        <f t="shared" si="319"/>
        <v>417609.44</v>
      </c>
      <c r="N1849" s="65">
        <f t="shared" si="320"/>
        <v>104402.36</v>
      </c>
      <c r="O1849" s="174">
        <v>417609.44</v>
      </c>
      <c r="P1849" s="65">
        <v>278640</v>
      </c>
      <c r="Q1849" s="65">
        <f t="shared" si="321"/>
        <v>61300.800000000003</v>
      </c>
      <c r="R1849" s="65">
        <f t="shared" si="322"/>
        <v>339940.8</v>
      </c>
      <c r="S1849" s="272"/>
      <c r="T1849" s="64">
        <v>116</v>
      </c>
      <c r="U1849" s="270"/>
      <c r="V1849" s="38">
        <v>319906</v>
      </c>
      <c r="W1849" s="38">
        <f t="shared" si="323"/>
        <v>70379.320000000007</v>
      </c>
      <c r="X1849" s="38">
        <f t="shared" si="324"/>
        <v>390285.32</v>
      </c>
    </row>
    <row r="1850" spans="1:24" ht="35.25" customHeight="1" x14ac:dyDescent="0.35">
      <c r="A1850" s="56" t="s">
        <v>3176</v>
      </c>
      <c r="B1850" s="2">
        <v>1731</v>
      </c>
      <c r="C1850" s="74">
        <v>10120713</v>
      </c>
      <c r="D1850" s="59" t="s">
        <v>993</v>
      </c>
      <c r="E1850" s="74" t="s">
        <v>2185</v>
      </c>
      <c r="F1850" s="197">
        <v>3</v>
      </c>
      <c r="G1850" s="64" t="s">
        <v>0</v>
      </c>
      <c r="H1850" s="64" t="s">
        <v>1122</v>
      </c>
      <c r="I1850" s="64" t="s">
        <v>962</v>
      </c>
      <c r="J1850" s="63" t="s">
        <v>1142</v>
      </c>
      <c r="K1850" s="63" t="s">
        <v>993</v>
      </c>
      <c r="L1850" s="64" t="s">
        <v>845</v>
      </c>
      <c r="M1850" s="65">
        <f t="shared" si="319"/>
        <v>322361.37</v>
      </c>
      <c r="N1850" s="65">
        <f t="shared" si="320"/>
        <v>107453.79</v>
      </c>
      <c r="O1850" s="174">
        <v>322361.37</v>
      </c>
      <c r="P1850" s="65">
        <v>230650</v>
      </c>
      <c r="Q1850" s="65">
        <f t="shared" si="321"/>
        <v>50743</v>
      </c>
      <c r="R1850" s="65">
        <f t="shared" si="322"/>
        <v>281393</v>
      </c>
      <c r="S1850" s="272"/>
      <c r="T1850" s="64">
        <v>116</v>
      </c>
      <c r="U1850" s="270"/>
      <c r="V1850" s="38">
        <v>264813</v>
      </c>
      <c r="W1850" s="38">
        <f t="shared" si="323"/>
        <v>58258.86</v>
      </c>
      <c r="X1850" s="38">
        <f t="shared" si="324"/>
        <v>323071.86</v>
      </c>
    </row>
    <row r="1851" spans="1:24" ht="32.25" customHeight="1" x14ac:dyDescent="0.35">
      <c r="A1851" s="56" t="s">
        <v>3177</v>
      </c>
      <c r="B1851" s="2">
        <v>1732</v>
      </c>
      <c r="C1851" s="74">
        <v>10120750</v>
      </c>
      <c r="D1851" s="59" t="s">
        <v>994</v>
      </c>
      <c r="E1851" s="74" t="s">
        <v>2185</v>
      </c>
      <c r="F1851" s="197">
        <v>5</v>
      </c>
      <c r="G1851" s="64" t="s">
        <v>0</v>
      </c>
      <c r="H1851" s="64" t="s">
        <v>500</v>
      </c>
      <c r="I1851" s="64" t="s">
        <v>962</v>
      </c>
      <c r="J1851" s="63" t="s">
        <v>1143</v>
      </c>
      <c r="K1851" s="63" t="s">
        <v>994</v>
      </c>
      <c r="L1851" s="64" t="s">
        <v>845</v>
      </c>
      <c r="M1851" s="65">
        <f t="shared" si="319"/>
        <v>515276.87</v>
      </c>
      <c r="N1851" s="65">
        <f t="shared" si="320"/>
        <v>103055.37</v>
      </c>
      <c r="O1851" s="174">
        <v>515276.87</v>
      </c>
      <c r="P1851" s="65">
        <v>343800</v>
      </c>
      <c r="Q1851" s="65">
        <f t="shared" si="321"/>
        <v>75636</v>
      </c>
      <c r="R1851" s="65">
        <f t="shared" si="322"/>
        <v>419436</v>
      </c>
      <c r="S1851" s="272"/>
      <c r="T1851" s="64">
        <v>116</v>
      </c>
      <c r="U1851" s="270"/>
      <c r="V1851" s="38">
        <v>394723</v>
      </c>
      <c r="W1851" s="38">
        <f t="shared" si="323"/>
        <v>86839.06</v>
      </c>
      <c r="X1851" s="38">
        <f t="shared" si="324"/>
        <v>481562.06</v>
      </c>
    </row>
    <row r="1852" spans="1:24" ht="33.75" customHeight="1" x14ac:dyDescent="0.35">
      <c r="A1852" s="56" t="s">
        <v>3178</v>
      </c>
      <c r="B1852" s="2">
        <v>1733</v>
      </c>
      <c r="C1852" s="74">
        <v>10108260</v>
      </c>
      <c r="D1852" s="59" t="s">
        <v>995</v>
      </c>
      <c r="E1852" s="74" t="s">
        <v>2185</v>
      </c>
      <c r="F1852" s="197">
        <v>5</v>
      </c>
      <c r="G1852" s="64" t="s">
        <v>0</v>
      </c>
      <c r="H1852" s="64" t="s">
        <v>1122</v>
      </c>
      <c r="I1852" s="64" t="s">
        <v>962</v>
      </c>
      <c r="J1852" s="63" t="s">
        <v>1144</v>
      </c>
      <c r="K1852" s="63" t="s">
        <v>995</v>
      </c>
      <c r="L1852" s="64" t="s">
        <v>845</v>
      </c>
      <c r="M1852" s="65">
        <f t="shared" si="319"/>
        <v>577235.79</v>
      </c>
      <c r="N1852" s="65">
        <f t="shared" si="320"/>
        <v>115447.16</v>
      </c>
      <c r="O1852" s="174">
        <v>577235.79</v>
      </c>
      <c r="P1852" s="65">
        <v>413020</v>
      </c>
      <c r="Q1852" s="65">
        <f t="shared" si="321"/>
        <v>90864.4</v>
      </c>
      <c r="R1852" s="65">
        <f t="shared" si="322"/>
        <v>503884.4</v>
      </c>
      <c r="S1852" s="272"/>
      <c r="T1852" s="64">
        <v>116</v>
      </c>
      <c r="U1852" s="270"/>
      <c r="V1852" s="38">
        <v>474188</v>
      </c>
      <c r="W1852" s="38">
        <f t="shared" si="323"/>
        <v>104321.36</v>
      </c>
      <c r="X1852" s="38">
        <f t="shared" si="324"/>
        <v>578509.36</v>
      </c>
    </row>
    <row r="1853" spans="1:24" ht="29.25" customHeight="1" x14ac:dyDescent="0.35">
      <c r="A1853" s="56" t="s">
        <v>3179</v>
      </c>
      <c r="B1853" s="2">
        <v>1734</v>
      </c>
      <c r="C1853" s="74">
        <v>10108301</v>
      </c>
      <c r="D1853" s="59" t="s">
        <v>996</v>
      </c>
      <c r="E1853" s="74" t="s">
        <v>2185</v>
      </c>
      <c r="F1853" s="197">
        <v>4</v>
      </c>
      <c r="G1853" s="64" t="s">
        <v>0</v>
      </c>
      <c r="H1853" s="64" t="s">
        <v>1122</v>
      </c>
      <c r="I1853" s="64" t="s">
        <v>962</v>
      </c>
      <c r="J1853" s="63" t="s">
        <v>1145</v>
      </c>
      <c r="K1853" s="63" t="s">
        <v>996</v>
      </c>
      <c r="L1853" s="64" t="s">
        <v>845</v>
      </c>
      <c r="M1853" s="65">
        <f t="shared" si="319"/>
        <v>459974.96</v>
      </c>
      <c r="N1853" s="65">
        <f t="shared" si="320"/>
        <v>114993.74</v>
      </c>
      <c r="O1853" s="174">
        <v>459974.96</v>
      </c>
      <c r="P1853" s="65">
        <v>329120</v>
      </c>
      <c r="Q1853" s="65">
        <f t="shared" si="321"/>
        <v>72406.399999999994</v>
      </c>
      <c r="R1853" s="65">
        <f t="shared" si="322"/>
        <v>401526.4</v>
      </c>
      <c r="S1853" s="272"/>
      <c r="T1853" s="64">
        <v>116</v>
      </c>
      <c r="U1853" s="270"/>
      <c r="V1853" s="38">
        <v>377860</v>
      </c>
      <c r="W1853" s="38">
        <f t="shared" si="323"/>
        <v>83129.2</v>
      </c>
      <c r="X1853" s="38">
        <f t="shared" si="324"/>
        <v>460989.2</v>
      </c>
    </row>
    <row r="1854" spans="1:24" ht="26.25" customHeight="1" x14ac:dyDescent="0.35">
      <c r="A1854" s="56" t="s">
        <v>3180</v>
      </c>
      <c r="B1854" s="2">
        <v>1735</v>
      </c>
      <c r="C1854" s="74">
        <v>10124525</v>
      </c>
      <c r="D1854" s="59" t="s">
        <v>392</v>
      </c>
      <c r="E1854" s="74" t="s">
        <v>2185</v>
      </c>
      <c r="F1854" s="197">
        <v>1</v>
      </c>
      <c r="G1854" s="64" t="s">
        <v>0</v>
      </c>
      <c r="H1854" s="64" t="s">
        <v>497</v>
      </c>
      <c r="I1854" s="64" t="s">
        <v>962</v>
      </c>
      <c r="J1854" s="63" t="s">
        <v>1146</v>
      </c>
      <c r="K1854" s="63" t="s">
        <v>392</v>
      </c>
      <c r="L1854" s="64" t="s">
        <v>845</v>
      </c>
      <c r="M1854" s="65">
        <f t="shared" si="319"/>
        <v>131866</v>
      </c>
      <c r="N1854" s="65">
        <f t="shared" si="320"/>
        <v>131866</v>
      </c>
      <c r="O1854" s="174">
        <v>131866</v>
      </c>
      <c r="P1854" s="65">
        <v>86320</v>
      </c>
      <c r="Q1854" s="65">
        <f t="shared" si="321"/>
        <v>18990.400000000001</v>
      </c>
      <c r="R1854" s="65">
        <f t="shared" si="322"/>
        <v>105310.39999999999</v>
      </c>
      <c r="S1854" s="272"/>
      <c r="T1854" s="64">
        <v>116</v>
      </c>
      <c r="U1854" s="270"/>
      <c r="V1854" s="38">
        <v>99100</v>
      </c>
      <c r="W1854" s="38">
        <f t="shared" si="323"/>
        <v>21802</v>
      </c>
      <c r="X1854" s="38">
        <f t="shared" si="324"/>
        <v>120902</v>
      </c>
    </row>
    <row r="1855" spans="1:24" ht="31.5" customHeight="1" x14ac:dyDescent="0.35">
      <c r="A1855" s="56" t="s">
        <v>3181</v>
      </c>
      <c r="B1855" s="2">
        <v>1736</v>
      </c>
      <c r="C1855" s="74">
        <v>10108206</v>
      </c>
      <c r="D1855" s="59" t="s">
        <v>997</v>
      </c>
      <c r="E1855" s="74" t="s">
        <v>2185</v>
      </c>
      <c r="F1855" s="197">
        <v>3</v>
      </c>
      <c r="G1855" s="64" t="s">
        <v>0</v>
      </c>
      <c r="H1855" s="64" t="s">
        <v>1122</v>
      </c>
      <c r="I1855" s="64" t="s">
        <v>962</v>
      </c>
      <c r="J1855" s="63" t="s">
        <v>1147</v>
      </c>
      <c r="K1855" s="63" t="s">
        <v>997</v>
      </c>
      <c r="L1855" s="64" t="s">
        <v>845</v>
      </c>
      <c r="M1855" s="65">
        <f t="shared" si="319"/>
        <v>305627.89</v>
      </c>
      <c r="N1855" s="65">
        <f t="shared" si="320"/>
        <v>101875.96</v>
      </c>
      <c r="O1855" s="174">
        <v>305627.89</v>
      </c>
      <c r="P1855" s="65">
        <v>218680</v>
      </c>
      <c r="Q1855" s="65">
        <f t="shared" si="321"/>
        <v>48109.599999999999</v>
      </c>
      <c r="R1855" s="65">
        <f t="shared" si="322"/>
        <v>266789.59999999998</v>
      </c>
      <c r="S1855" s="272"/>
      <c r="T1855" s="64">
        <v>116</v>
      </c>
      <c r="U1855" s="270"/>
      <c r="V1855" s="38">
        <v>251067</v>
      </c>
      <c r="W1855" s="38">
        <f t="shared" si="323"/>
        <v>55234.74</v>
      </c>
      <c r="X1855" s="38">
        <f t="shared" si="324"/>
        <v>306301.74</v>
      </c>
    </row>
    <row r="1856" spans="1:24" ht="56.25" customHeight="1" x14ac:dyDescent="0.35">
      <c r="A1856" s="56" t="s">
        <v>3182</v>
      </c>
      <c r="B1856" s="2">
        <v>1737</v>
      </c>
      <c r="C1856" s="74">
        <v>10108218</v>
      </c>
      <c r="D1856" s="59" t="s">
        <v>998</v>
      </c>
      <c r="E1856" s="74" t="s">
        <v>2185</v>
      </c>
      <c r="F1856" s="197">
        <v>8</v>
      </c>
      <c r="G1856" s="64" t="s">
        <v>0</v>
      </c>
      <c r="H1856" s="64" t="s">
        <v>1123</v>
      </c>
      <c r="I1856" s="64" t="s">
        <v>962</v>
      </c>
      <c r="J1856" s="63" t="s">
        <v>4085</v>
      </c>
      <c r="K1856" s="63" t="s">
        <v>998</v>
      </c>
      <c r="L1856" s="64" t="s">
        <v>845</v>
      </c>
      <c r="M1856" s="65">
        <f t="shared" si="319"/>
        <v>927942.15</v>
      </c>
      <c r="N1856" s="65">
        <f t="shared" si="320"/>
        <v>115992.77</v>
      </c>
      <c r="O1856" s="174">
        <v>927942.15</v>
      </c>
      <c r="P1856" s="65">
        <v>619140</v>
      </c>
      <c r="Q1856" s="65">
        <f t="shared" si="321"/>
        <v>136210.79999999999</v>
      </c>
      <c r="R1856" s="65">
        <f t="shared" si="322"/>
        <v>755350.8</v>
      </c>
      <c r="S1856" s="272"/>
      <c r="T1856" s="64">
        <v>116</v>
      </c>
      <c r="U1856" s="270"/>
      <c r="V1856" s="38">
        <v>710841</v>
      </c>
      <c r="W1856" s="38">
        <f t="shared" si="323"/>
        <v>156385.01999999999</v>
      </c>
      <c r="X1856" s="38">
        <f t="shared" si="324"/>
        <v>867226.02</v>
      </c>
    </row>
    <row r="1857" spans="1:24" ht="27" customHeight="1" x14ac:dyDescent="0.35">
      <c r="A1857" s="56" t="s">
        <v>3183</v>
      </c>
      <c r="B1857" s="2">
        <v>1738</v>
      </c>
      <c r="C1857" s="74">
        <v>10124564</v>
      </c>
      <c r="D1857" s="59" t="s">
        <v>423</v>
      </c>
      <c r="E1857" s="74" t="s">
        <v>2185</v>
      </c>
      <c r="F1857" s="197">
        <v>2</v>
      </c>
      <c r="G1857" s="64" t="s">
        <v>0</v>
      </c>
      <c r="H1857" s="64" t="s">
        <v>500</v>
      </c>
      <c r="I1857" s="64" t="s">
        <v>962</v>
      </c>
      <c r="J1857" s="63" t="s">
        <v>1148</v>
      </c>
      <c r="K1857" s="63" t="s">
        <v>423</v>
      </c>
      <c r="L1857" s="64" t="s">
        <v>845</v>
      </c>
      <c r="M1857" s="65">
        <f t="shared" ref="M1857:M1890" si="325">O1857</f>
        <v>179687</v>
      </c>
      <c r="N1857" s="65">
        <f t="shared" ref="N1857:N1890" si="326">O1857/F1857</f>
        <v>89843.5</v>
      </c>
      <c r="O1857" s="174">
        <v>179687</v>
      </c>
      <c r="P1857" s="65">
        <v>119890</v>
      </c>
      <c r="Q1857" s="65">
        <f t="shared" si="321"/>
        <v>26375.8</v>
      </c>
      <c r="R1857" s="65">
        <f t="shared" si="322"/>
        <v>146265.79999999999</v>
      </c>
      <c r="S1857" s="272"/>
      <c r="T1857" s="64">
        <v>116</v>
      </c>
      <c r="U1857" s="270"/>
      <c r="V1857" s="38">
        <v>137647</v>
      </c>
      <c r="W1857" s="38">
        <f t="shared" si="323"/>
        <v>30282.34</v>
      </c>
      <c r="X1857" s="38">
        <f t="shared" si="324"/>
        <v>167929.34</v>
      </c>
    </row>
    <row r="1858" spans="1:24" ht="30.65" customHeight="1" x14ac:dyDescent="0.35">
      <c r="A1858" s="56" t="s">
        <v>3184</v>
      </c>
      <c r="B1858" s="2">
        <v>1739</v>
      </c>
      <c r="C1858" s="74">
        <v>10124562</v>
      </c>
      <c r="D1858" s="59" t="s">
        <v>422</v>
      </c>
      <c r="E1858" s="74" t="s">
        <v>2185</v>
      </c>
      <c r="F1858" s="197">
        <v>2</v>
      </c>
      <c r="G1858" s="64" t="s">
        <v>0</v>
      </c>
      <c r="H1858" s="64" t="s">
        <v>497</v>
      </c>
      <c r="I1858" s="64" t="s">
        <v>962</v>
      </c>
      <c r="J1858" s="63" t="s">
        <v>1149</v>
      </c>
      <c r="K1858" s="63" t="s">
        <v>422</v>
      </c>
      <c r="L1858" s="64" t="s">
        <v>845</v>
      </c>
      <c r="M1858" s="65">
        <f t="shared" si="325"/>
        <v>184562</v>
      </c>
      <c r="N1858" s="65">
        <f t="shared" si="326"/>
        <v>92281</v>
      </c>
      <c r="O1858" s="174">
        <v>184562</v>
      </c>
      <c r="P1858" s="65">
        <v>120810</v>
      </c>
      <c r="Q1858" s="65">
        <f t="shared" si="321"/>
        <v>26578.2</v>
      </c>
      <c r="R1858" s="65">
        <f t="shared" si="322"/>
        <v>147388.20000000001</v>
      </c>
      <c r="S1858" s="272"/>
      <c r="T1858" s="64">
        <v>116</v>
      </c>
      <c r="U1858" s="270"/>
      <c r="V1858" s="38">
        <v>138702</v>
      </c>
      <c r="W1858" s="38">
        <f t="shared" si="323"/>
        <v>30514.44</v>
      </c>
      <c r="X1858" s="38">
        <f t="shared" si="324"/>
        <v>169216.44</v>
      </c>
    </row>
    <row r="1859" spans="1:24" ht="30.65" customHeight="1" x14ac:dyDescent="0.35">
      <c r="A1859" s="56" t="s">
        <v>3185</v>
      </c>
      <c r="B1859" s="2">
        <v>1740</v>
      </c>
      <c r="C1859" s="74">
        <v>10108258</v>
      </c>
      <c r="D1859" s="59" t="s">
        <v>999</v>
      </c>
      <c r="E1859" s="74" t="s">
        <v>2185</v>
      </c>
      <c r="F1859" s="197">
        <v>1</v>
      </c>
      <c r="G1859" s="64" t="s">
        <v>0</v>
      </c>
      <c r="H1859" s="64" t="s">
        <v>500</v>
      </c>
      <c r="I1859" s="64" t="s">
        <v>962</v>
      </c>
      <c r="J1859" s="63" t="s">
        <v>1150</v>
      </c>
      <c r="K1859" s="63" t="s">
        <v>999</v>
      </c>
      <c r="L1859" s="64" t="s">
        <v>845</v>
      </c>
      <c r="M1859" s="65">
        <f t="shared" si="325"/>
        <v>86255.12</v>
      </c>
      <c r="N1859" s="65">
        <f t="shared" si="326"/>
        <v>86255.12</v>
      </c>
      <c r="O1859" s="174">
        <v>86255.12</v>
      </c>
      <c r="P1859" s="65">
        <v>57550</v>
      </c>
      <c r="Q1859" s="65">
        <f t="shared" si="321"/>
        <v>12661</v>
      </c>
      <c r="R1859" s="65">
        <f t="shared" si="322"/>
        <v>70211</v>
      </c>
      <c r="S1859" s="272"/>
      <c r="T1859" s="64">
        <v>116</v>
      </c>
      <c r="U1859" s="270"/>
      <c r="V1859" s="38">
        <v>66075</v>
      </c>
      <c r="W1859" s="38">
        <f t="shared" si="323"/>
        <v>14536.5</v>
      </c>
      <c r="X1859" s="38">
        <f t="shared" si="324"/>
        <v>80611.5</v>
      </c>
    </row>
    <row r="1860" spans="1:24" ht="30.65" customHeight="1" x14ac:dyDescent="0.35">
      <c r="A1860" s="56" t="s">
        <v>3186</v>
      </c>
      <c r="B1860" s="2">
        <v>1741</v>
      </c>
      <c r="C1860" s="74">
        <v>10124563</v>
      </c>
      <c r="D1860" s="59" t="s">
        <v>394</v>
      </c>
      <c r="E1860" s="74" t="s">
        <v>2185</v>
      </c>
      <c r="F1860" s="197">
        <v>1</v>
      </c>
      <c r="G1860" s="64" t="s">
        <v>0</v>
      </c>
      <c r="H1860" s="64" t="s">
        <v>497</v>
      </c>
      <c r="I1860" s="64" t="s">
        <v>962</v>
      </c>
      <c r="J1860" s="63" t="s">
        <v>1151</v>
      </c>
      <c r="K1860" s="63" t="s">
        <v>394</v>
      </c>
      <c r="L1860" s="64" t="s">
        <v>845</v>
      </c>
      <c r="M1860" s="65">
        <f t="shared" si="325"/>
        <v>93647</v>
      </c>
      <c r="N1860" s="65">
        <f t="shared" si="326"/>
        <v>93647</v>
      </c>
      <c r="O1860" s="174">
        <v>93647</v>
      </c>
      <c r="P1860" s="65">
        <v>61300</v>
      </c>
      <c r="Q1860" s="65">
        <f t="shared" si="321"/>
        <v>13486</v>
      </c>
      <c r="R1860" s="65">
        <f t="shared" si="322"/>
        <v>74786</v>
      </c>
      <c r="S1860" s="272"/>
      <c r="T1860" s="64">
        <v>116</v>
      </c>
      <c r="U1860" s="270"/>
      <c r="V1860" s="38">
        <v>70378</v>
      </c>
      <c r="W1860" s="38">
        <f t="shared" si="323"/>
        <v>15483.16</v>
      </c>
      <c r="X1860" s="38">
        <f t="shared" si="324"/>
        <v>85861.16</v>
      </c>
    </row>
    <row r="1861" spans="1:24" ht="43.5" customHeight="1" x14ac:dyDescent="0.35">
      <c r="A1861" s="56" t="s">
        <v>3187</v>
      </c>
      <c r="B1861" s="2">
        <v>1742</v>
      </c>
      <c r="C1861" s="74">
        <v>10108237</v>
      </c>
      <c r="D1861" s="59" t="s">
        <v>1000</v>
      </c>
      <c r="E1861" s="74" t="s">
        <v>2185</v>
      </c>
      <c r="F1861" s="197">
        <v>7</v>
      </c>
      <c r="G1861" s="64" t="s">
        <v>0</v>
      </c>
      <c r="H1861" s="64" t="s">
        <v>500</v>
      </c>
      <c r="I1861" s="64" t="s">
        <v>962</v>
      </c>
      <c r="J1861" s="63" t="s">
        <v>1152</v>
      </c>
      <c r="K1861" s="63" t="s">
        <v>1000</v>
      </c>
      <c r="L1861" s="64" t="s">
        <v>845</v>
      </c>
      <c r="M1861" s="65">
        <f t="shared" si="325"/>
        <v>539062.24</v>
      </c>
      <c r="N1861" s="65">
        <f t="shared" si="326"/>
        <v>77008.89</v>
      </c>
      <c r="O1861" s="174">
        <v>539062.24</v>
      </c>
      <c r="P1861" s="65">
        <v>359670</v>
      </c>
      <c r="Q1861" s="65">
        <f t="shared" si="321"/>
        <v>79127.399999999994</v>
      </c>
      <c r="R1861" s="65">
        <f t="shared" si="322"/>
        <v>438797.4</v>
      </c>
      <c r="S1861" s="272"/>
      <c r="T1861" s="64">
        <v>116</v>
      </c>
      <c r="U1861" s="270"/>
      <c r="V1861" s="38">
        <v>412943</v>
      </c>
      <c r="W1861" s="38">
        <f t="shared" si="323"/>
        <v>90847.46</v>
      </c>
      <c r="X1861" s="38">
        <f t="shared" si="324"/>
        <v>503790.46</v>
      </c>
    </row>
    <row r="1862" spans="1:24" ht="30" customHeight="1" x14ac:dyDescent="0.35">
      <c r="A1862" s="56" t="s">
        <v>3188</v>
      </c>
      <c r="B1862" s="2">
        <v>1743</v>
      </c>
      <c r="C1862" s="74">
        <v>10108239</v>
      </c>
      <c r="D1862" s="59" t="s">
        <v>1001</v>
      </c>
      <c r="E1862" s="74" t="s">
        <v>2185</v>
      </c>
      <c r="F1862" s="197">
        <v>1</v>
      </c>
      <c r="G1862" s="64" t="s">
        <v>0</v>
      </c>
      <c r="H1862" s="64" t="s">
        <v>500</v>
      </c>
      <c r="I1862" s="64" t="s">
        <v>962</v>
      </c>
      <c r="J1862" s="63" t="s">
        <v>955</v>
      </c>
      <c r="K1862" s="63" t="s">
        <v>1001</v>
      </c>
      <c r="L1862" s="64" t="s">
        <v>845</v>
      </c>
      <c r="M1862" s="65">
        <f t="shared" si="325"/>
        <v>92855</v>
      </c>
      <c r="N1862" s="65">
        <f t="shared" si="326"/>
        <v>92855</v>
      </c>
      <c r="O1862" s="174">
        <v>92855</v>
      </c>
      <c r="P1862" s="65">
        <v>61950</v>
      </c>
      <c r="Q1862" s="65">
        <f t="shared" si="321"/>
        <v>13629</v>
      </c>
      <c r="R1862" s="65">
        <f t="shared" si="322"/>
        <v>75579</v>
      </c>
      <c r="S1862" s="272"/>
      <c r="T1862" s="64">
        <v>116</v>
      </c>
      <c r="U1862" s="270"/>
      <c r="V1862" s="38">
        <v>71131</v>
      </c>
      <c r="W1862" s="38">
        <f t="shared" si="323"/>
        <v>15648.82</v>
      </c>
      <c r="X1862" s="38">
        <f t="shared" si="324"/>
        <v>86779.82</v>
      </c>
    </row>
    <row r="1863" spans="1:24" ht="36" customHeight="1" x14ac:dyDescent="0.35">
      <c r="A1863" s="56" t="s">
        <v>3189</v>
      </c>
      <c r="B1863" s="2">
        <v>1744</v>
      </c>
      <c r="C1863" s="74">
        <v>10108238</v>
      </c>
      <c r="D1863" s="59" t="s">
        <v>1002</v>
      </c>
      <c r="E1863" s="74" t="s">
        <v>2185</v>
      </c>
      <c r="F1863" s="197">
        <v>5</v>
      </c>
      <c r="G1863" s="64" t="s">
        <v>0</v>
      </c>
      <c r="H1863" s="64" t="s">
        <v>500</v>
      </c>
      <c r="I1863" s="64" t="s">
        <v>962</v>
      </c>
      <c r="J1863" s="63" t="s">
        <v>1153</v>
      </c>
      <c r="K1863" s="63" t="s">
        <v>1002</v>
      </c>
      <c r="L1863" s="64" t="s">
        <v>845</v>
      </c>
      <c r="M1863" s="65">
        <f t="shared" si="325"/>
        <v>499910.75</v>
      </c>
      <c r="N1863" s="65">
        <f t="shared" si="326"/>
        <v>99982.15</v>
      </c>
      <c r="O1863" s="174">
        <v>499910.75</v>
      </c>
      <c r="P1863" s="65">
        <v>333550</v>
      </c>
      <c r="Q1863" s="65">
        <f t="shared" si="321"/>
        <v>73381</v>
      </c>
      <c r="R1863" s="65">
        <f t="shared" si="322"/>
        <v>406931</v>
      </c>
      <c r="S1863" s="272"/>
      <c r="T1863" s="64">
        <v>116</v>
      </c>
      <c r="U1863" s="270"/>
      <c r="V1863" s="38">
        <v>382952</v>
      </c>
      <c r="W1863" s="38">
        <f t="shared" si="323"/>
        <v>84249.44</v>
      </c>
      <c r="X1863" s="38">
        <f t="shared" si="324"/>
        <v>467201.44</v>
      </c>
    </row>
    <row r="1864" spans="1:24" ht="60" customHeight="1" x14ac:dyDescent="0.35">
      <c r="A1864" s="56" t="s">
        <v>3190</v>
      </c>
      <c r="B1864" s="2">
        <v>1745</v>
      </c>
      <c r="C1864" s="74">
        <v>10108275</v>
      </c>
      <c r="D1864" s="59" t="s">
        <v>1003</v>
      </c>
      <c r="E1864" s="74" t="s">
        <v>2185</v>
      </c>
      <c r="F1864" s="197">
        <v>7</v>
      </c>
      <c r="G1864" s="64" t="s">
        <v>0</v>
      </c>
      <c r="H1864" s="64" t="s">
        <v>500</v>
      </c>
      <c r="I1864" s="64" t="s">
        <v>962</v>
      </c>
      <c r="J1864" s="63" t="s">
        <v>1154</v>
      </c>
      <c r="K1864" s="63" t="s">
        <v>1003</v>
      </c>
      <c r="L1864" s="64" t="s">
        <v>845</v>
      </c>
      <c r="M1864" s="65">
        <f t="shared" si="325"/>
        <v>678414.31</v>
      </c>
      <c r="N1864" s="65">
        <f t="shared" si="326"/>
        <v>96916.33</v>
      </c>
      <c r="O1864" s="174">
        <v>678414.31</v>
      </c>
      <c r="P1864" s="65">
        <v>452650</v>
      </c>
      <c r="Q1864" s="65">
        <f t="shared" si="321"/>
        <v>99583</v>
      </c>
      <c r="R1864" s="65">
        <f t="shared" si="322"/>
        <v>552233</v>
      </c>
      <c r="S1864" s="272"/>
      <c r="T1864" s="64">
        <v>116</v>
      </c>
      <c r="U1864" s="270"/>
      <c r="V1864" s="38">
        <v>519692</v>
      </c>
      <c r="W1864" s="38">
        <f t="shared" si="323"/>
        <v>114332.24</v>
      </c>
      <c r="X1864" s="38">
        <f t="shared" si="324"/>
        <v>634024.24</v>
      </c>
    </row>
    <row r="1865" spans="1:24" ht="39" customHeight="1" x14ac:dyDescent="0.35">
      <c r="A1865" s="56" t="s">
        <v>3191</v>
      </c>
      <c r="B1865" s="2">
        <v>1746</v>
      </c>
      <c r="C1865" s="74">
        <v>10108302</v>
      </c>
      <c r="D1865" s="59" t="s">
        <v>1004</v>
      </c>
      <c r="E1865" s="74" t="s">
        <v>2185</v>
      </c>
      <c r="F1865" s="197">
        <v>4</v>
      </c>
      <c r="G1865" s="64" t="s">
        <v>0</v>
      </c>
      <c r="H1865" s="64" t="s">
        <v>500</v>
      </c>
      <c r="I1865" s="64" t="s">
        <v>962</v>
      </c>
      <c r="J1865" s="63" t="s">
        <v>1155</v>
      </c>
      <c r="K1865" s="63" t="s">
        <v>1004</v>
      </c>
      <c r="L1865" s="64" t="s">
        <v>845</v>
      </c>
      <c r="M1865" s="65">
        <f t="shared" si="325"/>
        <v>381822.71</v>
      </c>
      <c r="N1865" s="65">
        <f t="shared" si="326"/>
        <v>95455.679999999993</v>
      </c>
      <c r="O1865" s="174">
        <v>381822.71</v>
      </c>
      <c r="P1865" s="65">
        <v>254760</v>
      </c>
      <c r="Q1865" s="65">
        <f t="shared" si="321"/>
        <v>56047.199999999997</v>
      </c>
      <c r="R1865" s="65">
        <f t="shared" si="322"/>
        <v>310807.2</v>
      </c>
      <c r="S1865" s="272"/>
      <c r="T1865" s="64">
        <v>116</v>
      </c>
      <c r="U1865" s="270"/>
      <c r="V1865" s="38">
        <v>292491</v>
      </c>
      <c r="W1865" s="38">
        <f t="shared" si="323"/>
        <v>64348.02</v>
      </c>
      <c r="X1865" s="38">
        <f t="shared" si="324"/>
        <v>356839.02</v>
      </c>
    </row>
    <row r="1866" spans="1:24" ht="46.5" customHeight="1" x14ac:dyDescent="0.35">
      <c r="A1866" s="56" t="s">
        <v>3192</v>
      </c>
      <c r="B1866" s="2">
        <v>1747</v>
      </c>
      <c r="C1866" s="74">
        <v>10108216</v>
      </c>
      <c r="D1866" s="59" t="s">
        <v>1005</v>
      </c>
      <c r="E1866" s="74" t="s">
        <v>2185</v>
      </c>
      <c r="F1866" s="197">
        <v>8</v>
      </c>
      <c r="G1866" s="64" t="s">
        <v>0</v>
      </c>
      <c r="H1866" s="64" t="s">
        <v>500</v>
      </c>
      <c r="I1866" s="64" t="s">
        <v>962</v>
      </c>
      <c r="J1866" s="63" t="s">
        <v>1156</v>
      </c>
      <c r="K1866" s="63" t="s">
        <v>1005</v>
      </c>
      <c r="L1866" s="64" t="s">
        <v>845</v>
      </c>
      <c r="M1866" s="65">
        <f t="shared" si="325"/>
        <v>765230.97</v>
      </c>
      <c r="N1866" s="65">
        <f t="shared" si="326"/>
        <v>95653.87</v>
      </c>
      <c r="O1866" s="174">
        <v>765230.97</v>
      </c>
      <c r="P1866" s="65">
        <v>510580</v>
      </c>
      <c r="Q1866" s="65">
        <f t="shared" si="321"/>
        <v>112327.6</v>
      </c>
      <c r="R1866" s="65">
        <f t="shared" si="322"/>
        <v>622907.6</v>
      </c>
      <c r="S1866" s="272"/>
      <c r="T1866" s="64">
        <v>116</v>
      </c>
      <c r="U1866" s="270"/>
      <c r="V1866" s="38">
        <v>586198</v>
      </c>
      <c r="W1866" s="38">
        <f t="shared" si="323"/>
        <v>128963.56</v>
      </c>
      <c r="X1866" s="38">
        <f t="shared" si="324"/>
        <v>715161.56</v>
      </c>
    </row>
    <row r="1867" spans="1:24" ht="27" customHeight="1" x14ac:dyDescent="0.35">
      <c r="A1867" s="56" t="s">
        <v>3193</v>
      </c>
      <c r="B1867" s="2">
        <v>1748</v>
      </c>
      <c r="C1867" s="74">
        <v>10108283</v>
      </c>
      <c r="D1867" s="59" t="s">
        <v>1006</v>
      </c>
      <c r="E1867" s="74" t="s">
        <v>2185</v>
      </c>
      <c r="F1867" s="197">
        <v>3</v>
      </c>
      <c r="G1867" s="64" t="s">
        <v>0</v>
      </c>
      <c r="H1867" s="64" t="s">
        <v>500</v>
      </c>
      <c r="I1867" s="64" t="s">
        <v>962</v>
      </c>
      <c r="J1867" s="63" t="s">
        <v>1157</v>
      </c>
      <c r="K1867" s="63" t="s">
        <v>1006</v>
      </c>
      <c r="L1867" s="64" t="s">
        <v>845</v>
      </c>
      <c r="M1867" s="65">
        <f t="shared" si="325"/>
        <v>303532.52</v>
      </c>
      <c r="N1867" s="65">
        <f t="shared" si="326"/>
        <v>101177.51</v>
      </c>
      <c r="O1867" s="174">
        <v>303532.52</v>
      </c>
      <c r="P1867" s="65">
        <v>202520</v>
      </c>
      <c r="Q1867" s="65">
        <f t="shared" si="321"/>
        <v>44554.400000000001</v>
      </c>
      <c r="R1867" s="65">
        <f t="shared" si="322"/>
        <v>247074.4</v>
      </c>
      <c r="S1867" s="272"/>
      <c r="T1867" s="64">
        <v>116</v>
      </c>
      <c r="U1867" s="270"/>
      <c r="V1867" s="38">
        <v>232518</v>
      </c>
      <c r="W1867" s="38">
        <f t="shared" si="323"/>
        <v>51153.96</v>
      </c>
      <c r="X1867" s="38">
        <f t="shared" si="324"/>
        <v>283671.96000000002</v>
      </c>
    </row>
    <row r="1868" spans="1:24" ht="46.5" customHeight="1" x14ac:dyDescent="0.35">
      <c r="A1868" s="56" t="s">
        <v>3194</v>
      </c>
      <c r="B1868" s="2">
        <v>1749</v>
      </c>
      <c r="C1868" s="74">
        <v>10108246</v>
      </c>
      <c r="D1868" s="59" t="s">
        <v>1007</v>
      </c>
      <c r="E1868" s="74" t="s">
        <v>2185</v>
      </c>
      <c r="F1868" s="197">
        <v>8</v>
      </c>
      <c r="G1868" s="64" t="s">
        <v>0</v>
      </c>
      <c r="H1868" s="64" t="s">
        <v>500</v>
      </c>
      <c r="I1868" s="64" t="s">
        <v>962</v>
      </c>
      <c r="J1868" s="63" t="s">
        <v>1158</v>
      </c>
      <c r="K1868" s="63" t="s">
        <v>1007</v>
      </c>
      <c r="L1868" s="64" t="s">
        <v>845</v>
      </c>
      <c r="M1868" s="65">
        <f t="shared" si="325"/>
        <v>781808.8</v>
      </c>
      <c r="N1868" s="65">
        <f t="shared" si="326"/>
        <v>97726.1</v>
      </c>
      <c r="O1868" s="174">
        <v>781808.8</v>
      </c>
      <c r="P1868" s="65">
        <v>521640</v>
      </c>
      <c r="Q1868" s="65">
        <f t="shared" si="321"/>
        <v>114760.8</v>
      </c>
      <c r="R1868" s="65">
        <f t="shared" si="322"/>
        <v>636400.80000000005</v>
      </c>
      <c r="S1868" s="272"/>
      <c r="T1868" s="64">
        <v>116</v>
      </c>
      <c r="U1868" s="270"/>
      <c r="V1868" s="38">
        <v>598897</v>
      </c>
      <c r="W1868" s="38">
        <f t="shared" si="323"/>
        <v>131757.34</v>
      </c>
      <c r="X1868" s="38">
        <f t="shared" si="324"/>
        <v>730654.34</v>
      </c>
    </row>
    <row r="1869" spans="1:24" ht="43.5" customHeight="1" x14ac:dyDescent="0.35">
      <c r="A1869" s="56" t="s">
        <v>3195</v>
      </c>
      <c r="B1869" s="2">
        <v>1750</v>
      </c>
      <c r="C1869" s="74">
        <v>10108280</v>
      </c>
      <c r="D1869" s="59" t="s">
        <v>1008</v>
      </c>
      <c r="E1869" s="74" t="s">
        <v>2185</v>
      </c>
      <c r="F1869" s="197">
        <v>5</v>
      </c>
      <c r="G1869" s="64" t="s">
        <v>0</v>
      </c>
      <c r="H1869" s="64" t="s">
        <v>500</v>
      </c>
      <c r="I1869" s="64" t="s">
        <v>962</v>
      </c>
      <c r="J1869" s="63" t="s">
        <v>1159</v>
      </c>
      <c r="K1869" s="63" t="s">
        <v>1008</v>
      </c>
      <c r="L1869" s="64" t="s">
        <v>845</v>
      </c>
      <c r="M1869" s="65">
        <f t="shared" si="325"/>
        <v>518352.07</v>
      </c>
      <c r="N1869" s="65">
        <f t="shared" si="326"/>
        <v>103670.41</v>
      </c>
      <c r="O1869" s="174">
        <v>518352.07</v>
      </c>
      <c r="P1869" s="65">
        <v>345860</v>
      </c>
      <c r="Q1869" s="65">
        <f t="shared" si="321"/>
        <v>76089.2</v>
      </c>
      <c r="R1869" s="65">
        <f t="shared" si="322"/>
        <v>421949.2</v>
      </c>
      <c r="S1869" s="272"/>
      <c r="T1869" s="64">
        <v>116</v>
      </c>
      <c r="U1869" s="270"/>
      <c r="V1869" s="38">
        <v>397078</v>
      </c>
      <c r="W1869" s="38">
        <f t="shared" si="323"/>
        <v>87357.16</v>
      </c>
      <c r="X1869" s="38">
        <f t="shared" si="324"/>
        <v>484435.16</v>
      </c>
    </row>
    <row r="1870" spans="1:24" ht="32.25" customHeight="1" x14ac:dyDescent="0.35">
      <c r="A1870" s="56" t="s">
        <v>3196</v>
      </c>
      <c r="B1870" s="2">
        <v>1751</v>
      </c>
      <c r="C1870" s="74">
        <v>10108217</v>
      </c>
      <c r="D1870" s="59" t="s">
        <v>1009</v>
      </c>
      <c r="E1870" s="74" t="s">
        <v>2185</v>
      </c>
      <c r="F1870" s="197">
        <v>6</v>
      </c>
      <c r="G1870" s="64" t="s">
        <v>0</v>
      </c>
      <c r="H1870" s="64" t="s">
        <v>1123</v>
      </c>
      <c r="I1870" s="64" t="s">
        <v>962</v>
      </c>
      <c r="J1870" s="63" t="s">
        <v>1160</v>
      </c>
      <c r="K1870" s="63" t="s">
        <v>1009</v>
      </c>
      <c r="L1870" s="64" t="s">
        <v>845</v>
      </c>
      <c r="M1870" s="65">
        <f t="shared" si="325"/>
        <v>647532.39</v>
      </c>
      <c r="N1870" s="65">
        <f t="shared" si="326"/>
        <v>107922.07</v>
      </c>
      <c r="O1870" s="174">
        <v>647532.39</v>
      </c>
      <c r="P1870" s="65">
        <v>432050</v>
      </c>
      <c r="Q1870" s="65">
        <f t="shared" si="321"/>
        <v>95051</v>
      </c>
      <c r="R1870" s="65">
        <f t="shared" si="322"/>
        <v>527101</v>
      </c>
      <c r="S1870" s="272"/>
      <c r="T1870" s="64">
        <v>116</v>
      </c>
      <c r="U1870" s="270"/>
      <c r="V1870" s="38">
        <v>496036</v>
      </c>
      <c r="W1870" s="38">
        <f t="shared" si="323"/>
        <v>109127.92</v>
      </c>
      <c r="X1870" s="38">
        <f t="shared" si="324"/>
        <v>605163.92000000004</v>
      </c>
    </row>
    <row r="1871" spans="1:24" ht="42" customHeight="1" x14ac:dyDescent="0.35">
      <c r="A1871" s="56" t="s">
        <v>3197</v>
      </c>
      <c r="B1871" s="2">
        <v>1752</v>
      </c>
      <c r="C1871" s="74">
        <v>10108300</v>
      </c>
      <c r="D1871" s="59" t="s">
        <v>1010</v>
      </c>
      <c r="E1871" s="74" t="s">
        <v>2185</v>
      </c>
      <c r="F1871" s="197">
        <v>7</v>
      </c>
      <c r="G1871" s="64" t="s">
        <v>0</v>
      </c>
      <c r="H1871" s="64" t="s">
        <v>500</v>
      </c>
      <c r="I1871" s="64" t="s">
        <v>962</v>
      </c>
      <c r="J1871" s="63" t="s">
        <v>1161</v>
      </c>
      <c r="K1871" s="63" t="s">
        <v>1010</v>
      </c>
      <c r="L1871" s="64" t="s">
        <v>845</v>
      </c>
      <c r="M1871" s="65">
        <f t="shared" si="325"/>
        <v>742786.32</v>
      </c>
      <c r="N1871" s="65">
        <f t="shared" si="326"/>
        <v>106112.33</v>
      </c>
      <c r="O1871" s="174">
        <v>742786.32</v>
      </c>
      <c r="P1871" s="65">
        <v>495600</v>
      </c>
      <c r="Q1871" s="65">
        <f t="shared" si="321"/>
        <v>109032</v>
      </c>
      <c r="R1871" s="65">
        <f t="shared" si="322"/>
        <v>604632</v>
      </c>
      <c r="S1871" s="272"/>
      <c r="T1871" s="64">
        <v>116</v>
      </c>
      <c r="U1871" s="270"/>
      <c r="V1871" s="38">
        <v>569004</v>
      </c>
      <c r="W1871" s="38">
        <f t="shared" si="323"/>
        <v>125180.88</v>
      </c>
      <c r="X1871" s="38">
        <f t="shared" si="324"/>
        <v>694184.88</v>
      </c>
    </row>
    <row r="1872" spans="1:24" ht="43.5" customHeight="1" x14ac:dyDescent="0.35">
      <c r="A1872" s="56" t="s">
        <v>3198</v>
      </c>
      <c r="B1872" s="2">
        <v>1753</v>
      </c>
      <c r="C1872" s="74">
        <v>10118601</v>
      </c>
      <c r="D1872" s="59" t="s">
        <v>1011</v>
      </c>
      <c r="E1872" s="74" t="s">
        <v>2185</v>
      </c>
      <c r="F1872" s="197">
        <v>7</v>
      </c>
      <c r="G1872" s="64" t="s">
        <v>0</v>
      </c>
      <c r="H1872" s="64" t="s">
        <v>500</v>
      </c>
      <c r="I1872" s="64" t="s">
        <v>962</v>
      </c>
      <c r="J1872" s="63" t="s">
        <v>1162</v>
      </c>
      <c r="K1872" s="63" t="s">
        <v>1011</v>
      </c>
      <c r="L1872" s="64" t="s">
        <v>845</v>
      </c>
      <c r="M1872" s="65">
        <f t="shared" si="325"/>
        <v>750452.09</v>
      </c>
      <c r="N1872" s="65">
        <f t="shared" si="326"/>
        <v>107207.44</v>
      </c>
      <c r="O1872" s="174">
        <v>750452.09</v>
      </c>
      <c r="P1872" s="65">
        <v>500720</v>
      </c>
      <c r="Q1872" s="65">
        <f t="shared" si="321"/>
        <v>110158.39999999999</v>
      </c>
      <c r="R1872" s="65">
        <f t="shared" si="322"/>
        <v>610878.4</v>
      </c>
      <c r="S1872" s="272"/>
      <c r="T1872" s="64">
        <v>116</v>
      </c>
      <c r="U1872" s="270"/>
      <c r="V1872" s="38">
        <v>574876</v>
      </c>
      <c r="W1872" s="38">
        <f t="shared" si="323"/>
        <v>126472.72</v>
      </c>
      <c r="X1872" s="38">
        <f t="shared" si="324"/>
        <v>701348.72</v>
      </c>
    </row>
    <row r="1873" spans="1:24" ht="30" customHeight="1" x14ac:dyDescent="0.35">
      <c r="A1873" s="56" t="s">
        <v>3199</v>
      </c>
      <c r="B1873" s="2">
        <v>1754</v>
      </c>
      <c r="C1873" s="74">
        <v>10124640</v>
      </c>
      <c r="D1873" s="59" t="s">
        <v>424</v>
      </c>
      <c r="E1873" s="74" t="s">
        <v>2185</v>
      </c>
      <c r="F1873" s="197">
        <v>2</v>
      </c>
      <c r="G1873" s="64" t="s">
        <v>0</v>
      </c>
      <c r="H1873" s="64" t="s">
        <v>497</v>
      </c>
      <c r="I1873" s="64" t="s">
        <v>962</v>
      </c>
      <c r="J1873" s="64" t="s">
        <v>1163</v>
      </c>
      <c r="K1873" s="63" t="s">
        <v>424</v>
      </c>
      <c r="L1873" s="64" t="s">
        <v>845</v>
      </c>
      <c r="M1873" s="65">
        <f t="shared" si="325"/>
        <v>195624</v>
      </c>
      <c r="N1873" s="65">
        <f t="shared" si="326"/>
        <v>97812</v>
      </c>
      <c r="O1873" s="174">
        <v>195624</v>
      </c>
      <c r="P1873" s="65">
        <v>128050</v>
      </c>
      <c r="Q1873" s="65">
        <f t="shared" si="321"/>
        <v>28171</v>
      </c>
      <c r="R1873" s="65">
        <f t="shared" si="322"/>
        <v>156221</v>
      </c>
      <c r="S1873" s="272"/>
      <c r="T1873" s="64">
        <v>116</v>
      </c>
      <c r="U1873" s="270"/>
      <c r="V1873" s="38">
        <v>147015</v>
      </c>
      <c r="W1873" s="38">
        <f t="shared" si="323"/>
        <v>32343.3</v>
      </c>
      <c r="X1873" s="38">
        <f t="shared" si="324"/>
        <v>179358.3</v>
      </c>
    </row>
    <row r="1874" spans="1:24" ht="31.5" customHeight="1" x14ac:dyDescent="0.35">
      <c r="A1874" s="56" t="s">
        <v>3200</v>
      </c>
      <c r="B1874" s="2">
        <v>1755</v>
      </c>
      <c r="C1874" s="74">
        <v>10124579</v>
      </c>
      <c r="D1874" s="59" t="s">
        <v>395</v>
      </c>
      <c r="E1874" s="74" t="s">
        <v>2185</v>
      </c>
      <c r="F1874" s="197">
        <v>1</v>
      </c>
      <c r="G1874" s="64" t="s">
        <v>0</v>
      </c>
      <c r="H1874" s="64" t="s">
        <v>497</v>
      </c>
      <c r="I1874" s="64" t="s">
        <v>962</v>
      </c>
      <c r="J1874" s="64" t="s">
        <v>1164</v>
      </c>
      <c r="K1874" s="63" t="s">
        <v>395</v>
      </c>
      <c r="L1874" s="64" t="s">
        <v>845</v>
      </c>
      <c r="M1874" s="65">
        <f t="shared" si="325"/>
        <v>98748</v>
      </c>
      <c r="N1874" s="65">
        <f t="shared" si="326"/>
        <v>98748</v>
      </c>
      <c r="O1874" s="174">
        <v>98748</v>
      </c>
      <c r="P1874" s="65">
        <v>64640</v>
      </c>
      <c r="Q1874" s="65">
        <f t="shared" si="321"/>
        <v>14220.8</v>
      </c>
      <c r="R1874" s="65">
        <f t="shared" si="322"/>
        <v>78860.800000000003</v>
      </c>
      <c r="S1874" s="272"/>
      <c r="T1874" s="64">
        <v>116</v>
      </c>
      <c r="U1874" s="270"/>
      <c r="V1874" s="38">
        <v>74211</v>
      </c>
      <c r="W1874" s="38">
        <f t="shared" si="323"/>
        <v>16326.42</v>
      </c>
      <c r="X1874" s="38">
        <f t="shared" si="324"/>
        <v>90537.42</v>
      </c>
    </row>
    <row r="1875" spans="1:24" ht="33" customHeight="1" x14ac:dyDescent="0.35">
      <c r="A1875" s="56" t="s">
        <v>3201</v>
      </c>
      <c r="B1875" s="2">
        <v>1756</v>
      </c>
      <c r="C1875" s="74">
        <v>10124641</v>
      </c>
      <c r="D1875" s="59" t="s">
        <v>399</v>
      </c>
      <c r="E1875" s="74" t="s">
        <v>2185</v>
      </c>
      <c r="F1875" s="197">
        <v>1</v>
      </c>
      <c r="G1875" s="64" t="s">
        <v>0</v>
      </c>
      <c r="H1875" s="64" t="s">
        <v>497</v>
      </c>
      <c r="I1875" s="64" t="s">
        <v>962</v>
      </c>
      <c r="J1875" s="64" t="s">
        <v>1165</v>
      </c>
      <c r="K1875" s="63" t="s">
        <v>399</v>
      </c>
      <c r="L1875" s="64" t="s">
        <v>845</v>
      </c>
      <c r="M1875" s="65">
        <f t="shared" si="325"/>
        <v>101667</v>
      </c>
      <c r="N1875" s="65">
        <f t="shared" si="326"/>
        <v>101667</v>
      </c>
      <c r="O1875" s="174">
        <v>101667</v>
      </c>
      <c r="P1875" s="65">
        <v>66550</v>
      </c>
      <c r="Q1875" s="65">
        <f t="shared" si="321"/>
        <v>14641</v>
      </c>
      <c r="R1875" s="65">
        <f t="shared" si="322"/>
        <v>81191</v>
      </c>
      <c r="S1875" s="272"/>
      <c r="T1875" s="64">
        <v>116</v>
      </c>
      <c r="U1875" s="270"/>
      <c r="V1875" s="38">
        <v>76405</v>
      </c>
      <c r="W1875" s="38">
        <f t="shared" si="323"/>
        <v>16809.099999999999</v>
      </c>
      <c r="X1875" s="38">
        <f t="shared" si="324"/>
        <v>93214.1</v>
      </c>
    </row>
    <row r="1876" spans="1:24" ht="15" customHeight="1" x14ac:dyDescent="0.35">
      <c r="A1876" s="56" t="s">
        <v>3773</v>
      </c>
      <c r="B1876" s="2">
        <v>1757</v>
      </c>
      <c r="C1876" s="74">
        <v>102001224</v>
      </c>
      <c r="D1876" s="59" t="s">
        <v>1494</v>
      </c>
      <c r="E1876" s="59" t="s">
        <v>2167</v>
      </c>
      <c r="F1876" s="197">
        <v>1</v>
      </c>
      <c r="G1876" s="64" t="s">
        <v>0</v>
      </c>
      <c r="H1876" s="64">
        <v>2015</v>
      </c>
      <c r="I1876" s="64" t="s">
        <v>957</v>
      </c>
      <c r="J1876" s="64" t="s">
        <v>1917</v>
      </c>
      <c r="K1876" s="63" t="s">
        <v>961</v>
      </c>
      <c r="L1876" s="64" t="s">
        <v>950</v>
      </c>
      <c r="M1876" s="65">
        <f t="shared" si="325"/>
        <v>40864</v>
      </c>
      <c r="N1876" s="65">
        <f t="shared" si="326"/>
        <v>40864</v>
      </c>
      <c r="O1876" s="174">
        <v>40864</v>
      </c>
      <c r="P1876" s="65">
        <v>41670</v>
      </c>
      <c r="Q1876" s="65">
        <f t="shared" si="321"/>
        <v>9167.4</v>
      </c>
      <c r="R1876" s="65">
        <f t="shared" si="322"/>
        <v>50837.4</v>
      </c>
      <c r="S1876" s="272"/>
      <c r="T1876" s="64">
        <v>116</v>
      </c>
      <c r="U1876" s="270"/>
      <c r="V1876" s="38">
        <v>47836</v>
      </c>
      <c r="W1876" s="38">
        <f t="shared" si="323"/>
        <v>10523.92</v>
      </c>
      <c r="X1876" s="38">
        <f t="shared" si="324"/>
        <v>58359.92</v>
      </c>
    </row>
    <row r="1877" spans="1:24" ht="15" customHeight="1" x14ac:dyDescent="0.35">
      <c r="A1877" s="56" t="s">
        <v>3774</v>
      </c>
      <c r="B1877" s="2">
        <v>1758</v>
      </c>
      <c r="C1877" s="74">
        <v>102000770</v>
      </c>
      <c r="D1877" s="59" t="s">
        <v>1495</v>
      </c>
      <c r="E1877" s="59" t="s">
        <v>2167</v>
      </c>
      <c r="F1877" s="197">
        <v>1</v>
      </c>
      <c r="G1877" s="64" t="s">
        <v>0</v>
      </c>
      <c r="H1877" s="64">
        <v>2015</v>
      </c>
      <c r="I1877" s="64" t="s">
        <v>957</v>
      </c>
      <c r="J1877" s="64" t="s">
        <v>1917</v>
      </c>
      <c r="K1877" s="63" t="s">
        <v>961</v>
      </c>
      <c r="L1877" s="64" t="s">
        <v>950</v>
      </c>
      <c r="M1877" s="65">
        <f t="shared" si="325"/>
        <v>45494.400000000001</v>
      </c>
      <c r="N1877" s="65">
        <f t="shared" si="326"/>
        <v>45494.400000000001</v>
      </c>
      <c r="O1877" s="174">
        <v>45494.400000000001</v>
      </c>
      <c r="P1877" s="65">
        <v>46390</v>
      </c>
      <c r="Q1877" s="65">
        <f t="shared" si="321"/>
        <v>10205.799999999999</v>
      </c>
      <c r="R1877" s="65">
        <f t="shared" si="322"/>
        <v>56595.8</v>
      </c>
      <c r="S1877" s="272"/>
      <c r="T1877" s="64">
        <v>116</v>
      </c>
      <c r="U1877" s="270"/>
      <c r="V1877" s="38">
        <v>53257</v>
      </c>
      <c r="W1877" s="38">
        <f t="shared" si="323"/>
        <v>11716.54</v>
      </c>
      <c r="X1877" s="38">
        <f t="shared" si="324"/>
        <v>64973.54</v>
      </c>
    </row>
    <row r="1878" spans="1:24" ht="15" customHeight="1" x14ac:dyDescent="0.35">
      <c r="A1878" s="56" t="s">
        <v>3775</v>
      </c>
      <c r="B1878" s="2">
        <v>1759</v>
      </c>
      <c r="C1878" s="74">
        <v>102001121</v>
      </c>
      <c r="D1878" s="59" t="s">
        <v>1496</v>
      </c>
      <c r="E1878" s="59" t="s">
        <v>2167</v>
      </c>
      <c r="F1878" s="197">
        <v>2</v>
      </c>
      <c r="G1878" s="64" t="s">
        <v>0</v>
      </c>
      <c r="H1878" s="64">
        <v>2015</v>
      </c>
      <c r="I1878" s="64" t="s">
        <v>957</v>
      </c>
      <c r="J1878" s="64" t="s">
        <v>1917</v>
      </c>
      <c r="K1878" s="63" t="s">
        <v>961</v>
      </c>
      <c r="L1878" s="64" t="s">
        <v>950</v>
      </c>
      <c r="M1878" s="65">
        <f t="shared" si="325"/>
        <v>112976</v>
      </c>
      <c r="N1878" s="65">
        <f t="shared" si="326"/>
        <v>56488</v>
      </c>
      <c r="O1878" s="174">
        <v>112976</v>
      </c>
      <c r="P1878" s="65">
        <v>115190</v>
      </c>
      <c r="Q1878" s="65">
        <f t="shared" si="321"/>
        <v>25341.8</v>
      </c>
      <c r="R1878" s="65">
        <f t="shared" si="322"/>
        <v>140531.79999999999</v>
      </c>
      <c r="S1878" s="272"/>
      <c r="T1878" s="64">
        <v>116</v>
      </c>
      <c r="U1878" s="270"/>
      <c r="V1878" s="38">
        <v>132252</v>
      </c>
      <c r="W1878" s="38">
        <f t="shared" si="323"/>
        <v>29095.439999999999</v>
      </c>
      <c r="X1878" s="38">
        <f t="shared" si="324"/>
        <v>161347.44</v>
      </c>
    </row>
    <row r="1879" spans="1:24" ht="15" customHeight="1" x14ac:dyDescent="0.35">
      <c r="A1879" s="56" t="s">
        <v>3776</v>
      </c>
      <c r="B1879" s="2">
        <v>1760</v>
      </c>
      <c r="C1879" s="74">
        <v>10108236</v>
      </c>
      <c r="D1879" s="59" t="s">
        <v>980</v>
      </c>
      <c r="E1879" s="59" t="s">
        <v>2167</v>
      </c>
      <c r="F1879" s="197">
        <v>2</v>
      </c>
      <c r="G1879" s="64" t="s">
        <v>0</v>
      </c>
      <c r="H1879" s="64">
        <v>42004</v>
      </c>
      <c r="I1879" s="64" t="s">
        <v>957</v>
      </c>
      <c r="J1879" s="64" t="s">
        <v>1917</v>
      </c>
      <c r="K1879" s="63" t="s">
        <v>961</v>
      </c>
      <c r="L1879" s="64" t="s">
        <v>950</v>
      </c>
      <c r="M1879" s="65">
        <f t="shared" si="325"/>
        <v>57888</v>
      </c>
      <c r="N1879" s="65">
        <f t="shared" si="326"/>
        <v>28944</v>
      </c>
      <c r="O1879" s="174">
        <v>57888</v>
      </c>
      <c r="P1879" s="65">
        <v>62790</v>
      </c>
      <c r="Q1879" s="65">
        <f t="shared" si="321"/>
        <v>13813.8</v>
      </c>
      <c r="R1879" s="65">
        <f t="shared" si="322"/>
        <v>76603.8</v>
      </c>
      <c r="S1879" s="272"/>
      <c r="T1879" s="64">
        <v>116</v>
      </c>
      <c r="U1879" s="270"/>
      <c r="V1879" s="38">
        <v>72095</v>
      </c>
      <c r="W1879" s="38">
        <f t="shared" si="323"/>
        <v>15860.9</v>
      </c>
      <c r="X1879" s="38">
        <f t="shared" si="324"/>
        <v>87955.9</v>
      </c>
    </row>
    <row r="1880" spans="1:24" ht="15" customHeight="1" x14ac:dyDescent="0.35">
      <c r="A1880" s="56" t="s">
        <v>3777</v>
      </c>
      <c r="B1880" s="2">
        <v>1761</v>
      </c>
      <c r="C1880" s="74">
        <v>10118595</v>
      </c>
      <c r="D1880" s="59" t="s">
        <v>1858</v>
      </c>
      <c r="E1880" s="59" t="s">
        <v>2167</v>
      </c>
      <c r="F1880" s="197">
        <v>1</v>
      </c>
      <c r="G1880" s="64" t="s">
        <v>0</v>
      </c>
      <c r="H1880" s="64">
        <v>42004</v>
      </c>
      <c r="I1880" s="64" t="s">
        <v>957</v>
      </c>
      <c r="J1880" s="64" t="s">
        <v>1917</v>
      </c>
      <c r="K1880" s="63" t="s">
        <v>961</v>
      </c>
      <c r="L1880" s="64" t="s">
        <v>950</v>
      </c>
      <c r="M1880" s="65">
        <f t="shared" si="325"/>
        <v>137373</v>
      </c>
      <c r="N1880" s="65">
        <f t="shared" si="326"/>
        <v>137373</v>
      </c>
      <c r="O1880" s="174">
        <v>137373</v>
      </c>
      <c r="P1880" s="65">
        <v>149020</v>
      </c>
      <c r="Q1880" s="65">
        <f t="shared" si="321"/>
        <v>32784.400000000001</v>
      </c>
      <c r="R1880" s="65">
        <f t="shared" si="322"/>
        <v>181804.4</v>
      </c>
      <c r="S1880" s="272"/>
      <c r="T1880" s="64">
        <v>116</v>
      </c>
      <c r="U1880" s="270"/>
      <c r="V1880" s="38">
        <v>171087</v>
      </c>
      <c r="W1880" s="38">
        <f t="shared" si="323"/>
        <v>37639.14</v>
      </c>
      <c r="X1880" s="38">
        <f t="shared" si="324"/>
        <v>208726.14</v>
      </c>
    </row>
    <row r="1881" spans="1:24" ht="15" customHeight="1" x14ac:dyDescent="0.35">
      <c r="A1881" s="56" t="s">
        <v>3781</v>
      </c>
      <c r="B1881" s="2">
        <v>1762</v>
      </c>
      <c r="C1881" s="74">
        <v>102002262</v>
      </c>
      <c r="D1881" s="59" t="s">
        <v>405</v>
      </c>
      <c r="E1881" s="74" t="s">
        <v>2185</v>
      </c>
      <c r="F1881" s="197">
        <v>1</v>
      </c>
      <c r="G1881" s="64" t="s">
        <v>0</v>
      </c>
      <c r="H1881" s="64">
        <v>42824</v>
      </c>
      <c r="I1881" s="64" t="s">
        <v>962</v>
      </c>
      <c r="J1881" s="64" t="s">
        <v>1917</v>
      </c>
      <c r="K1881" s="63" t="s">
        <v>961</v>
      </c>
      <c r="L1881" s="64" t="s">
        <v>2093</v>
      </c>
      <c r="M1881" s="65">
        <f t="shared" si="325"/>
        <v>24295.15</v>
      </c>
      <c r="N1881" s="65">
        <f t="shared" si="326"/>
        <v>24295.15</v>
      </c>
      <c r="O1881" s="174">
        <v>24295.15</v>
      </c>
      <c r="P1881" s="65">
        <v>13440</v>
      </c>
      <c r="Q1881" s="65">
        <f t="shared" si="321"/>
        <v>2956.8</v>
      </c>
      <c r="R1881" s="65">
        <f t="shared" si="322"/>
        <v>16396.8</v>
      </c>
      <c r="S1881" s="272"/>
      <c r="T1881" s="64">
        <v>116</v>
      </c>
      <c r="U1881" s="270"/>
      <c r="V1881" s="38">
        <v>15425</v>
      </c>
      <c r="W1881" s="38">
        <f t="shared" si="323"/>
        <v>3393.5</v>
      </c>
      <c r="X1881" s="38">
        <f t="shared" si="324"/>
        <v>18818.5</v>
      </c>
    </row>
    <row r="1882" spans="1:24" ht="15" customHeight="1" x14ac:dyDescent="0.35">
      <c r="A1882" s="56" t="s">
        <v>3784</v>
      </c>
      <c r="B1882" s="2">
        <v>1763</v>
      </c>
      <c r="C1882" s="74">
        <v>102002323</v>
      </c>
      <c r="D1882" s="59" t="s">
        <v>414</v>
      </c>
      <c r="E1882" s="74" t="s">
        <v>2185</v>
      </c>
      <c r="F1882" s="197">
        <v>1</v>
      </c>
      <c r="G1882" s="64" t="s">
        <v>0</v>
      </c>
      <c r="H1882" s="64" t="s">
        <v>2145</v>
      </c>
      <c r="I1882" s="64" t="s">
        <v>962</v>
      </c>
      <c r="J1882" s="64" t="s">
        <v>1917</v>
      </c>
      <c r="K1882" s="63" t="s">
        <v>961</v>
      </c>
      <c r="L1882" s="64" t="s">
        <v>2093</v>
      </c>
      <c r="M1882" s="65">
        <f t="shared" si="325"/>
        <v>19008.98</v>
      </c>
      <c r="N1882" s="65">
        <f t="shared" si="326"/>
        <v>19008.98</v>
      </c>
      <c r="O1882" s="174">
        <v>19008.98</v>
      </c>
      <c r="P1882" s="65">
        <v>13600</v>
      </c>
      <c r="Q1882" s="65">
        <f t="shared" si="321"/>
        <v>2992</v>
      </c>
      <c r="R1882" s="65">
        <f t="shared" si="322"/>
        <v>16592</v>
      </c>
      <c r="S1882" s="272"/>
      <c r="T1882" s="64">
        <v>116</v>
      </c>
      <c r="U1882" s="270"/>
      <c r="V1882" s="38">
        <v>15616</v>
      </c>
      <c r="W1882" s="38">
        <f t="shared" si="323"/>
        <v>3435.52</v>
      </c>
      <c r="X1882" s="38">
        <f t="shared" si="324"/>
        <v>19051.52</v>
      </c>
    </row>
    <row r="1883" spans="1:24" ht="15" customHeight="1" x14ac:dyDescent="0.35">
      <c r="A1883" s="56" t="s">
        <v>3787</v>
      </c>
      <c r="B1883" s="2">
        <v>1764</v>
      </c>
      <c r="C1883" s="74">
        <v>102002256</v>
      </c>
      <c r="D1883" s="59" t="s">
        <v>430</v>
      </c>
      <c r="E1883" s="74" t="s">
        <v>2185</v>
      </c>
      <c r="F1883" s="197">
        <v>2</v>
      </c>
      <c r="G1883" s="64" t="s">
        <v>0</v>
      </c>
      <c r="H1883" s="64" t="s">
        <v>2145</v>
      </c>
      <c r="I1883" s="64" t="s">
        <v>962</v>
      </c>
      <c r="J1883" s="64" t="s">
        <v>1917</v>
      </c>
      <c r="K1883" s="63" t="s">
        <v>961</v>
      </c>
      <c r="L1883" s="64" t="s">
        <v>2093</v>
      </c>
      <c r="M1883" s="65">
        <f t="shared" si="325"/>
        <v>35528.75</v>
      </c>
      <c r="N1883" s="65">
        <f t="shared" si="326"/>
        <v>17764.38</v>
      </c>
      <c r="O1883" s="174">
        <v>35528.75</v>
      </c>
      <c r="P1883" s="65">
        <v>25420</v>
      </c>
      <c r="Q1883" s="65">
        <f t="shared" si="321"/>
        <v>5592.4</v>
      </c>
      <c r="R1883" s="65">
        <f t="shared" si="322"/>
        <v>31012.400000000001</v>
      </c>
      <c r="S1883" s="272"/>
      <c r="T1883" s="64">
        <v>116</v>
      </c>
      <c r="U1883" s="270"/>
      <c r="V1883" s="38">
        <v>29186</v>
      </c>
      <c r="W1883" s="38">
        <f t="shared" si="323"/>
        <v>6420.92</v>
      </c>
      <c r="X1883" s="38">
        <f t="shared" si="324"/>
        <v>35606.92</v>
      </c>
    </row>
    <row r="1884" spans="1:24" ht="15" customHeight="1" x14ac:dyDescent="0.35">
      <c r="A1884" s="56" t="s">
        <v>3795</v>
      </c>
      <c r="B1884" s="2">
        <v>1765</v>
      </c>
      <c r="C1884" s="74">
        <v>102002258</v>
      </c>
      <c r="D1884" s="59" t="s">
        <v>456</v>
      </c>
      <c r="E1884" s="74" t="s">
        <v>2185</v>
      </c>
      <c r="F1884" s="197">
        <v>5</v>
      </c>
      <c r="G1884" s="64" t="s">
        <v>0</v>
      </c>
      <c r="H1884" s="64">
        <v>42824</v>
      </c>
      <c r="I1884" s="64" t="s">
        <v>962</v>
      </c>
      <c r="J1884" s="64" t="s">
        <v>1917</v>
      </c>
      <c r="K1884" s="63" t="s">
        <v>961</v>
      </c>
      <c r="L1884" s="64" t="s">
        <v>2093</v>
      </c>
      <c r="M1884" s="65">
        <f t="shared" si="325"/>
        <v>106790.33</v>
      </c>
      <c r="N1884" s="65">
        <f t="shared" si="326"/>
        <v>21358.07</v>
      </c>
      <c r="O1884" s="174">
        <v>106790.33</v>
      </c>
      <c r="P1884" s="65">
        <v>59060</v>
      </c>
      <c r="Q1884" s="65">
        <f t="shared" si="321"/>
        <v>12993.2</v>
      </c>
      <c r="R1884" s="65">
        <f t="shared" si="322"/>
        <v>72053.2</v>
      </c>
      <c r="S1884" s="272"/>
      <c r="T1884" s="64">
        <v>116</v>
      </c>
      <c r="U1884" s="270"/>
      <c r="V1884" s="38">
        <v>67803</v>
      </c>
      <c r="W1884" s="38">
        <f t="shared" si="323"/>
        <v>14916.66</v>
      </c>
      <c r="X1884" s="38">
        <f t="shared" si="324"/>
        <v>82719.66</v>
      </c>
    </row>
    <row r="1885" spans="1:24" ht="81.75" customHeight="1" x14ac:dyDescent="0.35">
      <c r="A1885" s="56" t="s">
        <v>3808</v>
      </c>
      <c r="B1885" s="2">
        <v>1766</v>
      </c>
      <c r="C1885" s="74">
        <v>10153385</v>
      </c>
      <c r="D1885" s="59" t="s">
        <v>478</v>
      </c>
      <c r="E1885" s="74" t="s">
        <v>2185</v>
      </c>
      <c r="F1885" s="197">
        <v>18</v>
      </c>
      <c r="G1885" s="64" t="s">
        <v>0</v>
      </c>
      <c r="H1885" s="64" t="s">
        <v>493</v>
      </c>
      <c r="I1885" s="64" t="s">
        <v>962</v>
      </c>
      <c r="J1885" s="63" t="s">
        <v>2227</v>
      </c>
      <c r="K1885" s="63" t="s">
        <v>478</v>
      </c>
      <c r="L1885" s="64" t="s">
        <v>845</v>
      </c>
      <c r="M1885" s="65">
        <f t="shared" si="325"/>
        <v>661320</v>
      </c>
      <c r="N1885" s="65">
        <f t="shared" si="326"/>
        <v>36740</v>
      </c>
      <c r="O1885" s="174">
        <v>661320</v>
      </c>
      <c r="P1885" s="65">
        <v>434150</v>
      </c>
      <c r="Q1885" s="65">
        <f t="shared" si="321"/>
        <v>95513</v>
      </c>
      <c r="R1885" s="65">
        <f t="shared" si="322"/>
        <v>529663</v>
      </c>
      <c r="S1885" s="272"/>
      <c r="T1885" s="64">
        <v>116</v>
      </c>
      <c r="U1885" s="270"/>
      <c r="V1885" s="38">
        <v>498450</v>
      </c>
      <c r="W1885" s="38">
        <f t="shared" si="323"/>
        <v>109659</v>
      </c>
      <c r="X1885" s="38">
        <f t="shared" si="324"/>
        <v>608109</v>
      </c>
    </row>
    <row r="1886" spans="1:24" ht="31.5" customHeight="1" x14ac:dyDescent="0.35">
      <c r="A1886" s="56" t="s">
        <v>3809</v>
      </c>
      <c r="B1886" s="2">
        <v>1767</v>
      </c>
      <c r="C1886" s="74">
        <v>10118626</v>
      </c>
      <c r="D1886" s="59" t="s">
        <v>978</v>
      </c>
      <c r="E1886" s="74" t="s">
        <v>2185</v>
      </c>
      <c r="F1886" s="197">
        <v>2</v>
      </c>
      <c r="G1886" s="64" t="s">
        <v>0</v>
      </c>
      <c r="H1886" s="64" t="s">
        <v>500</v>
      </c>
      <c r="I1886" s="64" t="s">
        <v>962</v>
      </c>
      <c r="J1886" s="63" t="s">
        <v>2229</v>
      </c>
      <c r="K1886" s="63" t="s">
        <v>978</v>
      </c>
      <c r="L1886" s="64" t="s">
        <v>845</v>
      </c>
      <c r="M1886" s="65">
        <f t="shared" si="325"/>
        <v>91937.26</v>
      </c>
      <c r="N1886" s="65">
        <f t="shared" si="326"/>
        <v>45968.63</v>
      </c>
      <c r="O1886" s="174">
        <v>91937.26</v>
      </c>
      <c r="P1886" s="65">
        <v>61340</v>
      </c>
      <c r="Q1886" s="65">
        <f t="shared" si="321"/>
        <v>13494.8</v>
      </c>
      <c r="R1886" s="65">
        <f t="shared" si="322"/>
        <v>74834.8</v>
      </c>
      <c r="S1886" s="272"/>
      <c r="T1886" s="64">
        <v>116</v>
      </c>
      <c r="U1886" s="270"/>
      <c r="V1886" s="38">
        <v>70428</v>
      </c>
      <c r="W1886" s="38">
        <f t="shared" si="323"/>
        <v>15494.16</v>
      </c>
      <c r="X1886" s="38">
        <f t="shared" si="324"/>
        <v>85922.16</v>
      </c>
    </row>
    <row r="1887" spans="1:24" ht="33" customHeight="1" x14ac:dyDescent="0.35">
      <c r="A1887" s="56" t="s">
        <v>3810</v>
      </c>
      <c r="B1887" s="2">
        <v>1768</v>
      </c>
      <c r="C1887" s="74">
        <v>10108178</v>
      </c>
      <c r="D1887" s="59" t="s">
        <v>979</v>
      </c>
      <c r="E1887" s="74" t="s">
        <v>2185</v>
      </c>
      <c r="F1887" s="197">
        <v>1</v>
      </c>
      <c r="G1887" s="64" t="s">
        <v>0</v>
      </c>
      <c r="H1887" s="64" t="s">
        <v>500</v>
      </c>
      <c r="I1887" s="64" t="s">
        <v>962</v>
      </c>
      <c r="J1887" s="63" t="s">
        <v>2230</v>
      </c>
      <c r="K1887" s="63" t="s">
        <v>979</v>
      </c>
      <c r="L1887" s="64" t="s">
        <v>845</v>
      </c>
      <c r="M1887" s="65">
        <f t="shared" si="325"/>
        <v>28740.959999999999</v>
      </c>
      <c r="N1887" s="65">
        <f t="shared" si="326"/>
        <v>28740.959999999999</v>
      </c>
      <c r="O1887" s="174">
        <v>28740.959999999999</v>
      </c>
      <c r="P1887" s="65">
        <v>19180</v>
      </c>
      <c r="Q1887" s="65">
        <f t="shared" si="321"/>
        <v>4219.6000000000004</v>
      </c>
      <c r="R1887" s="65">
        <f t="shared" si="322"/>
        <v>23399.599999999999</v>
      </c>
      <c r="S1887" s="272"/>
      <c r="T1887" s="64">
        <v>116</v>
      </c>
      <c r="U1887" s="270"/>
      <c r="V1887" s="38">
        <v>22017</v>
      </c>
      <c r="W1887" s="38">
        <f t="shared" si="323"/>
        <v>4843.74</v>
      </c>
      <c r="X1887" s="38">
        <f t="shared" si="324"/>
        <v>26860.74</v>
      </c>
    </row>
    <row r="1888" spans="1:24" ht="32.25" customHeight="1" x14ac:dyDescent="0.35">
      <c r="A1888" s="56" t="s">
        <v>3811</v>
      </c>
      <c r="B1888" s="2">
        <v>1769</v>
      </c>
      <c r="C1888" s="74">
        <v>10108236</v>
      </c>
      <c r="D1888" s="59" t="s">
        <v>980</v>
      </c>
      <c r="E1888" s="74" t="s">
        <v>2185</v>
      </c>
      <c r="F1888" s="197">
        <v>4</v>
      </c>
      <c r="G1888" s="64" t="s">
        <v>0</v>
      </c>
      <c r="H1888" s="64" t="s">
        <v>500</v>
      </c>
      <c r="I1888" s="64" t="s">
        <v>962</v>
      </c>
      <c r="J1888" s="63" t="s">
        <v>2228</v>
      </c>
      <c r="K1888" s="63" t="s">
        <v>980</v>
      </c>
      <c r="L1888" s="64" t="s">
        <v>845</v>
      </c>
      <c r="M1888" s="65">
        <f t="shared" si="325"/>
        <v>115776</v>
      </c>
      <c r="N1888" s="65">
        <f t="shared" si="326"/>
        <v>28944</v>
      </c>
      <c r="O1888" s="174">
        <v>115776</v>
      </c>
      <c r="P1888" s="65">
        <v>73880</v>
      </c>
      <c r="Q1888" s="65">
        <f t="shared" si="321"/>
        <v>16253.6</v>
      </c>
      <c r="R1888" s="65">
        <f t="shared" si="322"/>
        <v>90133.6</v>
      </c>
      <c r="S1888" s="272"/>
      <c r="T1888" s="64">
        <v>116</v>
      </c>
      <c r="U1888" s="270"/>
      <c r="V1888" s="38">
        <v>84818</v>
      </c>
      <c r="W1888" s="38">
        <f t="shared" si="323"/>
        <v>18659.96</v>
      </c>
      <c r="X1888" s="38">
        <f t="shared" si="324"/>
        <v>103477.96</v>
      </c>
    </row>
    <row r="1889" spans="1:24" ht="30" customHeight="1" x14ac:dyDescent="0.35">
      <c r="A1889" s="56" t="s">
        <v>3812</v>
      </c>
      <c r="B1889" s="2">
        <v>1770</v>
      </c>
      <c r="C1889" s="74">
        <v>10108179</v>
      </c>
      <c r="D1889" s="59" t="s">
        <v>44</v>
      </c>
      <c r="E1889" s="74" t="s">
        <v>2185</v>
      </c>
      <c r="F1889" s="197">
        <v>2</v>
      </c>
      <c r="G1889" s="64" t="s">
        <v>0</v>
      </c>
      <c r="H1889" s="64" t="s">
        <v>495</v>
      </c>
      <c r="I1889" s="64" t="s">
        <v>962</v>
      </c>
      <c r="J1889" s="63" t="s">
        <v>2231</v>
      </c>
      <c r="K1889" s="63" t="s">
        <v>44</v>
      </c>
      <c r="L1889" s="64" t="s">
        <v>845</v>
      </c>
      <c r="M1889" s="65">
        <f t="shared" si="325"/>
        <v>62694</v>
      </c>
      <c r="N1889" s="65">
        <f t="shared" si="326"/>
        <v>31347</v>
      </c>
      <c r="O1889" s="174">
        <v>62694</v>
      </c>
      <c r="P1889" s="65">
        <v>44860</v>
      </c>
      <c r="Q1889" s="65">
        <f t="shared" si="321"/>
        <v>9869.2000000000007</v>
      </c>
      <c r="R1889" s="65">
        <f t="shared" si="322"/>
        <v>54729.2</v>
      </c>
      <c r="S1889" s="272"/>
      <c r="T1889" s="64">
        <v>116</v>
      </c>
      <c r="U1889" s="270"/>
      <c r="V1889" s="38">
        <v>51502</v>
      </c>
      <c r="W1889" s="38">
        <f t="shared" si="323"/>
        <v>11330.44</v>
      </c>
      <c r="X1889" s="38">
        <f t="shared" si="324"/>
        <v>62832.44</v>
      </c>
    </row>
    <row r="1890" spans="1:24" ht="29.25" customHeight="1" x14ac:dyDescent="0.35">
      <c r="A1890" s="56" t="s">
        <v>3857</v>
      </c>
      <c r="B1890" s="2">
        <v>1771</v>
      </c>
      <c r="C1890" s="74">
        <v>10108179</v>
      </c>
      <c r="D1890" s="59" t="s">
        <v>44</v>
      </c>
      <c r="E1890" s="59" t="s">
        <v>2167</v>
      </c>
      <c r="F1890" s="197">
        <v>2</v>
      </c>
      <c r="G1890" s="64" t="s">
        <v>0</v>
      </c>
      <c r="H1890" s="64" t="s">
        <v>494</v>
      </c>
      <c r="I1890" s="64" t="s">
        <v>957</v>
      </c>
      <c r="J1890" s="63" t="s">
        <v>2219</v>
      </c>
      <c r="K1890" s="63" t="s">
        <v>1984</v>
      </c>
      <c r="L1890" s="64" t="s">
        <v>2097</v>
      </c>
      <c r="M1890" s="65">
        <f t="shared" si="325"/>
        <v>62694</v>
      </c>
      <c r="N1890" s="65">
        <f t="shared" si="326"/>
        <v>31347</v>
      </c>
      <c r="O1890" s="174">
        <v>62694</v>
      </c>
      <c r="P1890" s="65">
        <v>65040</v>
      </c>
      <c r="Q1890" s="65">
        <f t="shared" si="321"/>
        <v>14308.8</v>
      </c>
      <c r="R1890" s="65">
        <f t="shared" si="322"/>
        <v>79348.800000000003</v>
      </c>
      <c r="S1890" s="276"/>
      <c r="T1890" s="64">
        <v>116</v>
      </c>
      <c r="U1890" s="270"/>
      <c r="V1890" s="38">
        <v>74678</v>
      </c>
      <c r="W1890" s="38">
        <f t="shared" si="323"/>
        <v>16429.16</v>
      </c>
      <c r="X1890" s="38">
        <f t="shared" si="324"/>
        <v>91107.16</v>
      </c>
    </row>
    <row r="1891" spans="1:24" ht="15" customHeight="1" x14ac:dyDescent="0.35">
      <c r="A1891" s="56"/>
      <c r="B1891" s="15"/>
      <c r="C1891" s="64"/>
      <c r="D1891" s="64"/>
      <c r="E1891" s="64"/>
      <c r="F1891" s="197"/>
      <c r="G1891" s="64"/>
      <c r="H1891" s="64"/>
      <c r="I1891" s="64"/>
      <c r="J1891" s="64"/>
      <c r="K1891" s="64"/>
      <c r="L1891" s="64"/>
      <c r="M1891" s="64"/>
      <c r="N1891" s="64"/>
      <c r="O1891" s="195">
        <f>SUM(O1793:O1890)</f>
        <v>21097458.899999999</v>
      </c>
      <c r="P1891" s="195">
        <f t="shared" ref="P1891:R1891" si="327">SUM(P1793:P1890)</f>
        <v>14282440</v>
      </c>
      <c r="Q1891" s="195">
        <f t="shared" si="327"/>
        <v>3142136.8</v>
      </c>
      <c r="R1891" s="195">
        <f t="shared" si="327"/>
        <v>17424576.800000001</v>
      </c>
      <c r="S1891" s="72">
        <f>R1891/100*10</f>
        <v>1742457.68</v>
      </c>
      <c r="T1891" s="73">
        <v>116</v>
      </c>
      <c r="U1891" s="271"/>
      <c r="V1891" s="38"/>
      <c r="W1891" s="38"/>
      <c r="X1891" s="38"/>
    </row>
    <row r="1892" spans="1:24" ht="32.25" customHeight="1" x14ac:dyDescent="0.35">
      <c r="A1892" s="56" t="s">
        <v>4135</v>
      </c>
      <c r="B1892" s="2">
        <v>1772</v>
      </c>
      <c r="C1892" s="74">
        <v>102013012</v>
      </c>
      <c r="D1892" s="105" t="s">
        <v>4086</v>
      </c>
      <c r="E1892" s="240" t="s">
        <v>4116</v>
      </c>
      <c r="F1892" s="197">
        <v>1</v>
      </c>
      <c r="G1892" s="64" t="s">
        <v>0</v>
      </c>
      <c r="H1892" s="115" t="s">
        <v>4097</v>
      </c>
      <c r="I1892" s="64" t="s">
        <v>1316</v>
      </c>
      <c r="J1892" s="241" t="s">
        <v>959</v>
      </c>
      <c r="K1892" s="63" t="s">
        <v>4101</v>
      </c>
      <c r="L1892" s="64" t="s">
        <v>950</v>
      </c>
      <c r="M1892" s="209">
        <v>87461.25</v>
      </c>
      <c r="N1892" s="209">
        <f>O1892/F1892</f>
        <v>87461.25</v>
      </c>
      <c r="O1892" s="209">
        <v>87461.25</v>
      </c>
      <c r="P1892" s="65">
        <v>87130</v>
      </c>
      <c r="Q1892" s="65">
        <f t="shared" si="321"/>
        <v>19168.599999999999</v>
      </c>
      <c r="R1892" s="65">
        <f t="shared" si="322"/>
        <v>106298.6</v>
      </c>
      <c r="S1892" s="267"/>
      <c r="T1892" s="64">
        <v>117</v>
      </c>
      <c r="U1892" s="273" t="s">
        <v>4159</v>
      </c>
      <c r="V1892" s="38">
        <v>97346</v>
      </c>
      <c r="W1892" s="38">
        <f t="shared" si="323"/>
        <v>21416.12</v>
      </c>
      <c r="X1892" s="38">
        <f t="shared" si="324"/>
        <v>118762.12</v>
      </c>
    </row>
    <row r="1893" spans="1:24" ht="31.5" customHeight="1" x14ac:dyDescent="0.35">
      <c r="A1893" s="56" t="s">
        <v>4136</v>
      </c>
      <c r="B1893" s="2">
        <v>1773</v>
      </c>
      <c r="C1893" s="74">
        <v>102011823</v>
      </c>
      <c r="D1893" s="105" t="s">
        <v>4087</v>
      </c>
      <c r="E1893" s="240" t="s">
        <v>4116</v>
      </c>
      <c r="F1893" s="197">
        <v>1</v>
      </c>
      <c r="G1893" s="64" t="s">
        <v>0</v>
      </c>
      <c r="H1893" s="115" t="s">
        <v>4098</v>
      </c>
      <c r="I1893" s="64" t="s">
        <v>1316</v>
      </c>
      <c r="J1893" s="241" t="s">
        <v>959</v>
      </c>
      <c r="K1893" s="63" t="s">
        <v>4102</v>
      </c>
      <c r="L1893" s="64" t="s">
        <v>950</v>
      </c>
      <c r="M1893" s="209">
        <v>124182.57</v>
      </c>
      <c r="N1893" s="209">
        <f t="shared" ref="N1893:N1905" si="328">O1893/F1893</f>
        <v>124182.57</v>
      </c>
      <c r="O1893" s="209">
        <v>124182.57</v>
      </c>
      <c r="P1893" s="65">
        <v>123710</v>
      </c>
      <c r="Q1893" s="65">
        <f t="shared" si="321"/>
        <v>27216.2</v>
      </c>
      <c r="R1893" s="65">
        <f t="shared" si="322"/>
        <v>150926.20000000001</v>
      </c>
      <c r="S1893" s="272"/>
      <c r="T1893" s="64">
        <v>117</v>
      </c>
      <c r="U1893" s="270"/>
      <c r="V1893" s="38">
        <v>138218</v>
      </c>
      <c r="W1893" s="38">
        <f t="shared" si="323"/>
        <v>30407.96</v>
      </c>
      <c r="X1893" s="38">
        <f t="shared" si="324"/>
        <v>168625.96</v>
      </c>
    </row>
    <row r="1894" spans="1:24" ht="29.25" customHeight="1" x14ac:dyDescent="0.35">
      <c r="A1894" s="56" t="s">
        <v>4137</v>
      </c>
      <c r="B1894" s="2">
        <v>1774</v>
      </c>
      <c r="C1894" s="74">
        <v>102012950</v>
      </c>
      <c r="D1894" s="105" t="s">
        <v>4088</v>
      </c>
      <c r="E1894" s="240" t="s">
        <v>4116</v>
      </c>
      <c r="F1894" s="197">
        <v>1</v>
      </c>
      <c r="G1894" s="64" t="s">
        <v>0</v>
      </c>
      <c r="H1894" s="115" t="s">
        <v>4099</v>
      </c>
      <c r="I1894" s="64" t="s">
        <v>1316</v>
      </c>
      <c r="J1894" s="241" t="s">
        <v>959</v>
      </c>
      <c r="K1894" s="63" t="s">
        <v>4103</v>
      </c>
      <c r="L1894" s="64" t="s">
        <v>950</v>
      </c>
      <c r="M1894" s="209">
        <v>118537.9</v>
      </c>
      <c r="N1894" s="209">
        <f t="shared" si="328"/>
        <v>118537.9</v>
      </c>
      <c r="O1894" s="209">
        <v>118537.9</v>
      </c>
      <c r="P1894" s="65">
        <v>88490</v>
      </c>
      <c r="Q1894" s="65">
        <f t="shared" si="321"/>
        <v>19467.8</v>
      </c>
      <c r="R1894" s="65">
        <f t="shared" si="322"/>
        <v>107957.8</v>
      </c>
      <c r="S1894" s="272"/>
      <c r="T1894" s="64">
        <v>117</v>
      </c>
      <c r="U1894" s="270"/>
      <c r="V1894" s="38">
        <v>98868</v>
      </c>
      <c r="W1894" s="38">
        <f t="shared" si="323"/>
        <v>21750.959999999999</v>
      </c>
      <c r="X1894" s="38">
        <f t="shared" si="324"/>
        <v>120618.96</v>
      </c>
    </row>
    <row r="1895" spans="1:24" ht="50.25" customHeight="1" x14ac:dyDescent="0.35">
      <c r="A1895" s="56" t="s">
        <v>4138</v>
      </c>
      <c r="B1895" s="2">
        <v>1775</v>
      </c>
      <c r="C1895" s="74">
        <v>102011831</v>
      </c>
      <c r="D1895" s="105" t="s">
        <v>4089</v>
      </c>
      <c r="E1895" s="240" t="s">
        <v>4116</v>
      </c>
      <c r="F1895" s="197">
        <v>1</v>
      </c>
      <c r="G1895" s="64" t="s">
        <v>0</v>
      </c>
      <c r="H1895" s="115" t="s">
        <v>4099</v>
      </c>
      <c r="I1895" s="64" t="s">
        <v>1316</v>
      </c>
      <c r="J1895" s="241" t="s">
        <v>959</v>
      </c>
      <c r="K1895" s="63" t="s">
        <v>4104</v>
      </c>
      <c r="L1895" s="64" t="s">
        <v>950</v>
      </c>
      <c r="M1895" s="209">
        <v>6625.17</v>
      </c>
      <c r="N1895" s="209">
        <f t="shared" si="328"/>
        <v>6625.17</v>
      </c>
      <c r="O1895" s="209">
        <v>6625.17</v>
      </c>
      <c r="P1895" s="65">
        <v>4930</v>
      </c>
      <c r="Q1895" s="65">
        <f t="shared" si="321"/>
        <v>1084.5999999999999</v>
      </c>
      <c r="R1895" s="65">
        <f t="shared" si="322"/>
        <v>6014.6</v>
      </c>
      <c r="S1895" s="272"/>
      <c r="T1895" s="64">
        <v>117</v>
      </c>
      <c r="U1895" s="270"/>
      <c r="V1895" s="38">
        <v>5511</v>
      </c>
      <c r="W1895" s="38">
        <f t="shared" si="323"/>
        <v>1212.42</v>
      </c>
      <c r="X1895" s="38">
        <f t="shared" si="324"/>
        <v>6723.42</v>
      </c>
    </row>
    <row r="1896" spans="1:24" ht="38.25" customHeight="1" x14ac:dyDescent="0.35">
      <c r="A1896" s="56" t="s">
        <v>4139</v>
      </c>
      <c r="B1896" s="2">
        <v>1776</v>
      </c>
      <c r="C1896" s="74">
        <v>102011748</v>
      </c>
      <c r="D1896" s="105" t="s">
        <v>4090</v>
      </c>
      <c r="E1896" s="240" t="s">
        <v>4116</v>
      </c>
      <c r="F1896" s="197">
        <v>1</v>
      </c>
      <c r="G1896" s="64" t="s">
        <v>0</v>
      </c>
      <c r="H1896" s="115" t="s">
        <v>4097</v>
      </c>
      <c r="I1896" s="64" t="s">
        <v>1316</v>
      </c>
      <c r="J1896" s="241" t="s">
        <v>959</v>
      </c>
      <c r="K1896" s="63" t="s">
        <v>4105</v>
      </c>
      <c r="L1896" s="64" t="s">
        <v>950</v>
      </c>
      <c r="M1896" s="209">
        <v>167851.16</v>
      </c>
      <c r="N1896" s="209">
        <f t="shared" si="328"/>
        <v>167851.16</v>
      </c>
      <c r="O1896" s="209">
        <v>167851.16</v>
      </c>
      <c r="P1896" s="65">
        <v>225850</v>
      </c>
      <c r="Q1896" s="65">
        <f t="shared" si="321"/>
        <v>49687</v>
      </c>
      <c r="R1896" s="65">
        <f t="shared" si="322"/>
        <v>275537</v>
      </c>
      <c r="S1896" s="272"/>
      <c r="T1896" s="64">
        <v>117</v>
      </c>
      <c r="U1896" s="270"/>
      <c r="V1896" s="38">
        <v>252346</v>
      </c>
      <c r="W1896" s="38">
        <f t="shared" si="323"/>
        <v>55516.12</v>
      </c>
      <c r="X1896" s="38">
        <f t="shared" si="324"/>
        <v>307862.12</v>
      </c>
    </row>
    <row r="1897" spans="1:24" ht="33" customHeight="1" x14ac:dyDescent="0.35">
      <c r="A1897" s="56" t="s">
        <v>4140</v>
      </c>
      <c r="B1897" s="2">
        <v>1777</v>
      </c>
      <c r="C1897" s="74">
        <v>102011749</v>
      </c>
      <c r="D1897" s="105" t="s">
        <v>4091</v>
      </c>
      <c r="E1897" s="240" t="s">
        <v>4116</v>
      </c>
      <c r="F1897" s="197">
        <v>1</v>
      </c>
      <c r="G1897" s="64" t="s">
        <v>0</v>
      </c>
      <c r="H1897" s="115" t="s">
        <v>4100</v>
      </c>
      <c r="I1897" s="64" t="s">
        <v>1316</v>
      </c>
      <c r="J1897" s="241" t="s">
        <v>959</v>
      </c>
      <c r="K1897" s="63" t="s">
        <v>4106</v>
      </c>
      <c r="L1897" s="64" t="s">
        <v>950</v>
      </c>
      <c r="M1897" s="209">
        <v>177899.9</v>
      </c>
      <c r="N1897" s="209">
        <f t="shared" si="328"/>
        <v>177899.9</v>
      </c>
      <c r="O1897" s="209">
        <v>177899.9</v>
      </c>
      <c r="P1897" s="65">
        <v>239370</v>
      </c>
      <c r="Q1897" s="65">
        <f t="shared" si="321"/>
        <v>52661.4</v>
      </c>
      <c r="R1897" s="65">
        <f t="shared" si="322"/>
        <v>292031.40000000002</v>
      </c>
      <c r="S1897" s="272"/>
      <c r="T1897" s="64">
        <v>117</v>
      </c>
      <c r="U1897" s="270"/>
      <c r="V1897" s="38">
        <v>267454</v>
      </c>
      <c r="W1897" s="38">
        <f t="shared" si="323"/>
        <v>58839.88</v>
      </c>
      <c r="X1897" s="38">
        <f t="shared" si="324"/>
        <v>326293.88</v>
      </c>
    </row>
    <row r="1898" spans="1:24" ht="57.75" customHeight="1" x14ac:dyDescent="0.35">
      <c r="A1898" s="56" t="s">
        <v>4141</v>
      </c>
      <c r="B1898" s="2">
        <v>1778</v>
      </c>
      <c r="C1898" s="74">
        <v>102011811</v>
      </c>
      <c r="D1898" s="105" t="s">
        <v>4092</v>
      </c>
      <c r="E1898" s="240" t="s">
        <v>4116</v>
      </c>
      <c r="F1898" s="197">
        <v>2</v>
      </c>
      <c r="G1898" s="64" t="s">
        <v>0</v>
      </c>
      <c r="H1898" s="115" t="s">
        <v>4100</v>
      </c>
      <c r="I1898" s="64" t="s">
        <v>1316</v>
      </c>
      <c r="J1898" s="64" t="s">
        <v>1917</v>
      </c>
      <c r="K1898" s="63" t="s">
        <v>4107</v>
      </c>
      <c r="L1898" s="64" t="s">
        <v>950</v>
      </c>
      <c r="M1898" s="209">
        <v>254940.24</v>
      </c>
      <c r="N1898" s="209">
        <f t="shared" si="328"/>
        <v>127470.12</v>
      </c>
      <c r="O1898" s="209">
        <v>254940.24</v>
      </c>
      <c r="P1898" s="65">
        <v>343030</v>
      </c>
      <c r="Q1898" s="65">
        <f t="shared" si="321"/>
        <v>75466.600000000006</v>
      </c>
      <c r="R1898" s="65">
        <f t="shared" si="322"/>
        <v>418496.6</v>
      </c>
      <c r="S1898" s="272"/>
      <c r="T1898" s="64">
        <v>117</v>
      </c>
      <c r="U1898" s="270"/>
      <c r="V1898" s="38">
        <v>383275</v>
      </c>
      <c r="W1898" s="38">
        <f t="shared" si="323"/>
        <v>84320.5</v>
      </c>
      <c r="X1898" s="38">
        <f t="shared" si="324"/>
        <v>467595.5</v>
      </c>
    </row>
    <row r="1899" spans="1:24" ht="33" customHeight="1" x14ac:dyDescent="0.35">
      <c r="A1899" s="56" t="s">
        <v>4142</v>
      </c>
      <c r="B1899" s="2">
        <v>1779</v>
      </c>
      <c r="C1899" s="74">
        <v>102022198</v>
      </c>
      <c r="D1899" s="105" t="s">
        <v>4093</v>
      </c>
      <c r="E1899" s="240" t="s">
        <v>4116</v>
      </c>
      <c r="F1899" s="197">
        <v>1</v>
      </c>
      <c r="G1899" s="64" t="s">
        <v>0</v>
      </c>
      <c r="H1899" s="115" t="s">
        <v>4099</v>
      </c>
      <c r="I1899" s="64" t="s">
        <v>1316</v>
      </c>
      <c r="J1899" s="64" t="s">
        <v>1917</v>
      </c>
      <c r="K1899" s="63" t="s">
        <v>4108</v>
      </c>
      <c r="L1899" s="64" t="s">
        <v>950</v>
      </c>
      <c r="M1899" s="209">
        <v>50515.08</v>
      </c>
      <c r="N1899" s="209">
        <f t="shared" si="328"/>
        <v>50515.08</v>
      </c>
      <c r="O1899" s="209">
        <v>50515.08</v>
      </c>
      <c r="P1899" s="65">
        <v>63780</v>
      </c>
      <c r="Q1899" s="65">
        <f t="shared" si="321"/>
        <v>14031.6</v>
      </c>
      <c r="R1899" s="65">
        <f t="shared" si="322"/>
        <v>77811.600000000006</v>
      </c>
      <c r="S1899" s="272"/>
      <c r="T1899" s="64">
        <v>117</v>
      </c>
      <c r="U1899" s="270"/>
      <c r="V1899" s="38">
        <v>71258</v>
      </c>
      <c r="W1899" s="38">
        <f t="shared" si="323"/>
        <v>15676.76</v>
      </c>
      <c r="X1899" s="38">
        <f t="shared" si="324"/>
        <v>86934.76</v>
      </c>
    </row>
    <row r="1900" spans="1:24" ht="33" customHeight="1" x14ac:dyDescent="0.35">
      <c r="A1900" s="56" t="s">
        <v>4143</v>
      </c>
      <c r="B1900" s="2">
        <v>1780</v>
      </c>
      <c r="C1900" s="74">
        <v>102022197</v>
      </c>
      <c r="D1900" s="105" t="s">
        <v>4094</v>
      </c>
      <c r="E1900" s="240" t="s">
        <v>4116</v>
      </c>
      <c r="F1900" s="197">
        <v>1</v>
      </c>
      <c r="G1900" s="64" t="s">
        <v>0</v>
      </c>
      <c r="H1900" s="115" t="s">
        <v>4099</v>
      </c>
      <c r="I1900" s="64" t="s">
        <v>1316</v>
      </c>
      <c r="J1900" s="64" t="s">
        <v>1917</v>
      </c>
      <c r="K1900" s="63" t="s">
        <v>4109</v>
      </c>
      <c r="L1900" s="64" t="s">
        <v>950</v>
      </c>
      <c r="M1900" s="209">
        <v>66115.19</v>
      </c>
      <c r="N1900" s="209">
        <f t="shared" si="328"/>
        <v>66115.19</v>
      </c>
      <c r="O1900" s="209">
        <v>66115.19</v>
      </c>
      <c r="P1900" s="65">
        <v>83470</v>
      </c>
      <c r="Q1900" s="65">
        <f t="shared" si="321"/>
        <v>18363.400000000001</v>
      </c>
      <c r="R1900" s="65">
        <f t="shared" si="322"/>
        <v>101833.4</v>
      </c>
      <c r="S1900" s="272"/>
      <c r="T1900" s="64">
        <v>117</v>
      </c>
      <c r="U1900" s="270"/>
      <c r="V1900" s="38">
        <v>93265</v>
      </c>
      <c r="W1900" s="38">
        <f t="shared" si="323"/>
        <v>20518.3</v>
      </c>
      <c r="X1900" s="38">
        <f t="shared" si="324"/>
        <v>113783.3</v>
      </c>
    </row>
    <row r="1901" spans="1:24" ht="33" customHeight="1" x14ac:dyDescent="0.35">
      <c r="A1901" s="56" t="s">
        <v>4144</v>
      </c>
      <c r="B1901" s="2">
        <v>1781</v>
      </c>
      <c r="C1901" s="74">
        <v>102022194</v>
      </c>
      <c r="D1901" s="105" t="s">
        <v>4095</v>
      </c>
      <c r="E1901" s="240" t="s">
        <v>4116</v>
      </c>
      <c r="F1901" s="197">
        <v>1</v>
      </c>
      <c r="G1901" s="64" t="s">
        <v>0</v>
      </c>
      <c r="H1901" s="115" t="s">
        <v>4099</v>
      </c>
      <c r="I1901" s="64" t="s">
        <v>1316</v>
      </c>
      <c r="J1901" s="64" t="s">
        <v>1917</v>
      </c>
      <c r="K1901" s="63" t="s">
        <v>4110</v>
      </c>
      <c r="L1901" s="64" t="s">
        <v>950</v>
      </c>
      <c r="M1901" s="209">
        <v>67392.539999999994</v>
      </c>
      <c r="N1901" s="209">
        <f t="shared" si="328"/>
        <v>67392.539999999994</v>
      </c>
      <c r="O1901" s="209">
        <v>67392.539999999994</v>
      </c>
      <c r="P1901" s="65">
        <v>113060</v>
      </c>
      <c r="Q1901" s="65">
        <f t="shared" si="321"/>
        <v>24873.200000000001</v>
      </c>
      <c r="R1901" s="65">
        <f t="shared" si="322"/>
        <v>137933.20000000001</v>
      </c>
      <c r="S1901" s="272"/>
      <c r="T1901" s="64">
        <v>117</v>
      </c>
      <c r="U1901" s="270"/>
      <c r="V1901" s="38">
        <v>126327</v>
      </c>
      <c r="W1901" s="38">
        <f t="shared" si="323"/>
        <v>27791.94</v>
      </c>
      <c r="X1901" s="38">
        <f t="shared" si="324"/>
        <v>154118.94</v>
      </c>
    </row>
    <row r="1902" spans="1:24" ht="33" customHeight="1" x14ac:dyDescent="0.35">
      <c r="A1902" s="56" t="s">
        <v>4145</v>
      </c>
      <c r="B1902" s="2">
        <v>1782</v>
      </c>
      <c r="C1902" s="74">
        <v>102022195</v>
      </c>
      <c r="D1902" s="105" t="s">
        <v>4096</v>
      </c>
      <c r="E1902" s="240" t="s">
        <v>4116</v>
      </c>
      <c r="F1902" s="197">
        <v>1</v>
      </c>
      <c r="G1902" s="64" t="s">
        <v>0</v>
      </c>
      <c r="H1902" s="115" t="s">
        <v>4099</v>
      </c>
      <c r="I1902" s="64" t="s">
        <v>1316</v>
      </c>
      <c r="J1902" s="64" t="s">
        <v>1917</v>
      </c>
      <c r="K1902" s="63" t="s">
        <v>4111</v>
      </c>
      <c r="L1902" s="64" t="s">
        <v>950</v>
      </c>
      <c r="M1902" s="209">
        <v>62226.58</v>
      </c>
      <c r="N1902" s="209">
        <f t="shared" si="328"/>
        <v>62226.58</v>
      </c>
      <c r="O1902" s="209">
        <v>62226.58</v>
      </c>
      <c r="P1902" s="65">
        <v>104400</v>
      </c>
      <c r="Q1902" s="65">
        <f t="shared" si="321"/>
        <v>22968</v>
      </c>
      <c r="R1902" s="65">
        <f t="shared" si="322"/>
        <v>127368</v>
      </c>
      <c r="S1902" s="276"/>
      <c r="T1902" s="64">
        <v>117</v>
      </c>
      <c r="U1902" s="270"/>
      <c r="V1902" s="38">
        <v>116643</v>
      </c>
      <c r="W1902" s="38">
        <f t="shared" si="323"/>
        <v>25661.46</v>
      </c>
      <c r="X1902" s="38">
        <f t="shared" si="324"/>
        <v>142304.46</v>
      </c>
    </row>
    <row r="1903" spans="1:24" ht="15" customHeight="1" x14ac:dyDescent="0.35">
      <c r="A1903" s="56"/>
      <c r="B1903" s="15"/>
      <c r="C1903" s="64"/>
      <c r="D1903" s="64"/>
      <c r="E1903" s="64"/>
      <c r="F1903" s="197"/>
      <c r="G1903" s="64"/>
      <c r="H1903" s="64"/>
      <c r="I1903" s="64"/>
      <c r="J1903" s="64"/>
      <c r="K1903" s="64"/>
      <c r="L1903" s="64"/>
      <c r="M1903" s="64"/>
      <c r="N1903" s="64"/>
      <c r="O1903" s="195">
        <f>SUM(O1892:O1902)</f>
        <v>1183747.58</v>
      </c>
      <c r="P1903" s="195">
        <f t="shared" ref="P1903:R1903" si="329">SUM(P1892:P1902)</f>
        <v>1477220</v>
      </c>
      <c r="Q1903" s="195">
        <f t="shared" si="329"/>
        <v>324988.40000000002</v>
      </c>
      <c r="R1903" s="195">
        <f t="shared" si="329"/>
        <v>1802208.4</v>
      </c>
      <c r="S1903" s="72">
        <f>R1903/100*10</f>
        <v>180220.84</v>
      </c>
      <c r="T1903" s="73">
        <v>117</v>
      </c>
      <c r="U1903" s="271"/>
      <c r="V1903" s="38"/>
      <c r="W1903" s="38"/>
      <c r="X1903" s="38"/>
    </row>
    <row r="1904" spans="1:24" ht="68.150000000000006" customHeight="1" x14ac:dyDescent="0.35">
      <c r="A1904" s="56" t="s">
        <v>4146</v>
      </c>
      <c r="B1904" s="2">
        <v>1783</v>
      </c>
      <c r="C1904" s="74">
        <v>102019731</v>
      </c>
      <c r="D1904" s="105" t="s">
        <v>4112</v>
      </c>
      <c r="E1904" s="240" t="s">
        <v>4117</v>
      </c>
      <c r="F1904" s="197">
        <v>1</v>
      </c>
      <c r="G1904" s="64" t="s">
        <v>0</v>
      </c>
      <c r="H1904" s="115" t="s">
        <v>4113</v>
      </c>
      <c r="I1904" s="242" t="s">
        <v>1318</v>
      </c>
      <c r="J1904" s="64" t="s">
        <v>1917</v>
      </c>
      <c r="K1904" s="243" t="s">
        <v>4134</v>
      </c>
      <c r="L1904" s="64" t="s">
        <v>950</v>
      </c>
      <c r="M1904" s="209">
        <v>35950</v>
      </c>
      <c r="N1904" s="209">
        <f t="shared" si="328"/>
        <v>35950</v>
      </c>
      <c r="O1904" s="209">
        <v>35950</v>
      </c>
      <c r="P1904" s="65">
        <v>67390</v>
      </c>
      <c r="Q1904" s="65">
        <f t="shared" ref="Q1904:Q1967" si="330">P1904*0.22</f>
        <v>14825.8</v>
      </c>
      <c r="R1904" s="65">
        <f t="shared" ref="R1904:R1967" si="331">P1904+Q1904</f>
        <v>82215.8</v>
      </c>
      <c r="S1904" s="267"/>
      <c r="T1904" s="64">
        <v>118</v>
      </c>
      <c r="U1904" s="273" t="s">
        <v>2274</v>
      </c>
      <c r="V1904" s="38">
        <v>67388</v>
      </c>
      <c r="W1904" s="38">
        <f t="shared" ref="W1904:W1967" si="332">V1904*0.22</f>
        <v>14825.36</v>
      </c>
      <c r="X1904" s="38">
        <f t="shared" si="324"/>
        <v>82213.36</v>
      </c>
    </row>
    <row r="1905" spans="1:24" ht="68.150000000000006" customHeight="1" x14ac:dyDescent="0.35">
      <c r="A1905" s="56" t="s">
        <v>4516</v>
      </c>
      <c r="B1905" s="2">
        <v>1784</v>
      </c>
      <c r="C1905" s="74">
        <v>102011455</v>
      </c>
      <c r="D1905" s="105" t="s">
        <v>4517</v>
      </c>
      <c r="E1905" s="240" t="s">
        <v>4117</v>
      </c>
      <c r="F1905" s="197">
        <v>1</v>
      </c>
      <c r="G1905" s="64" t="s">
        <v>0</v>
      </c>
      <c r="H1905" s="115" t="s">
        <v>4518</v>
      </c>
      <c r="I1905" s="242" t="s">
        <v>1318</v>
      </c>
      <c r="J1905" s="64" t="s">
        <v>959</v>
      </c>
      <c r="K1905" s="243" t="s">
        <v>4519</v>
      </c>
      <c r="L1905" s="64" t="s">
        <v>950</v>
      </c>
      <c r="M1905" s="209">
        <v>359322</v>
      </c>
      <c r="N1905" s="209">
        <f t="shared" si="328"/>
        <v>359322</v>
      </c>
      <c r="O1905" s="209">
        <v>359322</v>
      </c>
      <c r="P1905" s="65">
        <v>353440</v>
      </c>
      <c r="Q1905" s="65">
        <f t="shared" si="330"/>
        <v>77756.800000000003</v>
      </c>
      <c r="R1905" s="65">
        <f t="shared" si="331"/>
        <v>431196.8</v>
      </c>
      <c r="S1905" s="269"/>
      <c r="T1905" s="64">
        <v>118</v>
      </c>
      <c r="U1905" s="270"/>
      <c r="V1905" s="38">
        <v>353436</v>
      </c>
      <c r="W1905" s="38">
        <f t="shared" si="332"/>
        <v>77755.92</v>
      </c>
      <c r="X1905" s="38">
        <f t="shared" si="324"/>
        <v>431191.92</v>
      </c>
    </row>
    <row r="1906" spans="1:24" ht="15" customHeight="1" x14ac:dyDescent="0.35">
      <c r="A1906" s="56"/>
      <c r="B1906" s="15"/>
      <c r="C1906" s="64"/>
      <c r="D1906" s="64"/>
      <c r="E1906" s="64"/>
      <c r="F1906" s="197"/>
      <c r="G1906" s="64"/>
      <c r="H1906" s="64"/>
      <c r="I1906" s="64"/>
      <c r="J1906" s="64"/>
      <c r="K1906" s="64"/>
      <c r="L1906" s="64"/>
      <c r="M1906" s="64"/>
      <c r="N1906" s="64"/>
      <c r="O1906" s="195">
        <f>SUM(O1904:O1904)</f>
        <v>35950</v>
      </c>
      <c r="P1906" s="195">
        <f>SUM(P1904:P1905)</f>
        <v>420830</v>
      </c>
      <c r="Q1906" s="195">
        <f t="shared" ref="Q1906" si="333">SUM(Q1904:Q1904)</f>
        <v>14825.8</v>
      </c>
      <c r="R1906" s="195">
        <f>SUM(R1904:R1905)</f>
        <v>513412.6</v>
      </c>
      <c r="S1906" s="72">
        <f>R1906/100*10</f>
        <v>51341.26</v>
      </c>
      <c r="T1906" s="73">
        <v>118</v>
      </c>
      <c r="U1906" s="271"/>
      <c r="V1906" s="38"/>
      <c r="W1906" s="38"/>
      <c r="X1906" s="38"/>
    </row>
    <row r="1907" spans="1:24" ht="34" customHeight="1" x14ac:dyDescent="0.35">
      <c r="A1907" s="56" t="s">
        <v>4149</v>
      </c>
      <c r="B1907" s="2">
        <v>1785</v>
      </c>
      <c r="C1907" s="59">
        <v>10098139</v>
      </c>
      <c r="D1907" s="59" t="s">
        <v>4114</v>
      </c>
      <c r="E1907" s="74" t="s">
        <v>2175</v>
      </c>
      <c r="F1907" s="197">
        <v>6</v>
      </c>
      <c r="G1907" s="64" t="s">
        <v>0</v>
      </c>
      <c r="H1907" s="244">
        <v>42004</v>
      </c>
      <c r="I1907" s="105" t="s">
        <v>971</v>
      </c>
      <c r="J1907" s="64" t="s">
        <v>959</v>
      </c>
      <c r="K1907" s="245" t="s">
        <v>4127</v>
      </c>
      <c r="L1907" s="64" t="s">
        <v>2093</v>
      </c>
      <c r="M1907" s="174">
        <v>23400</v>
      </c>
      <c r="N1907" s="65">
        <f>O1907/F1907</f>
        <v>3900</v>
      </c>
      <c r="O1907" s="174">
        <v>23400</v>
      </c>
      <c r="P1907" s="65">
        <v>15720</v>
      </c>
      <c r="Q1907" s="65">
        <f t="shared" si="330"/>
        <v>3458.4</v>
      </c>
      <c r="R1907" s="65">
        <f t="shared" si="331"/>
        <v>19178.400000000001</v>
      </c>
      <c r="S1907" s="267"/>
      <c r="T1907" s="64">
        <v>119</v>
      </c>
      <c r="U1907" s="273" t="s">
        <v>2267</v>
      </c>
      <c r="V1907" s="38">
        <v>17143</v>
      </c>
      <c r="W1907" s="38">
        <f t="shared" si="332"/>
        <v>3771.46</v>
      </c>
      <c r="X1907" s="38">
        <f t="shared" ref="X1907:X1969" si="334">V1907+W1907</f>
        <v>20914.46</v>
      </c>
    </row>
    <row r="1908" spans="1:24" ht="36" customHeight="1" x14ac:dyDescent="0.35">
      <c r="A1908" s="56" t="s">
        <v>4147</v>
      </c>
      <c r="B1908" s="2">
        <v>1786</v>
      </c>
      <c r="C1908" s="59">
        <v>10124198</v>
      </c>
      <c r="D1908" s="59" t="s">
        <v>4115</v>
      </c>
      <c r="E1908" s="74" t="s">
        <v>2175</v>
      </c>
      <c r="F1908" s="197">
        <v>1</v>
      </c>
      <c r="G1908" s="64" t="s">
        <v>0</v>
      </c>
      <c r="H1908" s="244">
        <v>42004</v>
      </c>
      <c r="I1908" s="105" t="s">
        <v>4118</v>
      </c>
      <c r="J1908" s="64" t="s">
        <v>959</v>
      </c>
      <c r="K1908" s="246" t="s">
        <v>1839</v>
      </c>
      <c r="L1908" s="64" t="s">
        <v>2093</v>
      </c>
      <c r="M1908" s="174">
        <v>28533.06</v>
      </c>
      <c r="N1908" s="65">
        <f t="shared" ref="N1908:N1916" si="335">O1908/F1908</f>
        <v>28533.06</v>
      </c>
      <c r="O1908" s="174">
        <v>28533.06</v>
      </c>
      <c r="P1908" s="65">
        <v>19170</v>
      </c>
      <c r="Q1908" s="65">
        <f t="shared" si="330"/>
        <v>4217.3999999999996</v>
      </c>
      <c r="R1908" s="65">
        <f t="shared" si="331"/>
        <v>23387.4</v>
      </c>
      <c r="S1908" s="272"/>
      <c r="T1908" s="64">
        <v>119</v>
      </c>
      <c r="U1908" s="270"/>
      <c r="V1908" s="38">
        <v>20903</v>
      </c>
      <c r="W1908" s="38">
        <f t="shared" si="332"/>
        <v>4598.66</v>
      </c>
      <c r="X1908" s="38">
        <f t="shared" si="334"/>
        <v>25501.66</v>
      </c>
    </row>
    <row r="1909" spans="1:24" ht="21" customHeight="1" x14ac:dyDescent="0.35">
      <c r="A1909" s="56" t="s">
        <v>4148</v>
      </c>
      <c r="B1909" s="2">
        <v>1787</v>
      </c>
      <c r="C1909" s="59">
        <v>10145214</v>
      </c>
      <c r="D1909" s="59" t="s">
        <v>258</v>
      </c>
      <c r="E1909" s="74" t="s">
        <v>2175</v>
      </c>
      <c r="F1909" s="197">
        <v>1</v>
      </c>
      <c r="G1909" s="64" t="s">
        <v>0</v>
      </c>
      <c r="H1909" s="244">
        <v>42004</v>
      </c>
      <c r="I1909" s="105" t="s">
        <v>4119</v>
      </c>
      <c r="J1909" s="64" t="s">
        <v>959</v>
      </c>
      <c r="K1909" s="246" t="s">
        <v>220</v>
      </c>
      <c r="L1909" s="64" t="s">
        <v>2093</v>
      </c>
      <c r="M1909" s="174">
        <v>22300</v>
      </c>
      <c r="N1909" s="65">
        <f t="shared" si="335"/>
        <v>22300</v>
      </c>
      <c r="O1909" s="174">
        <v>22300</v>
      </c>
      <c r="P1909" s="65">
        <v>16800</v>
      </c>
      <c r="Q1909" s="65">
        <f t="shared" si="330"/>
        <v>3696</v>
      </c>
      <c r="R1909" s="65">
        <f t="shared" si="331"/>
        <v>20496</v>
      </c>
      <c r="S1909" s="272"/>
      <c r="T1909" s="64">
        <v>119</v>
      </c>
      <c r="U1909" s="270"/>
      <c r="V1909" s="38">
        <v>18319</v>
      </c>
      <c r="W1909" s="38">
        <f t="shared" si="332"/>
        <v>4030.18</v>
      </c>
      <c r="X1909" s="38">
        <f t="shared" si="334"/>
        <v>22349.18</v>
      </c>
    </row>
    <row r="1910" spans="1:24" ht="29.5" customHeight="1" x14ac:dyDescent="0.35">
      <c r="A1910" s="56" t="s">
        <v>4150</v>
      </c>
      <c r="B1910" s="2">
        <v>1788</v>
      </c>
      <c r="C1910" s="59">
        <v>10145215</v>
      </c>
      <c r="D1910" s="59" t="s">
        <v>267</v>
      </c>
      <c r="E1910" s="74" t="s">
        <v>2175</v>
      </c>
      <c r="F1910" s="197">
        <v>1</v>
      </c>
      <c r="G1910" s="64" t="s">
        <v>0</v>
      </c>
      <c r="H1910" s="244">
        <v>42004</v>
      </c>
      <c r="I1910" s="105" t="s">
        <v>4120</v>
      </c>
      <c r="J1910" s="64" t="s">
        <v>959</v>
      </c>
      <c r="K1910" s="246" t="s">
        <v>263</v>
      </c>
      <c r="L1910" s="64" t="s">
        <v>2093</v>
      </c>
      <c r="M1910" s="174">
        <v>16400</v>
      </c>
      <c r="N1910" s="65">
        <f t="shared" si="335"/>
        <v>16400</v>
      </c>
      <c r="O1910" s="174">
        <v>16400</v>
      </c>
      <c r="P1910" s="65">
        <v>11020</v>
      </c>
      <c r="Q1910" s="65">
        <f t="shared" si="330"/>
        <v>2424.4</v>
      </c>
      <c r="R1910" s="65">
        <f t="shared" si="331"/>
        <v>13444.4</v>
      </c>
      <c r="S1910" s="272"/>
      <c r="T1910" s="64">
        <v>119</v>
      </c>
      <c r="U1910" s="270"/>
      <c r="V1910" s="38">
        <v>12015</v>
      </c>
      <c r="W1910" s="38">
        <f t="shared" si="332"/>
        <v>2643.3</v>
      </c>
      <c r="X1910" s="38">
        <f t="shared" si="334"/>
        <v>14658.3</v>
      </c>
    </row>
    <row r="1911" spans="1:24" ht="30.65" customHeight="1" x14ac:dyDescent="0.35">
      <c r="A1911" s="56" t="s">
        <v>4151</v>
      </c>
      <c r="B1911" s="2">
        <v>1789</v>
      </c>
      <c r="C1911" s="59">
        <v>10145246</v>
      </c>
      <c r="D1911" s="59" t="s">
        <v>260</v>
      </c>
      <c r="E1911" s="74" t="s">
        <v>2175</v>
      </c>
      <c r="F1911" s="197">
        <v>2</v>
      </c>
      <c r="G1911" s="64" t="s">
        <v>0</v>
      </c>
      <c r="H1911" s="244">
        <v>42004</v>
      </c>
      <c r="I1911" s="105" t="s">
        <v>4121</v>
      </c>
      <c r="J1911" s="64" t="s">
        <v>959</v>
      </c>
      <c r="K1911" s="246" t="s">
        <v>3984</v>
      </c>
      <c r="L1911" s="64" t="s">
        <v>2093</v>
      </c>
      <c r="M1911" s="174">
        <v>57000</v>
      </c>
      <c r="N1911" s="65">
        <f t="shared" si="335"/>
        <v>28500</v>
      </c>
      <c r="O1911" s="174">
        <v>57000</v>
      </c>
      <c r="P1911" s="65">
        <v>42940</v>
      </c>
      <c r="Q1911" s="65">
        <f t="shared" si="330"/>
        <v>9446.7999999999993</v>
      </c>
      <c r="R1911" s="65">
        <f t="shared" si="331"/>
        <v>52386.8</v>
      </c>
      <c r="S1911" s="272"/>
      <c r="T1911" s="64">
        <v>119</v>
      </c>
      <c r="U1911" s="270"/>
      <c r="V1911" s="38">
        <v>46824</v>
      </c>
      <c r="W1911" s="38">
        <f t="shared" si="332"/>
        <v>10301.280000000001</v>
      </c>
      <c r="X1911" s="38">
        <f t="shared" si="334"/>
        <v>57125.279999999999</v>
      </c>
    </row>
    <row r="1912" spans="1:24" ht="30.65" customHeight="1" x14ac:dyDescent="0.35">
      <c r="A1912" s="56" t="s">
        <v>4152</v>
      </c>
      <c r="B1912" s="2">
        <v>1790</v>
      </c>
      <c r="C1912" s="59">
        <v>10145247</v>
      </c>
      <c r="D1912" s="59" t="s">
        <v>261</v>
      </c>
      <c r="E1912" s="74" t="s">
        <v>2175</v>
      </c>
      <c r="F1912" s="197">
        <v>3</v>
      </c>
      <c r="G1912" s="64" t="s">
        <v>0</v>
      </c>
      <c r="H1912" s="244">
        <v>42004</v>
      </c>
      <c r="I1912" s="105" t="s">
        <v>4122</v>
      </c>
      <c r="J1912" s="64" t="s">
        <v>959</v>
      </c>
      <c r="K1912" s="246" t="s">
        <v>219</v>
      </c>
      <c r="L1912" s="64" t="s">
        <v>2093</v>
      </c>
      <c r="M1912" s="174">
        <v>115200</v>
      </c>
      <c r="N1912" s="65">
        <f t="shared" si="335"/>
        <v>38400</v>
      </c>
      <c r="O1912" s="174">
        <v>115200</v>
      </c>
      <c r="P1912" s="65">
        <v>86780</v>
      </c>
      <c r="Q1912" s="65">
        <f t="shared" si="330"/>
        <v>19091.599999999999</v>
      </c>
      <c r="R1912" s="65">
        <f t="shared" si="331"/>
        <v>105871.6</v>
      </c>
      <c r="S1912" s="272"/>
      <c r="T1912" s="64">
        <v>119</v>
      </c>
      <c r="U1912" s="270"/>
      <c r="V1912" s="38">
        <v>94634</v>
      </c>
      <c r="W1912" s="38">
        <f t="shared" si="332"/>
        <v>20819.48</v>
      </c>
      <c r="X1912" s="38">
        <f t="shared" si="334"/>
        <v>115453.48</v>
      </c>
    </row>
    <row r="1913" spans="1:24" ht="30.65" customHeight="1" x14ac:dyDescent="0.35">
      <c r="A1913" s="56" t="s">
        <v>4153</v>
      </c>
      <c r="B1913" s="2">
        <v>1791</v>
      </c>
      <c r="C1913" s="59">
        <v>10145249</v>
      </c>
      <c r="D1913" s="59" t="s">
        <v>3984</v>
      </c>
      <c r="E1913" s="74" t="s">
        <v>2175</v>
      </c>
      <c r="F1913" s="197">
        <v>2</v>
      </c>
      <c r="G1913" s="64" t="s">
        <v>0</v>
      </c>
      <c r="H1913" s="244">
        <v>42004</v>
      </c>
      <c r="I1913" s="105" t="s">
        <v>4123</v>
      </c>
      <c r="J1913" s="64" t="s">
        <v>959</v>
      </c>
      <c r="K1913" s="246" t="s">
        <v>267</v>
      </c>
      <c r="L1913" s="64" t="s">
        <v>2093</v>
      </c>
      <c r="M1913" s="174">
        <v>37200</v>
      </c>
      <c r="N1913" s="65">
        <f t="shared" si="335"/>
        <v>18600</v>
      </c>
      <c r="O1913" s="174">
        <v>37200</v>
      </c>
      <c r="P1913" s="65">
        <v>24990</v>
      </c>
      <c r="Q1913" s="65">
        <f t="shared" si="330"/>
        <v>5497.8</v>
      </c>
      <c r="R1913" s="65">
        <f t="shared" si="331"/>
        <v>30487.8</v>
      </c>
      <c r="S1913" s="272"/>
      <c r="T1913" s="64">
        <v>119</v>
      </c>
      <c r="U1913" s="270"/>
      <c r="V1913" s="38">
        <v>27253</v>
      </c>
      <c r="W1913" s="38">
        <f t="shared" si="332"/>
        <v>5995.66</v>
      </c>
      <c r="X1913" s="38">
        <f t="shared" si="334"/>
        <v>33248.660000000003</v>
      </c>
    </row>
    <row r="1914" spans="1:24" ht="30.65" customHeight="1" x14ac:dyDescent="0.35">
      <c r="A1914" s="56" t="s">
        <v>4154</v>
      </c>
      <c r="B1914" s="2">
        <v>1792</v>
      </c>
      <c r="C1914" s="59">
        <v>10145254</v>
      </c>
      <c r="D1914" s="59" t="s">
        <v>263</v>
      </c>
      <c r="E1914" s="74" t="s">
        <v>2175</v>
      </c>
      <c r="F1914" s="197">
        <v>1</v>
      </c>
      <c r="G1914" s="64" t="s">
        <v>0</v>
      </c>
      <c r="H1914" s="244">
        <v>42004</v>
      </c>
      <c r="I1914" s="105" t="s">
        <v>4124</v>
      </c>
      <c r="J1914" s="64" t="s">
        <v>959</v>
      </c>
      <c r="K1914" s="246" t="s">
        <v>260</v>
      </c>
      <c r="L1914" s="64" t="s">
        <v>2093</v>
      </c>
      <c r="M1914" s="174">
        <v>54850</v>
      </c>
      <c r="N1914" s="65">
        <f t="shared" si="335"/>
        <v>54850</v>
      </c>
      <c r="O1914" s="174">
        <v>54850</v>
      </c>
      <c r="P1914" s="65">
        <v>41320</v>
      </c>
      <c r="Q1914" s="65">
        <f t="shared" si="330"/>
        <v>9090.4</v>
      </c>
      <c r="R1914" s="65">
        <f t="shared" si="331"/>
        <v>50410.400000000001</v>
      </c>
      <c r="S1914" s="272"/>
      <c r="T1914" s="64">
        <v>119</v>
      </c>
      <c r="U1914" s="270"/>
      <c r="V1914" s="38">
        <v>45058</v>
      </c>
      <c r="W1914" s="38">
        <f t="shared" si="332"/>
        <v>9912.76</v>
      </c>
      <c r="X1914" s="38">
        <f t="shared" si="334"/>
        <v>54970.76</v>
      </c>
    </row>
    <row r="1915" spans="1:24" ht="30.65" customHeight="1" x14ac:dyDescent="0.35">
      <c r="A1915" s="56" t="s">
        <v>4155</v>
      </c>
      <c r="B1915" s="2">
        <v>1793</v>
      </c>
      <c r="C1915" s="59">
        <v>10145283</v>
      </c>
      <c r="D1915" s="59" t="s">
        <v>219</v>
      </c>
      <c r="E1915" s="74" t="s">
        <v>2175</v>
      </c>
      <c r="F1915" s="197">
        <v>1</v>
      </c>
      <c r="G1915" s="64" t="s">
        <v>0</v>
      </c>
      <c r="H1915" s="244">
        <v>42004</v>
      </c>
      <c r="I1915" s="105" t="s">
        <v>4125</v>
      </c>
      <c r="J1915" s="64" t="s">
        <v>959</v>
      </c>
      <c r="K1915" s="246" t="s">
        <v>261</v>
      </c>
      <c r="L1915" s="64" t="s">
        <v>2093</v>
      </c>
      <c r="M1915" s="174">
        <v>41750</v>
      </c>
      <c r="N1915" s="65">
        <f t="shared" si="335"/>
        <v>41750</v>
      </c>
      <c r="O1915" s="174">
        <v>41750</v>
      </c>
      <c r="P1915" s="65">
        <v>31450</v>
      </c>
      <c r="Q1915" s="65">
        <f t="shared" si="330"/>
        <v>6919</v>
      </c>
      <c r="R1915" s="65">
        <f t="shared" si="331"/>
        <v>38369</v>
      </c>
      <c r="S1915" s="272"/>
      <c r="T1915" s="64">
        <v>119</v>
      </c>
      <c r="U1915" s="270"/>
      <c r="V1915" s="38">
        <v>34297</v>
      </c>
      <c r="W1915" s="38">
        <f t="shared" si="332"/>
        <v>7545.34</v>
      </c>
      <c r="X1915" s="38">
        <f t="shared" si="334"/>
        <v>41842.339999999997</v>
      </c>
    </row>
    <row r="1916" spans="1:24" ht="30.65" customHeight="1" x14ac:dyDescent="0.35">
      <c r="A1916" s="56" t="s">
        <v>4156</v>
      </c>
      <c r="B1916" s="2">
        <v>1794</v>
      </c>
      <c r="C1916" s="59">
        <v>10145285</v>
      </c>
      <c r="D1916" s="59" t="s">
        <v>220</v>
      </c>
      <c r="E1916" s="74" t="s">
        <v>2175</v>
      </c>
      <c r="F1916" s="197">
        <v>1</v>
      </c>
      <c r="G1916" s="64" t="s">
        <v>0</v>
      </c>
      <c r="H1916" s="244">
        <v>42004</v>
      </c>
      <c r="I1916" s="105" t="s">
        <v>4126</v>
      </c>
      <c r="J1916" s="64" t="s">
        <v>959</v>
      </c>
      <c r="K1916" s="246" t="s">
        <v>258</v>
      </c>
      <c r="L1916" s="64" t="s">
        <v>2093</v>
      </c>
      <c r="M1916" s="174">
        <v>99600</v>
      </c>
      <c r="N1916" s="65">
        <f t="shared" si="335"/>
        <v>99600</v>
      </c>
      <c r="O1916" s="174">
        <v>99600</v>
      </c>
      <c r="P1916" s="65">
        <v>66910</v>
      </c>
      <c r="Q1916" s="65">
        <f t="shared" si="330"/>
        <v>14720.2</v>
      </c>
      <c r="R1916" s="65">
        <f t="shared" si="331"/>
        <v>81630.2</v>
      </c>
      <c r="S1916" s="276"/>
      <c r="T1916" s="64">
        <v>119</v>
      </c>
      <c r="U1916" s="270"/>
      <c r="V1916" s="38">
        <v>72967</v>
      </c>
      <c r="W1916" s="38">
        <f t="shared" si="332"/>
        <v>16052.74</v>
      </c>
      <c r="X1916" s="38">
        <f t="shared" si="334"/>
        <v>89019.74</v>
      </c>
    </row>
    <row r="1917" spans="1:24" ht="15" customHeight="1" x14ac:dyDescent="0.35">
      <c r="A1917" s="56"/>
      <c r="B1917" s="15"/>
      <c r="C1917" s="64"/>
      <c r="D1917" s="64"/>
      <c r="E1917" s="64"/>
      <c r="F1917" s="197"/>
      <c r="G1917" s="64"/>
      <c r="H1917" s="64"/>
      <c r="I1917" s="64"/>
      <c r="J1917" s="64"/>
      <c r="K1917" s="64"/>
      <c r="L1917" s="64"/>
      <c r="M1917" s="64"/>
      <c r="N1917" s="65"/>
      <c r="O1917" s="195">
        <f>SUM(O1907:O1916)</f>
        <v>496233.06</v>
      </c>
      <c r="P1917" s="195">
        <f t="shared" ref="P1917:R1917" si="336">SUM(P1907:P1916)</f>
        <v>357100</v>
      </c>
      <c r="Q1917" s="195">
        <f t="shared" si="336"/>
        <v>78562</v>
      </c>
      <c r="R1917" s="195">
        <f t="shared" si="336"/>
        <v>435662</v>
      </c>
      <c r="S1917" s="72">
        <f>R1917/100*10</f>
        <v>43566.2</v>
      </c>
      <c r="T1917" s="73">
        <v>119</v>
      </c>
      <c r="U1917" s="271"/>
      <c r="V1917" s="38"/>
      <c r="W1917" s="38"/>
      <c r="X1917" s="38"/>
    </row>
    <row r="1918" spans="1:24" ht="20.5" customHeight="1" x14ac:dyDescent="0.35">
      <c r="A1918" s="56" t="s">
        <v>4157</v>
      </c>
      <c r="B1918" s="2">
        <v>1795</v>
      </c>
      <c r="C1918" s="90" t="s">
        <v>4131</v>
      </c>
      <c r="D1918" s="90" t="s">
        <v>4130</v>
      </c>
      <c r="E1918" s="90" t="s">
        <v>4132</v>
      </c>
      <c r="F1918" s="197">
        <v>1</v>
      </c>
      <c r="G1918" s="64" t="s">
        <v>0</v>
      </c>
      <c r="H1918" s="247">
        <v>43804</v>
      </c>
      <c r="I1918" s="92" t="s">
        <v>976</v>
      </c>
      <c r="J1918" s="108" t="s">
        <v>4133</v>
      </c>
      <c r="K1918" s="248" t="s">
        <v>4130</v>
      </c>
      <c r="L1918" s="64" t="s">
        <v>950</v>
      </c>
      <c r="M1918" s="174">
        <v>133497.16</v>
      </c>
      <c r="N1918" s="65">
        <f>O1918/F1918</f>
        <v>133497.16</v>
      </c>
      <c r="O1918" s="174">
        <v>133497.16</v>
      </c>
      <c r="P1918" s="65">
        <v>186180</v>
      </c>
      <c r="Q1918" s="65">
        <f t="shared" si="330"/>
        <v>40959.599999999999</v>
      </c>
      <c r="R1918" s="65">
        <f t="shared" si="331"/>
        <v>227139.6</v>
      </c>
      <c r="S1918" s="125"/>
      <c r="T1918" s="64">
        <v>120</v>
      </c>
      <c r="U1918" s="273" t="s">
        <v>4158</v>
      </c>
      <c r="V1918" s="38">
        <v>186182</v>
      </c>
      <c r="W1918" s="38">
        <f t="shared" si="332"/>
        <v>40960.04</v>
      </c>
      <c r="X1918" s="38">
        <f t="shared" si="334"/>
        <v>227142.04</v>
      </c>
    </row>
    <row r="1919" spans="1:24" ht="20.5" customHeight="1" x14ac:dyDescent="0.35">
      <c r="A1919" s="56"/>
      <c r="B1919" s="15"/>
      <c r="C1919" s="90"/>
      <c r="D1919" s="249"/>
      <c r="E1919" s="90"/>
      <c r="F1919" s="64"/>
      <c r="G1919" s="64"/>
      <c r="H1919" s="250"/>
      <c r="I1919" s="92"/>
      <c r="J1919" s="108"/>
      <c r="K1919" s="64"/>
      <c r="L1919" s="64"/>
      <c r="M1919" s="174"/>
      <c r="N1919" s="65"/>
      <c r="O1919" s="195">
        <v>133497.16</v>
      </c>
      <c r="P1919" s="195">
        <f>P1918</f>
        <v>186180</v>
      </c>
      <c r="Q1919" s="195">
        <f>Q1918</f>
        <v>40959.599999999999</v>
      </c>
      <c r="R1919" s="195">
        <f>R1918</f>
        <v>227139.6</v>
      </c>
      <c r="S1919" s="72">
        <f>R1919/100*10</f>
        <v>22713.96</v>
      </c>
      <c r="T1919" s="73">
        <v>120</v>
      </c>
      <c r="U1919" s="274"/>
      <c r="V1919" s="38"/>
      <c r="W1919" s="38"/>
      <c r="X1919" s="38"/>
    </row>
    <row r="1920" spans="1:24" ht="20.5" customHeight="1" x14ac:dyDescent="0.35">
      <c r="A1920" s="56" t="s">
        <v>4379</v>
      </c>
      <c r="B1920" s="2">
        <v>1796</v>
      </c>
      <c r="C1920" s="58">
        <v>102010965</v>
      </c>
      <c r="D1920" s="58" t="s">
        <v>4261</v>
      </c>
      <c r="E1920" s="59" t="s">
        <v>4291</v>
      </c>
      <c r="F1920" s="251">
        <v>150</v>
      </c>
      <c r="G1920" s="60" t="s">
        <v>0</v>
      </c>
      <c r="H1920" s="61">
        <v>43070</v>
      </c>
      <c r="I1920" s="62" t="s">
        <v>958</v>
      </c>
      <c r="J1920" s="63" t="s">
        <v>1917</v>
      </c>
      <c r="K1920" s="63" t="s">
        <v>961</v>
      </c>
      <c r="L1920" s="64" t="s">
        <v>950</v>
      </c>
      <c r="M1920" s="35">
        <v>2332.5</v>
      </c>
      <c r="N1920" s="65">
        <f t="shared" ref="N1920:N1950" si="337">O1920/F1920</f>
        <v>15.55</v>
      </c>
      <c r="O1920" s="35">
        <v>2332.5</v>
      </c>
      <c r="P1920" s="65">
        <v>1740</v>
      </c>
      <c r="Q1920" s="65">
        <f t="shared" si="330"/>
        <v>382.8</v>
      </c>
      <c r="R1920" s="65">
        <f t="shared" si="331"/>
        <v>2122.8000000000002</v>
      </c>
      <c r="S1920" s="267"/>
      <c r="T1920" s="64">
        <v>121</v>
      </c>
      <c r="U1920" s="273" t="s">
        <v>4475</v>
      </c>
      <c r="V1920" s="38">
        <v>1940</v>
      </c>
      <c r="W1920" s="38">
        <f t="shared" si="332"/>
        <v>426.8</v>
      </c>
      <c r="X1920" s="38">
        <f t="shared" si="334"/>
        <v>2366.8000000000002</v>
      </c>
    </row>
    <row r="1921" spans="1:24" ht="20.5" customHeight="1" x14ac:dyDescent="0.35">
      <c r="A1921" s="56" t="s">
        <v>4380</v>
      </c>
      <c r="B1921" s="2">
        <v>1797</v>
      </c>
      <c r="C1921" s="58">
        <v>102011833</v>
      </c>
      <c r="D1921" s="58" t="s">
        <v>4262</v>
      </c>
      <c r="E1921" s="59" t="s">
        <v>4291</v>
      </c>
      <c r="F1921" s="251">
        <v>3</v>
      </c>
      <c r="G1921" s="60" t="s">
        <v>0</v>
      </c>
      <c r="H1921" s="61">
        <v>42534</v>
      </c>
      <c r="I1921" s="62" t="s">
        <v>958</v>
      </c>
      <c r="J1921" s="63" t="s">
        <v>1917</v>
      </c>
      <c r="K1921" s="63" t="s">
        <v>961</v>
      </c>
      <c r="L1921" s="64" t="s">
        <v>950</v>
      </c>
      <c r="M1921" s="35">
        <v>21772.26</v>
      </c>
      <c r="N1921" s="65">
        <f t="shared" si="337"/>
        <v>7257.42</v>
      </c>
      <c r="O1921" s="35">
        <v>21772.26</v>
      </c>
      <c r="P1921" s="65">
        <v>16800</v>
      </c>
      <c r="Q1921" s="65">
        <f t="shared" si="330"/>
        <v>3696</v>
      </c>
      <c r="R1921" s="65">
        <f t="shared" si="331"/>
        <v>20496</v>
      </c>
      <c r="S1921" s="268"/>
      <c r="T1921" s="64">
        <v>121</v>
      </c>
      <c r="U1921" s="270"/>
      <c r="V1921" s="38">
        <v>18773</v>
      </c>
      <c r="W1921" s="38">
        <f t="shared" si="332"/>
        <v>4130.0600000000004</v>
      </c>
      <c r="X1921" s="38">
        <f t="shared" si="334"/>
        <v>22903.06</v>
      </c>
    </row>
    <row r="1922" spans="1:24" ht="20.5" customHeight="1" x14ac:dyDescent="0.35">
      <c r="A1922" s="56" t="s">
        <v>4381</v>
      </c>
      <c r="B1922" s="2">
        <v>1798</v>
      </c>
      <c r="C1922" s="58">
        <v>102018905</v>
      </c>
      <c r="D1922" s="58" t="s">
        <v>4263</v>
      </c>
      <c r="E1922" s="59" t="s">
        <v>4291</v>
      </c>
      <c r="F1922" s="251">
        <v>2</v>
      </c>
      <c r="G1922" s="60" t="s">
        <v>0</v>
      </c>
      <c r="H1922" s="61">
        <v>43070</v>
      </c>
      <c r="I1922" s="62" t="s">
        <v>958</v>
      </c>
      <c r="J1922" s="63" t="s">
        <v>1917</v>
      </c>
      <c r="K1922" s="63" t="s">
        <v>961</v>
      </c>
      <c r="L1922" s="64" t="s">
        <v>950</v>
      </c>
      <c r="M1922" s="35">
        <v>2561.54</v>
      </c>
      <c r="N1922" s="65">
        <f t="shared" si="337"/>
        <v>1280.77</v>
      </c>
      <c r="O1922" s="35">
        <v>2561.54</v>
      </c>
      <c r="P1922" s="65">
        <v>1910</v>
      </c>
      <c r="Q1922" s="65">
        <f t="shared" si="330"/>
        <v>420.2</v>
      </c>
      <c r="R1922" s="65">
        <f t="shared" si="331"/>
        <v>2330.1999999999998</v>
      </c>
      <c r="S1922" s="268"/>
      <c r="T1922" s="64">
        <v>121</v>
      </c>
      <c r="U1922" s="270"/>
      <c r="V1922" s="38">
        <v>2131</v>
      </c>
      <c r="W1922" s="38">
        <f t="shared" si="332"/>
        <v>468.82</v>
      </c>
      <c r="X1922" s="38">
        <f t="shared" si="334"/>
        <v>2599.8200000000002</v>
      </c>
    </row>
    <row r="1923" spans="1:24" ht="26.25" customHeight="1" x14ac:dyDescent="0.35">
      <c r="A1923" s="56" t="s">
        <v>4382</v>
      </c>
      <c r="B1923" s="2">
        <v>1799</v>
      </c>
      <c r="C1923" s="58">
        <v>102018927</v>
      </c>
      <c r="D1923" s="58" t="s">
        <v>4264</v>
      </c>
      <c r="E1923" s="59" t="s">
        <v>4291</v>
      </c>
      <c r="F1923" s="251">
        <v>2</v>
      </c>
      <c r="G1923" s="60" t="s">
        <v>0</v>
      </c>
      <c r="H1923" s="61">
        <v>43070</v>
      </c>
      <c r="I1923" s="62" t="s">
        <v>958</v>
      </c>
      <c r="J1923" s="63" t="s">
        <v>4298</v>
      </c>
      <c r="K1923" s="63" t="s">
        <v>961</v>
      </c>
      <c r="L1923" s="64" t="s">
        <v>950</v>
      </c>
      <c r="M1923" s="35">
        <v>2551.7199999999998</v>
      </c>
      <c r="N1923" s="65">
        <f t="shared" si="337"/>
        <v>1275.8599999999999</v>
      </c>
      <c r="O1923" s="35">
        <v>2551.7199999999998</v>
      </c>
      <c r="P1923" s="65">
        <v>1900</v>
      </c>
      <c r="Q1923" s="65">
        <f t="shared" si="330"/>
        <v>418</v>
      </c>
      <c r="R1923" s="65">
        <f t="shared" si="331"/>
        <v>2318</v>
      </c>
      <c r="S1923" s="268"/>
      <c r="T1923" s="64">
        <v>121</v>
      </c>
      <c r="U1923" s="270"/>
      <c r="V1923" s="38">
        <v>2123</v>
      </c>
      <c r="W1923" s="38">
        <f t="shared" si="332"/>
        <v>467.06</v>
      </c>
      <c r="X1923" s="38">
        <f t="shared" si="334"/>
        <v>2590.06</v>
      </c>
    </row>
    <row r="1924" spans="1:24" ht="20.5" customHeight="1" x14ac:dyDescent="0.35">
      <c r="A1924" s="56" t="s">
        <v>4383</v>
      </c>
      <c r="B1924" s="2">
        <v>1800</v>
      </c>
      <c r="C1924" s="58">
        <v>102012862</v>
      </c>
      <c r="D1924" s="58" t="s">
        <v>4265</v>
      </c>
      <c r="E1924" s="59" t="s">
        <v>4291</v>
      </c>
      <c r="F1924" s="251">
        <v>7</v>
      </c>
      <c r="G1924" s="60" t="s">
        <v>0</v>
      </c>
      <c r="H1924" s="61">
        <v>43040</v>
      </c>
      <c r="I1924" s="62" t="s">
        <v>958</v>
      </c>
      <c r="J1924" s="63" t="s">
        <v>1917</v>
      </c>
      <c r="K1924" s="63" t="s">
        <v>961</v>
      </c>
      <c r="L1924" s="64" t="s">
        <v>950</v>
      </c>
      <c r="M1924" s="35">
        <v>9275.2099999999991</v>
      </c>
      <c r="N1924" s="65">
        <f t="shared" si="337"/>
        <v>1325.03</v>
      </c>
      <c r="O1924" s="35">
        <v>9275.2099999999991</v>
      </c>
      <c r="P1924" s="65">
        <v>6920</v>
      </c>
      <c r="Q1924" s="65">
        <f t="shared" si="330"/>
        <v>1522.4</v>
      </c>
      <c r="R1924" s="65">
        <f t="shared" si="331"/>
        <v>8442.4</v>
      </c>
      <c r="S1924" s="268"/>
      <c r="T1924" s="64">
        <v>121</v>
      </c>
      <c r="U1924" s="270"/>
      <c r="V1924" s="38">
        <v>7736</v>
      </c>
      <c r="W1924" s="38">
        <f t="shared" si="332"/>
        <v>1701.92</v>
      </c>
      <c r="X1924" s="38">
        <f t="shared" si="334"/>
        <v>9437.92</v>
      </c>
    </row>
    <row r="1925" spans="1:24" ht="20.5" customHeight="1" x14ac:dyDescent="0.35">
      <c r="A1925" s="56" t="s">
        <v>4384</v>
      </c>
      <c r="B1925" s="2">
        <v>1801</v>
      </c>
      <c r="C1925" s="58">
        <v>102011762</v>
      </c>
      <c r="D1925" s="58" t="s">
        <v>4266</v>
      </c>
      <c r="E1925" s="59" t="s">
        <v>4291</v>
      </c>
      <c r="F1925" s="251">
        <v>11</v>
      </c>
      <c r="G1925" s="60" t="s">
        <v>0</v>
      </c>
      <c r="H1925" s="61">
        <v>43070</v>
      </c>
      <c r="I1925" s="62" t="s">
        <v>958</v>
      </c>
      <c r="J1925" s="63" t="s">
        <v>1917</v>
      </c>
      <c r="K1925" s="63" t="s">
        <v>961</v>
      </c>
      <c r="L1925" s="64" t="s">
        <v>950</v>
      </c>
      <c r="M1925" s="35">
        <v>8109.42</v>
      </c>
      <c r="N1925" s="65">
        <f t="shared" si="337"/>
        <v>737.22</v>
      </c>
      <c r="O1925" s="35">
        <v>8109.42</v>
      </c>
      <c r="P1925" s="65">
        <v>6040</v>
      </c>
      <c r="Q1925" s="65">
        <f t="shared" si="330"/>
        <v>1328.8</v>
      </c>
      <c r="R1925" s="65">
        <f t="shared" si="331"/>
        <v>7368.8</v>
      </c>
      <c r="S1925" s="268"/>
      <c r="T1925" s="64">
        <v>121</v>
      </c>
      <c r="U1925" s="270"/>
      <c r="V1925" s="38">
        <v>6746</v>
      </c>
      <c r="W1925" s="38">
        <f t="shared" si="332"/>
        <v>1484.12</v>
      </c>
      <c r="X1925" s="38">
        <f t="shared" si="334"/>
        <v>8230.1200000000008</v>
      </c>
    </row>
    <row r="1926" spans="1:24" ht="20.5" customHeight="1" x14ac:dyDescent="0.35">
      <c r="A1926" s="56" t="s">
        <v>4385</v>
      </c>
      <c r="B1926" s="2">
        <v>1802</v>
      </c>
      <c r="C1926" s="58">
        <v>102018895</v>
      </c>
      <c r="D1926" s="58" t="s">
        <v>4267</v>
      </c>
      <c r="E1926" s="59" t="s">
        <v>4291</v>
      </c>
      <c r="F1926" s="251">
        <v>31</v>
      </c>
      <c r="G1926" s="60" t="s">
        <v>0</v>
      </c>
      <c r="H1926" s="61">
        <v>43040</v>
      </c>
      <c r="I1926" s="62" t="s">
        <v>958</v>
      </c>
      <c r="J1926" s="63" t="s">
        <v>1917</v>
      </c>
      <c r="K1926" s="63" t="s">
        <v>961</v>
      </c>
      <c r="L1926" s="64" t="s">
        <v>950</v>
      </c>
      <c r="M1926" s="35">
        <v>8866.93</v>
      </c>
      <c r="N1926" s="65">
        <f t="shared" si="337"/>
        <v>286.02999999999997</v>
      </c>
      <c r="O1926" s="35">
        <v>8866.93</v>
      </c>
      <c r="P1926" s="65">
        <v>6620</v>
      </c>
      <c r="Q1926" s="65">
        <f t="shared" si="330"/>
        <v>1456.4</v>
      </c>
      <c r="R1926" s="65">
        <f t="shared" si="331"/>
        <v>8076.4</v>
      </c>
      <c r="S1926" s="268"/>
      <c r="T1926" s="64">
        <v>121</v>
      </c>
      <c r="U1926" s="270"/>
      <c r="V1926" s="38">
        <v>7396</v>
      </c>
      <c r="W1926" s="38">
        <f t="shared" si="332"/>
        <v>1627.12</v>
      </c>
      <c r="X1926" s="38">
        <f t="shared" si="334"/>
        <v>9023.1200000000008</v>
      </c>
    </row>
    <row r="1927" spans="1:24" ht="20.5" customHeight="1" x14ac:dyDescent="0.35">
      <c r="A1927" s="56" t="s">
        <v>4386</v>
      </c>
      <c r="B1927" s="2">
        <v>1803</v>
      </c>
      <c r="C1927" s="58">
        <v>102018894</v>
      </c>
      <c r="D1927" s="58" t="s">
        <v>4268</v>
      </c>
      <c r="E1927" s="59" t="s">
        <v>4291</v>
      </c>
      <c r="F1927" s="251">
        <v>62</v>
      </c>
      <c r="G1927" s="60" t="s">
        <v>0</v>
      </c>
      <c r="H1927" s="61">
        <v>43040</v>
      </c>
      <c r="I1927" s="62" t="s">
        <v>958</v>
      </c>
      <c r="J1927" s="63" t="s">
        <v>1917</v>
      </c>
      <c r="K1927" s="63" t="s">
        <v>961</v>
      </c>
      <c r="L1927" s="64" t="s">
        <v>950</v>
      </c>
      <c r="M1927" s="35">
        <v>16744.34</v>
      </c>
      <c r="N1927" s="65">
        <f t="shared" si="337"/>
        <v>270.07</v>
      </c>
      <c r="O1927" s="35">
        <v>16744.34</v>
      </c>
      <c r="P1927" s="65">
        <v>12500</v>
      </c>
      <c r="Q1927" s="65">
        <f t="shared" si="330"/>
        <v>2750</v>
      </c>
      <c r="R1927" s="65">
        <f t="shared" si="331"/>
        <v>15250</v>
      </c>
      <c r="S1927" s="268"/>
      <c r="T1927" s="64">
        <v>121</v>
      </c>
      <c r="U1927" s="270"/>
      <c r="V1927" s="38">
        <v>13966</v>
      </c>
      <c r="W1927" s="38">
        <f t="shared" si="332"/>
        <v>3072.52</v>
      </c>
      <c r="X1927" s="38">
        <f t="shared" si="334"/>
        <v>17038.52</v>
      </c>
    </row>
    <row r="1928" spans="1:24" ht="20.5" customHeight="1" x14ac:dyDescent="0.35">
      <c r="A1928" s="56" t="s">
        <v>4387</v>
      </c>
      <c r="B1928" s="2">
        <v>1804</v>
      </c>
      <c r="C1928" s="58">
        <v>102017497</v>
      </c>
      <c r="D1928" s="58" t="s">
        <v>4269</v>
      </c>
      <c r="E1928" s="59" t="s">
        <v>4291</v>
      </c>
      <c r="F1928" s="251">
        <v>16</v>
      </c>
      <c r="G1928" s="60" t="s">
        <v>0</v>
      </c>
      <c r="H1928" s="61">
        <v>43070</v>
      </c>
      <c r="I1928" s="62" t="s">
        <v>958</v>
      </c>
      <c r="J1928" s="63" t="s">
        <v>1917</v>
      </c>
      <c r="K1928" s="63" t="s">
        <v>961</v>
      </c>
      <c r="L1928" s="64" t="s">
        <v>950</v>
      </c>
      <c r="M1928" s="35">
        <v>5608.96</v>
      </c>
      <c r="N1928" s="65">
        <f t="shared" si="337"/>
        <v>350.56</v>
      </c>
      <c r="O1928" s="35">
        <v>5608.96</v>
      </c>
      <c r="P1928" s="65">
        <v>4180</v>
      </c>
      <c r="Q1928" s="65">
        <f t="shared" si="330"/>
        <v>919.6</v>
      </c>
      <c r="R1928" s="65">
        <f t="shared" si="331"/>
        <v>5099.6000000000004</v>
      </c>
      <c r="S1928" s="268"/>
      <c r="T1928" s="64">
        <v>121</v>
      </c>
      <c r="U1928" s="270"/>
      <c r="V1928" s="38">
        <v>4666</v>
      </c>
      <c r="W1928" s="38">
        <f t="shared" si="332"/>
        <v>1026.52</v>
      </c>
      <c r="X1928" s="38">
        <f t="shared" si="334"/>
        <v>5692.52</v>
      </c>
    </row>
    <row r="1929" spans="1:24" ht="20.5" customHeight="1" x14ac:dyDescent="0.35">
      <c r="A1929" s="56" t="s">
        <v>4388</v>
      </c>
      <c r="B1929" s="2">
        <v>1805</v>
      </c>
      <c r="C1929" s="58">
        <v>102019021</v>
      </c>
      <c r="D1929" s="58" t="s">
        <v>4270</v>
      </c>
      <c r="E1929" s="59" t="s">
        <v>4291</v>
      </c>
      <c r="F1929" s="251">
        <v>50</v>
      </c>
      <c r="G1929" s="60" t="s">
        <v>0</v>
      </c>
      <c r="H1929" s="61">
        <v>43070</v>
      </c>
      <c r="I1929" s="62" t="s">
        <v>958</v>
      </c>
      <c r="J1929" s="63" t="s">
        <v>1917</v>
      </c>
      <c r="K1929" s="63" t="s">
        <v>961</v>
      </c>
      <c r="L1929" s="64" t="s">
        <v>950</v>
      </c>
      <c r="M1929" s="35">
        <v>7809</v>
      </c>
      <c r="N1929" s="65">
        <f t="shared" si="337"/>
        <v>156.18</v>
      </c>
      <c r="O1929" s="35">
        <v>7809</v>
      </c>
      <c r="P1929" s="65">
        <v>5810</v>
      </c>
      <c r="Q1929" s="65">
        <f t="shared" si="330"/>
        <v>1278.2</v>
      </c>
      <c r="R1929" s="65">
        <f t="shared" si="331"/>
        <v>7088.2</v>
      </c>
      <c r="S1929" s="268"/>
      <c r="T1929" s="64">
        <v>121</v>
      </c>
      <c r="U1929" s="270"/>
      <c r="V1929" s="38">
        <v>6496</v>
      </c>
      <c r="W1929" s="38">
        <f t="shared" si="332"/>
        <v>1429.12</v>
      </c>
      <c r="X1929" s="38">
        <f t="shared" si="334"/>
        <v>7925.12</v>
      </c>
    </row>
    <row r="1930" spans="1:24" ht="20.5" customHeight="1" x14ac:dyDescent="0.35">
      <c r="A1930" s="56" t="s">
        <v>4389</v>
      </c>
      <c r="B1930" s="2">
        <v>1806</v>
      </c>
      <c r="C1930" s="58">
        <v>102018997</v>
      </c>
      <c r="D1930" s="58" t="s">
        <v>4271</v>
      </c>
      <c r="E1930" s="59" t="s">
        <v>4291</v>
      </c>
      <c r="F1930" s="251">
        <v>22</v>
      </c>
      <c r="G1930" s="60" t="s">
        <v>0</v>
      </c>
      <c r="H1930" s="61">
        <v>43070</v>
      </c>
      <c r="I1930" s="62" t="s">
        <v>958</v>
      </c>
      <c r="J1930" s="63" t="s">
        <v>1917</v>
      </c>
      <c r="K1930" s="63" t="s">
        <v>961</v>
      </c>
      <c r="L1930" s="64" t="s">
        <v>950</v>
      </c>
      <c r="M1930" s="35">
        <v>113.96</v>
      </c>
      <c r="N1930" s="65">
        <f t="shared" si="337"/>
        <v>5.18</v>
      </c>
      <c r="O1930" s="35">
        <v>113.96</v>
      </c>
      <c r="P1930" s="65">
        <v>80</v>
      </c>
      <c r="Q1930" s="65">
        <f t="shared" si="330"/>
        <v>17.600000000000001</v>
      </c>
      <c r="R1930" s="65">
        <f t="shared" si="331"/>
        <v>97.6</v>
      </c>
      <c r="S1930" s="268"/>
      <c r="T1930" s="64">
        <v>121</v>
      </c>
      <c r="U1930" s="270"/>
      <c r="V1930" s="38">
        <v>95</v>
      </c>
      <c r="W1930" s="38">
        <f t="shared" si="332"/>
        <v>20.9</v>
      </c>
      <c r="X1930" s="38">
        <f t="shared" si="334"/>
        <v>115.9</v>
      </c>
    </row>
    <row r="1931" spans="1:24" ht="20.5" customHeight="1" x14ac:dyDescent="0.35">
      <c r="A1931" s="56" t="s">
        <v>4390</v>
      </c>
      <c r="B1931" s="2">
        <v>1807</v>
      </c>
      <c r="C1931" s="58">
        <v>102011790</v>
      </c>
      <c r="D1931" s="58" t="s">
        <v>4272</v>
      </c>
      <c r="E1931" s="59" t="s">
        <v>4291</v>
      </c>
      <c r="F1931" s="251">
        <v>2</v>
      </c>
      <c r="G1931" s="60" t="s">
        <v>0</v>
      </c>
      <c r="H1931" s="61">
        <v>43070</v>
      </c>
      <c r="I1931" s="62" t="s">
        <v>958</v>
      </c>
      <c r="J1931" s="63" t="s">
        <v>1917</v>
      </c>
      <c r="K1931" s="63" t="s">
        <v>961</v>
      </c>
      <c r="L1931" s="64" t="s">
        <v>950</v>
      </c>
      <c r="M1931" s="35">
        <v>8197.74</v>
      </c>
      <c r="N1931" s="65">
        <f t="shared" si="337"/>
        <v>4098.87</v>
      </c>
      <c r="O1931" s="35">
        <v>8197.74</v>
      </c>
      <c r="P1931" s="65">
        <v>6100</v>
      </c>
      <c r="Q1931" s="65">
        <f t="shared" si="330"/>
        <v>1342</v>
      </c>
      <c r="R1931" s="65">
        <f t="shared" si="331"/>
        <v>7442</v>
      </c>
      <c r="S1931" s="268"/>
      <c r="T1931" s="64">
        <v>121</v>
      </c>
      <c r="U1931" s="270"/>
      <c r="V1931" s="38">
        <v>6819</v>
      </c>
      <c r="W1931" s="38">
        <f t="shared" si="332"/>
        <v>1500.18</v>
      </c>
      <c r="X1931" s="38">
        <f t="shared" si="334"/>
        <v>8319.18</v>
      </c>
    </row>
    <row r="1932" spans="1:24" ht="73.5" customHeight="1" x14ac:dyDescent="0.35">
      <c r="A1932" s="56" t="s">
        <v>4391</v>
      </c>
      <c r="B1932" s="2">
        <v>1808</v>
      </c>
      <c r="C1932" s="58">
        <v>102011752</v>
      </c>
      <c r="D1932" s="58" t="s">
        <v>4273</v>
      </c>
      <c r="E1932" s="59" t="s">
        <v>4291</v>
      </c>
      <c r="F1932" s="251">
        <v>4</v>
      </c>
      <c r="G1932" s="60" t="s">
        <v>0</v>
      </c>
      <c r="H1932" s="61">
        <v>43070</v>
      </c>
      <c r="I1932" s="62" t="s">
        <v>958</v>
      </c>
      <c r="J1932" s="68" t="s">
        <v>4328</v>
      </c>
      <c r="K1932" s="63" t="s">
        <v>961</v>
      </c>
      <c r="L1932" s="64" t="s">
        <v>950</v>
      </c>
      <c r="M1932" s="35">
        <v>7950.72</v>
      </c>
      <c r="N1932" s="65">
        <f t="shared" si="337"/>
        <v>1987.68</v>
      </c>
      <c r="O1932" s="35">
        <v>7950.72</v>
      </c>
      <c r="P1932" s="65">
        <v>5920</v>
      </c>
      <c r="Q1932" s="65">
        <f t="shared" si="330"/>
        <v>1302.4000000000001</v>
      </c>
      <c r="R1932" s="65">
        <f t="shared" si="331"/>
        <v>7222.4</v>
      </c>
      <c r="S1932" s="268"/>
      <c r="T1932" s="64">
        <v>121</v>
      </c>
      <c r="U1932" s="270"/>
      <c r="V1932" s="38">
        <v>6614</v>
      </c>
      <c r="W1932" s="38">
        <f t="shared" si="332"/>
        <v>1455.08</v>
      </c>
      <c r="X1932" s="38">
        <f t="shared" si="334"/>
        <v>8069.08</v>
      </c>
    </row>
    <row r="1933" spans="1:24" ht="20.5" customHeight="1" x14ac:dyDescent="0.35">
      <c r="A1933" s="56" t="s">
        <v>4392</v>
      </c>
      <c r="B1933" s="2">
        <v>1809</v>
      </c>
      <c r="C1933" s="58">
        <v>102022277</v>
      </c>
      <c r="D1933" s="58" t="s">
        <v>4274</v>
      </c>
      <c r="E1933" s="59" t="s">
        <v>4291</v>
      </c>
      <c r="F1933" s="251">
        <v>1</v>
      </c>
      <c r="G1933" s="60" t="s">
        <v>0</v>
      </c>
      <c r="H1933" s="61">
        <v>43070</v>
      </c>
      <c r="I1933" s="62" t="s">
        <v>958</v>
      </c>
      <c r="J1933" s="63" t="s">
        <v>1917</v>
      </c>
      <c r="K1933" s="63" t="s">
        <v>961</v>
      </c>
      <c r="L1933" s="64" t="s">
        <v>950</v>
      </c>
      <c r="M1933" s="35">
        <v>69785.119999999995</v>
      </c>
      <c r="N1933" s="65">
        <f t="shared" si="337"/>
        <v>69785.119999999995</v>
      </c>
      <c r="O1933" s="35">
        <v>69785.119999999995</v>
      </c>
      <c r="P1933" s="65">
        <v>51950</v>
      </c>
      <c r="Q1933" s="65">
        <f t="shared" si="330"/>
        <v>11429</v>
      </c>
      <c r="R1933" s="65">
        <f t="shared" si="331"/>
        <v>63379</v>
      </c>
      <c r="S1933" s="268"/>
      <c r="T1933" s="64">
        <v>121</v>
      </c>
      <c r="U1933" s="270"/>
      <c r="V1933" s="38">
        <v>58050</v>
      </c>
      <c r="W1933" s="38">
        <f t="shared" si="332"/>
        <v>12771</v>
      </c>
      <c r="X1933" s="38">
        <f t="shared" si="334"/>
        <v>70821</v>
      </c>
    </row>
    <row r="1934" spans="1:24" ht="20.5" customHeight="1" x14ac:dyDescent="0.35">
      <c r="A1934" s="56" t="s">
        <v>4393</v>
      </c>
      <c r="B1934" s="2">
        <v>1810</v>
      </c>
      <c r="C1934" s="58">
        <v>102011749</v>
      </c>
      <c r="D1934" s="58" t="s">
        <v>4091</v>
      </c>
      <c r="E1934" s="59" t="s">
        <v>4291</v>
      </c>
      <c r="F1934" s="251">
        <v>1</v>
      </c>
      <c r="G1934" s="60" t="s">
        <v>0</v>
      </c>
      <c r="H1934" s="61">
        <v>42527</v>
      </c>
      <c r="I1934" s="62" t="s">
        <v>958</v>
      </c>
      <c r="J1934" s="63" t="s">
        <v>1917</v>
      </c>
      <c r="K1934" s="63" t="s">
        <v>961</v>
      </c>
      <c r="L1934" s="64" t="s">
        <v>950</v>
      </c>
      <c r="M1934" s="35">
        <v>177899.9</v>
      </c>
      <c r="N1934" s="65">
        <f t="shared" si="337"/>
        <v>177899.9</v>
      </c>
      <c r="O1934" s="35">
        <v>177899.9</v>
      </c>
      <c r="P1934" s="65">
        <v>239370</v>
      </c>
      <c r="Q1934" s="65">
        <f t="shared" si="330"/>
        <v>52661.4</v>
      </c>
      <c r="R1934" s="65">
        <f t="shared" si="331"/>
        <v>292031.40000000002</v>
      </c>
      <c r="S1934" s="268"/>
      <c r="T1934" s="64">
        <v>121</v>
      </c>
      <c r="U1934" s="270"/>
      <c r="V1934" s="38">
        <v>267454</v>
      </c>
      <c r="W1934" s="38">
        <f t="shared" si="332"/>
        <v>58839.88</v>
      </c>
      <c r="X1934" s="38">
        <f t="shared" si="334"/>
        <v>326293.88</v>
      </c>
    </row>
    <row r="1935" spans="1:24" ht="20.5" customHeight="1" x14ac:dyDescent="0.35">
      <c r="A1935" s="56" t="s">
        <v>4394</v>
      </c>
      <c r="B1935" s="2">
        <v>1811</v>
      </c>
      <c r="C1935" s="58">
        <v>102022730</v>
      </c>
      <c r="D1935" s="58" t="s">
        <v>4275</v>
      </c>
      <c r="E1935" s="59" t="s">
        <v>4291</v>
      </c>
      <c r="F1935" s="251">
        <v>10</v>
      </c>
      <c r="G1935" s="60" t="s">
        <v>0</v>
      </c>
      <c r="H1935" s="61">
        <v>43040</v>
      </c>
      <c r="I1935" s="62" t="s">
        <v>958</v>
      </c>
      <c r="J1935" s="63" t="s">
        <v>1917</v>
      </c>
      <c r="K1935" s="63" t="s">
        <v>961</v>
      </c>
      <c r="L1935" s="64" t="s">
        <v>950</v>
      </c>
      <c r="M1935" s="35">
        <v>4265.2</v>
      </c>
      <c r="N1935" s="65">
        <f t="shared" si="337"/>
        <v>426.52</v>
      </c>
      <c r="O1935" s="35">
        <v>4265.2</v>
      </c>
      <c r="P1935" s="65">
        <v>3180</v>
      </c>
      <c r="Q1935" s="65">
        <f t="shared" si="330"/>
        <v>699.6</v>
      </c>
      <c r="R1935" s="65">
        <f t="shared" si="331"/>
        <v>3879.6</v>
      </c>
      <c r="S1935" s="268"/>
      <c r="T1935" s="64">
        <v>121</v>
      </c>
      <c r="U1935" s="270"/>
      <c r="V1935" s="38">
        <v>3557</v>
      </c>
      <c r="W1935" s="38">
        <f t="shared" si="332"/>
        <v>782.54</v>
      </c>
      <c r="X1935" s="38">
        <f t="shared" si="334"/>
        <v>4339.54</v>
      </c>
    </row>
    <row r="1936" spans="1:24" ht="20.25" customHeight="1" x14ac:dyDescent="0.35">
      <c r="A1936" s="56" t="s">
        <v>4395</v>
      </c>
      <c r="B1936" s="2">
        <v>1812</v>
      </c>
      <c r="C1936" s="58">
        <v>102022272</v>
      </c>
      <c r="D1936" s="58" t="s">
        <v>4276</v>
      </c>
      <c r="E1936" s="59" t="s">
        <v>4291</v>
      </c>
      <c r="F1936" s="251">
        <v>7</v>
      </c>
      <c r="G1936" s="60" t="s">
        <v>0</v>
      </c>
      <c r="H1936" s="61">
        <v>43040</v>
      </c>
      <c r="I1936" s="62" t="s">
        <v>958</v>
      </c>
      <c r="J1936" s="63" t="s">
        <v>1917</v>
      </c>
      <c r="K1936" s="63" t="s">
        <v>961</v>
      </c>
      <c r="L1936" s="64" t="s">
        <v>950</v>
      </c>
      <c r="M1936" s="35">
        <v>6514.69</v>
      </c>
      <c r="N1936" s="65">
        <f t="shared" si="337"/>
        <v>930.67</v>
      </c>
      <c r="O1936" s="35">
        <v>6514.69</v>
      </c>
      <c r="P1936" s="65">
        <v>4860</v>
      </c>
      <c r="Q1936" s="65">
        <f t="shared" si="330"/>
        <v>1069.2</v>
      </c>
      <c r="R1936" s="65">
        <f t="shared" si="331"/>
        <v>5929.2</v>
      </c>
      <c r="S1936" s="268"/>
      <c r="T1936" s="64">
        <v>121</v>
      </c>
      <c r="U1936" s="270"/>
      <c r="V1936" s="38">
        <v>5434</v>
      </c>
      <c r="W1936" s="38">
        <f t="shared" si="332"/>
        <v>1195.48</v>
      </c>
      <c r="X1936" s="38">
        <f t="shared" si="334"/>
        <v>6629.48</v>
      </c>
    </row>
    <row r="1937" spans="1:24" ht="30.75" customHeight="1" x14ac:dyDescent="0.35">
      <c r="A1937" s="56" t="s">
        <v>4396</v>
      </c>
      <c r="B1937" s="2">
        <v>1813</v>
      </c>
      <c r="C1937" s="58">
        <v>102012994</v>
      </c>
      <c r="D1937" s="58" t="s">
        <v>4277</v>
      </c>
      <c r="E1937" s="59" t="s">
        <v>4291</v>
      </c>
      <c r="F1937" s="251">
        <v>1</v>
      </c>
      <c r="G1937" s="60" t="s">
        <v>0</v>
      </c>
      <c r="H1937" s="61">
        <v>43070</v>
      </c>
      <c r="I1937" s="62" t="s">
        <v>958</v>
      </c>
      <c r="J1937" s="68" t="s">
        <v>4329</v>
      </c>
      <c r="K1937" s="63" t="s">
        <v>961</v>
      </c>
      <c r="L1937" s="64" t="s">
        <v>950</v>
      </c>
      <c r="M1937" s="35">
        <v>59324.42</v>
      </c>
      <c r="N1937" s="65">
        <f t="shared" si="337"/>
        <v>59324.42</v>
      </c>
      <c r="O1937" s="35">
        <v>59324.42</v>
      </c>
      <c r="P1937" s="65">
        <v>44170</v>
      </c>
      <c r="Q1937" s="65">
        <f t="shared" si="330"/>
        <v>9717.4</v>
      </c>
      <c r="R1937" s="65">
        <f t="shared" si="331"/>
        <v>53887.4</v>
      </c>
      <c r="S1937" s="268"/>
      <c r="T1937" s="64">
        <v>121</v>
      </c>
      <c r="U1937" s="270"/>
      <c r="V1937" s="38">
        <v>49348</v>
      </c>
      <c r="W1937" s="38">
        <f t="shared" si="332"/>
        <v>10856.56</v>
      </c>
      <c r="X1937" s="38">
        <f t="shared" si="334"/>
        <v>60204.56</v>
      </c>
    </row>
    <row r="1938" spans="1:24" ht="20.5" customHeight="1" x14ac:dyDescent="0.35">
      <c r="A1938" s="56" t="s">
        <v>4397</v>
      </c>
      <c r="B1938" s="2">
        <v>1814</v>
      </c>
      <c r="C1938" s="58">
        <v>102017487</v>
      </c>
      <c r="D1938" s="58" t="s">
        <v>4278</v>
      </c>
      <c r="E1938" s="59" t="s">
        <v>4291</v>
      </c>
      <c r="F1938" s="251">
        <v>2</v>
      </c>
      <c r="G1938" s="60" t="s">
        <v>0</v>
      </c>
      <c r="H1938" s="61">
        <v>43040</v>
      </c>
      <c r="I1938" s="62" t="s">
        <v>958</v>
      </c>
      <c r="J1938" s="63" t="s">
        <v>1917</v>
      </c>
      <c r="K1938" s="63" t="s">
        <v>961</v>
      </c>
      <c r="L1938" s="64" t="s">
        <v>950</v>
      </c>
      <c r="M1938" s="35">
        <v>90.04</v>
      </c>
      <c r="N1938" s="65">
        <f t="shared" si="337"/>
        <v>45.02</v>
      </c>
      <c r="O1938" s="35">
        <v>90.04</v>
      </c>
      <c r="P1938" s="65">
        <v>70</v>
      </c>
      <c r="Q1938" s="65">
        <f t="shared" si="330"/>
        <v>15.4</v>
      </c>
      <c r="R1938" s="65">
        <f t="shared" si="331"/>
        <v>85.4</v>
      </c>
      <c r="S1938" s="268"/>
      <c r="T1938" s="64">
        <v>121</v>
      </c>
      <c r="U1938" s="270"/>
      <c r="V1938" s="38">
        <v>75</v>
      </c>
      <c r="W1938" s="38">
        <f t="shared" si="332"/>
        <v>16.5</v>
      </c>
      <c r="X1938" s="38">
        <f t="shared" si="334"/>
        <v>91.5</v>
      </c>
    </row>
    <row r="1939" spans="1:24" ht="20.5" customHeight="1" x14ac:dyDescent="0.35">
      <c r="A1939" s="56" t="s">
        <v>4398</v>
      </c>
      <c r="B1939" s="2">
        <v>1815</v>
      </c>
      <c r="C1939" s="58">
        <v>102011776</v>
      </c>
      <c r="D1939" s="58" t="s">
        <v>4279</v>
      </c>
      <c r="E1939" s="59" t="s">
        <v>4291</v>
      </c>
      <c r="F1939" s="251">
        <v>1</v>
      </c>
      <c r="G1939" s="60" t="s">
        <v>0</v>
      </c>
      <c r="H1939" s="61">
        <v>43040</v>
      </c>
      <c r="I1939" s="62" t="s">
        <v>958</v>
      </c>
      <c r="J1939" s="63" t="s">
        <v>1917</v>
      </c>
      <c r="K1939" s="63" t="s">
        <v>961</v>
      </c>
      <c r="L1939" s="64" t="s">
        <v>950</v>
      </c>
      <c r="M1939" s="35">
        <v>740.86</v>
      </c>
      <c r="N1939" s="65">
        <f t="shared" si="337"/>
        <v>740.86</v>
      </c>
      <c r="O1939" s="35">
        <v>740.86</v>
      </c>
      <c r="P1939" s="65">
        <v>550</v>
      </c>
      <c r="Q1939" s="65">
        <f t="shared" si="330"/>
        <v>121</v>
      </c>
      <c r="R1939" s="65">
        <f t="shared" si="331"/>
        <v>671</v>
      </c>
      <c r="S1939" s="268"/>
      <c r="T1939" s="64">
        <v>121</v>
      </c>
      <c r="U1939" s="270"/>
      <c r="V1939" s="38">
        <v>618</v>
      </c>
      <c r="W1939" s="38">
        <f t="shared" si="332"/>
        <v>135.96</v>
      </c>
      <c r="X1939" s="38">
        <f t="shared" si="334"/>
        <v>753.96</v>
      </c>
    </row>
    <row r="1940" spans="1:24" ht="20.5" customHeight="1" x14ac:dyDescent="0.35">
      <c r="A1940" s="56" t="s">
        <v>4399</v>
      </c>
      <c r="B1940" s="2">
        <v>1816</v>
      </c>
      <c r="C1940" s="58">
        <v>102018880</v>
      </c>
      <c r="D1940" s="58" t="s">
        <v>4280</v>
      </c>
      <c r="E1940" s="59" t="s">
        <v>4291</v>
      </c>
      <c r="F1940" s="251">
        <v>360</v>
      </c>
      <c r="G1940" s="60" t="s">
        <v>17</v>
      </c>
      <c r="H1940" s="61">
        <v>43040</v>
      </c>
      <c r="I1940" s="62" t="s">
        <v>958</v>
      </c>
      <c r="J1940" s="63" t="s">
        <v>1917</v>
      </c>
      <c r="K1940" s="63" t="s">
        <v>961</v>
      </c>
      <c r="L1940" s="64" t="s">
        <v>950</v>
      </c>
      <c r="M1940" s="35">
        <v>37821.599999999999</v>
      </c>
      <c r="N1940" s="65">
        <f t="shared" si="337"/>
        <v>105.06</v>
      </c>
      <c r="O1940" s="35">
        <v>37821.599999999999</v>
      </c>
      <c r="P1940" s="65">
        <v>28230</v>
      </c>
      <c r="Q1940" s="65">
        <f t="shared" si="330"/>
        <v>6210.6</v>
      </c>
      <c r="R1940" s="65">
        <f t="shared" si="331"/>
        <v>34440.6</v>
      </c>
      <c r="S1940" s="268"/>
      <c r="T1940" s="64">
        <v>121</v>
      </c>
      <c r="U1940" s="270"/>
      <c r="V1940" s="38">
        <v>31546</v>
      </c>
      <c r="W1940" s="38">
        <f t="shared" si="332"/>
        <v>6940.12</v>
      </c>
      <c r="X1940" s="38">
        <f t="shared" si="334"/>
        <v>38486.120000000003</v>
      </c>
    </row>
    <row r="1941" spans="1:24" ht="33.75" customHeight="1" x14ac:dyDescent="0.35">
      <c r="A1941" s="56" t="s">
        <v>4400</v>
      </c>
      <c r="B1941" s="2">
        <v>1817</v>
      </c>
      <c r="C1941" s="58">
        <v>102018879</v>
      </c>
      <c r="D1941" s="58" t="s">
        <v>4281</v>
      </c>
      <c r="E1941" s="59" t="s">
        <v>4291</v>
      </c>
      <c r="F1941" s="251">
        <v>360</v>
      </c>
      <c r="G1941" s="60" t="s">
        <v>17</v>
      </c>
      <c r="H1941" s="61">
        <v>43040</v>
      </c>
      <c r="I1941" s="62" t="s">
        <v>958</v>
      </c>
      <c r="J1941" s="63" t="s">
        <v>2149</v>
      </c>
      <c r="K1941" s="63" t="s">
        <v>961</v>
      </c>
      <c r="L1941" s="64" t="s">
        <v>950</v>
      </c>
      <c r="M1941" s="35">
        <v>154710</v>
      </c>
      <c r="N1941" s="65">
        <f t="shared" si="337"/>
        <v>429.75</v>
      </c>
      <c r="O1941" s="35">
        <v>154710</v>
      </c>
      <c r="P1941" s="65">
        <v>115490</v>
      </c>
      <c r="Q1941" s="65">
        <f t="shared" si="330"/>
        <v>25407.8</v>
      </c>
      <c r="R1941" s="65">
        <f t="shared" si="331"/>
        <v>140897.79999999999</v>
      </c>
      <c r="S1941" s="268"/>
      <c r="T1941" s="64">
        <v>121</v>
      </c>
      <c r="U1941" s="270"/>
      <c r="V1941" s="38">
        <v>129038</v>
      </c>
      <c r="W1941" s="38">
        <f t="shared" si="332"/>
        <v>28388.36</v>
      </c>
      <c r="X1941" s="38">
        <f t="shared" si="334"/>
        <v>157426.35999999999</v>
      </c>
    </row>
    <row r="1942" spans="1:24" ht="20.5" customHeight="1" x14ac:dyDescent="0.35">
      <c r="A1942" s="56" t="s">
        <v>4401</v>
      </c>
      <c r="B1942" s="2">
        <v>1818</v>
      </c>
      <c r="C1942" s="58">
        <v>102018854</v>
      </c>
      <c r="D1942" s="58" t="s">
        <v>4282</v>
      </c>
      <c r="E1942" s="59" t="s">
        <v>4291</v>
      </c>
      <c r="F1942" s="251">
        <v>28</v>
      </c>
      <c r="G1942" s="60" t="s">
        <v>17</v>
      </c>
      <c r="H1942" s="61">
        <v>43040</v>
      </c>
      <c r="I1942" s="62" t="s">
        <v>958</v>
      </c>
      <c r="J1942" s="63" t="s">
        <v>1917</v>
      </c>
      <c r="K1942" s="63" t="s">
        <v>961</v>
      </c>
      <c r="L1942" s="64" t="s">
        <v>950</v>
      </c>
      <c r="M1942" s="35">
        <v>1002.68</v>
      </c>
      <c r="N1942" s="65">
        <f t="shared" si="337"/>
        <v>35.81</v>
      </c>
      <c r="O1942" s="35">
        <v>1002.68</v>
      </c>
      <c r="P1942" s="65">
        <v>750</v>
      </c>
      <c r="Q1942" s="65">
        <f t="shared" si="330"/>
        <v>165</v>
      </c>
      <c r="R1942" s="65">
        <f t="shared" si="331"/>
        <v>915</v>
      </c>
      <c r="S1942" s="268"/>
      <c r="T1942" s="64">
        <v>121</v>
      </c>
      <c r="U1942" s="270"/>
      <c r="V1942" s="38">
        <v>836</v>
      </c>
      <c r="W1942" s="38">
        <f t="shared" si="332"/>
        <v>183.92</v>
      </c>
      <c r="X1942" s="38">
        <f t="shared" si="334"/>
        <v>1019.92</v>
      </c>
    </row>
    <row r="1943" spans="1:24" ht="20.5" customHeight="1" x14ac:dyDescent="0.35">
      <c r="A1943" s="56" t="s">
        <v>4402</v>
      </c>
      <c r="B1943" s="2">
        <v>1819</v>
      </c>
      <c r="C1943" s="58">
        <v>102018885</v>
      </c>
      <c r="D1943" s="58" t="s">
        <v>4283</v>
      </c>
      <c r="E1943" s="59" t="s">
        <v>4291</v>
      </c>
      <c r="F1943" s="251">
        <v>1</v>
      </c>
      <c r="G1943" s="60" t="s">
        <v>0</v>
      </c>
      <c r="H1943" s="61">
        <v>43040</v>
      </c>
      <c r="I1943" s="62" t="s">
        <v>958</v>
      </c>
      <c r="J1943" s="63" t="s">
        <v>1917</v>
      </c>
      <c r="K1943" s="63" t="s">
        <v>961</v>
      </c>
      <c r="L1943" s="64" t="s">
        <v>950</v>
      </c>
      <c r="M1943" s="35">
        <v>137.1</v>
      </c>
      <c r="N1943" s="65">
        <f t="shared" si="337"/>
        <v>137.1</v>
      </c>
      <c r="O1943" s="35">
        <v>137.1</v>
      </c>
      <c r="P1943" s="65">
        <v>100</v>
      </c>
      <c r="Q1943" s="65">
        <f t="shared" si="330"/>
        <v>22</v>
      </c>
      <c r="R1943" s="65">
        <f t="shared" si="331"/>
        <v>122</v>
      </c>
      <c r="S1943" s="268"/>
      <c r="T1943" s="64">
        <v>121</v>
      </c>
      <c r="U1943" s="270"/>
      <c r="V1943" s="38">
        <v>114</v>
      </c>
      <c r="W1943" s="38">
        <f t="shared" si="332"/>
        <v>25.08</v>
      </c>
      <c r="X1943" s="38">
        <f t="shared" si="334"/>
        <v>139.08000000000001</v>
      </c>
    </row>
    <row r="1944" spans="1:24" ht="20.5" customHeight="1" x14ac:dyDescent="0.35">
      <c r="A1944" s="56" t="s">
        <v>4403</v>
      </c>
      <c r="B1944" s="2">
        <v>1820</v>
      </c>
      <c r="C1944" s="58">
        <v>102017506</v>
      </c>
      <c r="D1944" s="58" t="s">
        <v>4284</v>
      </c>
      <c r="E1944" s="59" t="s">
        <v>4291</v>
      </c>
      <c r="F1944" s="251">
        <v>138</v>
      </c>
      <c r="G1944" s="60" t="s">
        <v>0</v>
      </c>
      <c r="H1944" s="61">
        <v>43040</v>
      </c>
      <c r="I1944" s="62" t="s">
        <v>958</v>
      </c>
      <c r="J1944" s="63" t="s">
        <v>1917</v>
      </c>
      <c r="K1944" s="63" t="s">
        <v>961</v>
      </c>
      <c r="L1944" s="64" t="s">
        <v>950</v>
      </c>
      <c r="M1944" s="35">
        <v>1193.7</v>
      </c>
      <c r="N1944" s="65">
        <f t="shared" si="337"/>
        <v>8.65</v>
      </c>
      <c r="O1944" s="35">
        <v>1193.7</v>
      </c>
      <c r="P1944" s="65">
        <v>890</v>
      </c>
      <c r="Q1944" s="65">
        <f t="shared" si="330"/>
        <v>195.8</v>
      </c>
      <c r="R1944" s="65">
        <f t="shared" si="331"/>
        <v>1085.8</v>
      </c>
      <c r="S1944" s="268"/>
      <c r="T1944" s="64">
        <v>121</v>
      </c>
      <c r="U1944" s="270"/>
      <c r="V1944" s="38">
        <v>996</v>
      </c>
      <c r="W1944" s="38">
        <f t="shared" si="332"/>
        <v>219.12</v>
      </c>
      <c r="X1944" s="38">
        <f t="shared" si="334"/>
        <v>1215.1199999999999</v>
      </c>
    </row>
    <row r="1945" spans="1:24" ht="20.5" customHeight="1" x14ac:dyDescent="0.35">
      <c r="A1945" s="56" t="s">
        <v>4404</v>
      </c>
      <c r="B1945" s="2">
        <v>1821</v>
      </c>
      <c r="C1945" s="58">
        <v>102011756</v>
      </c>
      <c r="D1945" s="58" t="s">
        <v>4285</v>
      </c>
      <c r="E1945" s="59" t="s">
        <v>4291</v>
      </c>
      <c r="F1945" s="251">
        <v>1</v>
      </c>
      <c r="G1945" s="60" t="s">
        <v>0</v>
      </c>
      <c r="H1945" s="61">
        <v>43070</v>
      </c>
      <c r="I1945" s="62" t="s">
        <v>958</v>
      </c>
      <c r="J1945" s="63" t="s">
        <v>1917</v>
      </c>
      <c r="K1945" s="63" t="s">
        <v>961</v>
      </c>
      <c r="L1945" s="64" t="s">
        <v>950</v>
      </c>
      <c r="M1945" s="35">
        <v>23339.919999999998</v>
      </c>
      <c r="N1945" s="65">
        <f t="shared" si="337"/>
        <v>23339.919999999998</v>
      </c>
      <c r="O1945" s="35">
        <v>23339.919999999998</v>
      </c>
      <c r="P1945" s="65">
        <v>17380</v>
      </c>
      <c r="Q1945" s="65">
        <f t="shared" si="330"/>
        <v>3823.6</v>
      </c>
      <c r="R1945" s="65">
        <f t="shared" si="331"/>
        <v>21203.599999999999</v>
      </c>
      <c r="S1945" s="268"/>
      <c r="T1945" s="64">
        <v>121</v>
      </c>
      <c r="U1945" s="270"/>
      <c r="V1945" s="38">
        <v>19415</v>
      </c>
      <c r="W1945" s="38">
        <f t="shared" si="332"/>
        <v>4271.3</v>
      </c>
      <c r="X1945" s="38">
        <f t="shared" si="334"/>
        <v>23686.3</v>
      </c>
    </row>
    <row r="1946" spans="1:24" ht="20.5" customHeight="1" x14ac:dyDescent="0.35">
      <c r="A1946" s="56" t="s">
        <v>4405</v>
      </c>
      <c r="B1946" s="2">
        <v>1822</v>
      </c>
      <c r="C1946" s="58">
        <v>102022710</v>
      </c>
      <c r="D1946" s="58" t="s">
        <v>4286</v>
      </c>
      <c r="E1946" s="59" t="s">
        <v>4291</v>
      </c>
      <c r="F1946" s="251">
        <v>1</v>
      </c>
      <c r="G1946" s="60" t="s">
        <v>0</v>
      </c>
      <c r="H1946" s="61">
        <v>43070</v>
      </c>
      <c r="I1946" s="62" t="s">
        <v>958</v>
      </c>
      <c r="J1946" s="63" t="s">
        <v>1917</v>
      </c>
      <c r="K1946" s="63" t="s">
        <v>961</v>
      </c>
      <c r="L1946" s="64" t="s">
        <v>950</v>
      </c>
      <c r="M1946" s="35">
        <v>151004.20000000001</v>
      </c>
      <c r="N1946" s="65">
        <f t="shared" si="337"/>
        <v>151004.20000000001</v>
      </c>
      <c r="O1946" s="35">
        <v>151004.20000000001</v>
      </c>
      <c r="P1946" s="65">
        <v>112420</v>
      </c>
      <c r="Q1946" s="65">
        <f t="shared" si="330"/>
        <v>24732.400000000001</v>
      </c>
      <c r="R1946" s="65">
        <f t="shared" si="331"/>
        <v>137152.4</v>
      </c>
      <c r="S1946" s="268"/>
      <c r="T1946" s="64">
        <v>121</v>
      </c>
      <c r="U1946" s="270"/>
      <c r="V1946" s="38">
        <v>125611</v>
      </c>
      <c r="W1946" s="38">
        <f t="shared" si="332"/>
        <v>27634.42</v>
      </c>
      <c r="X1946" s="38">
        <f t="shared" si="334"/>
        <v>153245.42000000001</v>
      </c>
    </row>
    <row r="1947" spans="1:24" ht="20.5" customHeight="1" x14ac:dyDescent="0.35">
      <c r="A1947" s="56" t="s">
        <v>4406</v>
      </c>
      <c r="B1947" s="2">
        <v>1823</v>
      </c>
      <c r="C1947" s="58">
        <v>102023031</v>
      </c>
      <c r="D1947" s="58" t="s">
        <v>4287</v>
      </c>
      <c r="E1947" s="59" t="s">
        <v>4291</v>
      </c>
      <c r="F1947" s="251">
        <v>1</v>
      </c>
      <c r="G1947" s="60" t="s">
        <v>0</v>
      </c>
      <c r="H1947" s="61">
        <v>43070</v>
      </c>
      <c r="I1947" s="62" t="s">
        <v>958</v>
      </c>
      <c r="J1947" s="63" t="s">
        <v>1917</v>
      </c>
      <c r="K1947" s="63" t="s">
        <v>961</v>
      </c>
      <c r="L1947" s="64" t="s">
        <v>950</v>
      </c>
      <c r="M1947" s="35">
        <v>59311.18</v>
      </c>
      <c r="N1947" s="65">
        <f t="shared" si="337"/>
        <v>59311.18</v>
      </c>
      <c r="O1947" s="35">
        <v>59311.18</v>
      </c>
      <c r="P1947" s="65">
        <v>44160</v>
      </c>
      <c r="Q1947" s="65">
        <f t="shared" si="330"/>
        <v>9715.2000000000007</v>
      </c>
      <c r="R1947" s="65">
        <f t="shared" si="331"/>
        <v>53875.199999999997</v>
      </c>
      <c r="S1947" s="268"/>
      <c r="T1947" s="64">
        <v>121</v>
      </c>
      <c r="U1947" s="270"/>
      <c r="V1947" s="38">
        <v>49337</v>
      </c>
      <c r="W1947" s="38">
        <f t="shared" si="332"/>
        <v>10854.14</v>
      </c>
      <c r="X1947" s="38">
        <f t="shared" si="334"/>
        <v>60191.14</v>
      </c>
    </row>
    <row r="1948" spans="1:24" ht="20.5" customHeight="1" x14ac:dyDescent="0.35">
      <c r="A1948" s="56" t="s">
        <v>4407</v>
      </c>
      <c r="B1948" s="2">
        <v>1824</v>
      </c>
      <c r="C1948" s="58">
        <v>102022990</v>
      </c>
      <c r="D1948" s="58" t="s">
        <v>4288</v>
      </c>
      <c r="E1948" s="59" t="s">
        <v>4291</v>
      </c>
      <c r="F1948" s="251">
        <v>1</v>
      </c>
      <c r="G1948" s="60" t="s">
        <v>0</v>
      </c>
      <c r="H1948" s="61">
        <v>43070</v>
      </c>
      <c r="I1948" s="62" t="s">
        <v>958</v>
      </c>
      <c r="J1948" s="63" t="s">
        <v>1917</v>
      </c>
      <c r="K1948" s="63" t="s">
        <v>961</v>
      </c>
      <c r="L1948" s="64" t="s">
        <v>950</v>
      </c>
      <c r="M1948" s="35">
        <v>52061.33</v>
      </c>
      <c r="N1948" s="65">
        <f t="shared" si="337"/>
        <v>52061.33</v>
      </c>
      <c r="O1948" s="35">
        <v>52061.33</v>
      </c>
      <c r="P1948" s="65">
        <v>38760</v>
      </c>
      <c r="Q1948" s="65">
        <f t="shared" si="330"/>
        <v>8527.2000000000007</v>
      </c>
      <c r="R1948" s="65">
        <f t="shared" si="331"/>
        <v>47287.199999999997</v>
      </c>
      <c r="S1948" s="268"/>
      <c r="T1948" s="64">
        <v>121</v>
      </c>
      <c r="U1948" s="270"/>
      <c r="V1948" s="38">
        <v>43307</v>
      </c>
      <c r="W1948" s="38">
        <f t="shared" si="332"/>
        <v>9527.5400000000009</v>
      </c>
      <c r="X1948" s="38">
        <f t="shared" si="334"/>
        <v>52834.54</v>
      </c>
    </row>
    <row r="1949" spans="1:24" ht="20.5" customHeight="1" x14ac:dyDescent="0.35">
      <c r="A1949" s="56" t="s">
        <v>4408</v>
      </c>
      <c r="B1949" s="2">
        <v>1825</v>
      </c>
      <c r="C1949" s="58">
        <v>102022989</v>
      </c>
      <c r="D1949" s="58" t="s">
        <v>4289</v>
      </c>
      <c r="E1949" s="59" t="s">
        <v>4291</v>
      </c>
      <c r="F1949" s="251">
        <v>1</v>
      </c>
      <c r="G1949" s="60" t="s">
        <v>0</v>
      </c>
      <c r="H1949" s="61">
        <v>43070</v>
      </c>
      <c r="I1949" s="62" t="s">
        <v>958</v>
      </c>
      <c r="J1949" s="63" t="s">
        <v>1917</v>
      </c>
      <c r="K1949" s="63" t="s">
        <v>961</v>
      </c>
      <c r="L1949" s="64" t="s">
        <v>950</v>
      </c>
      <c r="M1949" s="35">
        <v>68341.31</v>
      </c>
      <c r="N1949" s="65">
        <f t="shared" si="337"/>
        <v>68341.31</v>
      </c>
      <c r="O1949" s="35">
        <v>68341.31</v>
      </c>
      <c r="P1949" s="65">
        <v>50880</v>
      </c>
      <c r="Q1949" s="65">
        <f t="shared" si="330"/>
        <v>11193.6</v>
      </c>
      <c r="R1949" s="65">
        <f t="shared" si="331"/>
        <v>62073.599999999999</v>
      </c>
      <c r="S1949" s="268"/>
      <c r="T1949" s="64">
        <v>121</v>
      </c>
      <c r="U1949" s="270"/>
      <c r="V1949" s="38">
        <v>56849</v>
      </c>
      <c r="W1949" s="38">
        <f t="shared" si="332"/>
        <v>12506.78</v>
      </c>
      <c r="X1949" s="38">
        <f t="shared" si="334"/>
        <v>69355.78</v>
      </c>
    </row>
    <row r="1950" spans="1:24" ht="20.5" customHeight="1" x14ac:dyDescent="0.35">
      <c r="A1950" s="56" t="s">
        <v>4409</v>
      </c>
      <c r="B1950" s="2">
        <v>1826</v>
      </c>
      <c r="C1950" s="58">
        <v>102018850</v>
      </c>
      <c r="D1950" s="58" t="s">
        <v>4290</v>
      </c>
      <c r="E1950" s="59" t="s">
        <v>4291</v>
      </c>
      <c r="F1950" s="251">
        <v>1</v>
      </c>
      <c r="G1950" s="60" t="s">
        <v>17</v>
      </c>
      <c r="H1950" s="61">
        <v>43040</v>
      </c>
      <c r="I1950" s="62" t="s">
        <v>958</v>
      </c>
      <c r="J1950" s="63" t="s">
        <v>1917</v>
      </c>
      <c r="K1950" s="63" t="s">
        <v>961</v>
      </c>
      <c r="L1950" s="64" t="s">
        <v>950</v>
      </c>
      <c r="M1950" s="35">
        <v>251.89</v>
      </c>
      <c r="N1950" s="65">
        <f t="shared" si="337"/>
        <v>251.89</v>
      </c>
      <c r="O1950" s="35">
        <v>251.89</v>
      </c>
      <c r="P1950" s="65">
        <v>190</v>
      </c>
      <c r="Q1950" s="65">
        <f t="shared" si="330"/>
        <v>41.8</v>
      </c>
      <c r="R1950" s="65">
        <f t="shared" si="331"/>
        <v>231.8</v>
      </c>
      <c r="S1950" s="269"/>
      <c r="T1950" s="64">
        <v>121</v>
      </c>
      <c r="U1950" s="270"/>
      <c r="V1950" s="38">
        <v>210</v>
      </c>
      <c r="W1950" s="38">
        <f t="shared" si="332"/>
        <v>46.2</v>
      </c>
      <c r="X1950" s="38">
        <f t="shared" si="334"/>
        <v>256.2</v>
      </c>
    </row>
    <row r="1951" spans="1:24" ht="20.5" customHeight="1" x14ac:dyDescent="0.35">
      <c r="A1951" s="56"/>
      <c r="B1951" s="15"/>
      <c r="C1951" s="74"/>
      <c r="D1951" s="59"/>
      <c r="E1951" s="59"/>
      <c r="F1951" s="197"/>
      <c r="G1951" s="115"/>
      <c r="H1951" s="88"/>
      <c r="I1951" s="64"/>
      <c r="J1951" s="63"/>
      <c r="K1951" s="64"/>
      <c r="L1951" s="64"/>
      <c r="M1951" s="174"/>
      <c r="N1951" s="65"/>
      <c r="O1951" s="195">
        <f>SUM(O1920:O1950)</f>
        <v>969689.44</v>
      </c>
      <c r="P1951" s="195">
        <f t="shared" ref="P1951:R1951" si="338">SUM(P1920:P1950)</f>
        <v>829920</v>
      </c>
      <c r="Q1951" s="195">
        <f t="shared" si="338"/>
        <v>182582.39999999999</v>
      </c>
      <c r="R1951" s="195">
        <f t="shared" si="338"/>
        <v>1012502.4</v>
      </c>
      <c r="S1951" s="72">
        <f>R1951/100*10</f>
        <v>101250.24000000001</v>
      </c>
      <c r="T1951" s="73">
        <v>121</v>
      </c>
      <c r="U1951" s="271"/>
      <c r="V1951" s="38"/>
      <c r="W1951" s="38"/>
      <c r="X1951" s="38"/>
    </row>
    <row r="1952" spans="1:24" ht="20.5" customHeight="1" x14ac:dyDescent="0.35">
      <c r="A1952" s="56" t="s">
        <v>4410</v>
      </c>
      <c r="B1952" s="2">
        <v>1827</v>
      </c>
      <c r="C1952" s="74">
        <v>102013012</v>
      </c>
      <c r="D1952" s="105" t="s">
        <v>4086</v>
      </c>
      <c r="E1952" s="205" t="s">
        <v>4327</v>
      </c>
      <c r="F1952" s="197">
        <v>1</v>
      </c>
      <c r="G1952" s="64" t="s">
        <v>0</v>
      </c>
      <c r="H1952" s="252">
        <v>43097</v>
      </c>
      <c r="I1952" s="61" t="s">
        <v>975</v>
      </c>
      <c r="J1952" s="63" t="s">
        <v>1917</v>
      </c>
      <c r="K1952" s="63" t="s">
        <v>961</v>
      </c>
      <c r="L1952" s="64" t="s">
        <v>950</v>
      </c>
      <c r="M1952" s="253">
        <v>87461.25</v>
      </c>
      <c r="N1952" s="65">
        <f>O1952/F1952</f>
        <v>87461.25</v>
      </c>
      <c r="O1952" s="204">
        <v>87461.25</v>
      </c>
      <c r="P1952" s="65">
        <v>87130</v>
      </c>
      <c r="Q1952" s="65">
        <f t="shared" si="330"/>
        <v>19168.599999999999</v>
      </c>
      <c r="R1952" s="65">
        <f t="shared" si="331"/>
        <v>106298.6</v>
      </c>
      <c r="S1952" s="267"/>
      <c r="T1952" s="64">
        <v>122</v>
      </c>
      <c r="U1952" s="273" t="s">
        <v>4475</v>
      </c>
      <c r="V1952" s="38">
        <v>97346</v>
      </c>
      <c r="W1952" s="38">
        <f t="shared" si="332"/>
        <v>21416.12</v>
      </c>
      <c r="X1952" s="38">
        <f t="shared" si="334"/>
        <v>118762.12</v>
      </c>
    </row>
    <row r="1953" spans="1:24" ht="20.5" customHeight="1" x14ac:dyDescent="0.35">
      <c r="A1953" s="56" t="s">
        <v>4411</v>
      </c>
      <c r="B1953" s="2">
        <v>1828</v>
      </c>
      <c r="C1953" s="74">
        <v>102011787</v>
      </c>
      <c r="D1953" s="105" t="s">
        <v>4299</v>
      </c>
      <c r="E1953" s="205" t="s">
        <v>4327</v>
      </c>
      <c r="F1953" s="197">
        <v>3</v>
      </c>
      <c r="G1953" s="64" t="s">
        <v>0</v>
      </c>
      <c r="H1953" s="252">
        <v>43097</v>
      </c>
      <c r="I1953" s="61" t="s">
        <v>975</v>
      </c>
      <c r="J1953" s="63" t="s">
        <v>1917</v>
      </c>
      <c r="K1953" s="63" t="s">
        <v>961</v>
      </c>
      <c r="L1953" s="64" t="s">
        <v>950</v>
      </c>
      <c r="M1953" s="253">
        <v>3752.49</v>
      </c>
      <c r="N1953" s="65">
        <f t="shared" ref="N1953:N2019" si="339">O1953/F1953</f>
        <v>1250.83</v>
      </c>
      <c r="O1953" s="204">
        <v>3752.49</v>
      </c>
      <c r="P1953" s="65">
        <v>2790</v>
      </c>
      <c r="Q1953" s="65">
        <f t="shared" si="330"/>
        <v>613.79999999999995</v>
      </c>
      <c r="R1953" s="65">
        <f t="shared" si="331"/>
        <v>3403.8</v>
      </c>
      <c r="S1953" s="268"/>
      <c r="T1953" s="64">
        <v>122</v>
      </c>
      <c r="U1953" s="270"/>
      <c r="V1953" s="38">
        <v>3121</v>
      </c>
      <c r="W1953" s="38">
        <f t="shared" si="332"/>
        <v>686.62</v>
      </c>
      <c r="X1953" s="38">
        <f t="shared" si="334"/>
        <v>3807.62</v>
      </c>
    </row>
    <row r="1954" spans="1:24" ht="20.5" customHeight="1" x14ac:dyDescent="0.35">
      <c r="A1954" s="56" t="s">
        <v>4412</v>
      </c>
      <c r="B1954" s="2">
        <v>1829</v>
      </c>
      <c r="C1954" s="74">
        <v>102018817</v>
      </c>
      <c r="D1954" s="105" t="s">
        <v>4300</v>
      </c>
      <c r="E1954" s="205" t="s">
        <v>4327</v>
      </c>
      <c r="F1954" s="197">
        <v>168</v>
      </c>
      <c r="G1954" s="64" t="s">
        <v>0</v>
      </c>
      <c r="H1954" s="252">
        <v>43097</v>
      </c>
      <c r="I1954" s="61" t="s">
        <v>975</v>
      </c>
      <c r="J1954" s="63" t="s">
        <v>1917</v>
      </c>
      <c r="K1954" s="63" t="s">
        <v>961</v>
      </c>
      <c r="L1954" s="64" t="s">
        <v>950</v>
      </c>
      <c r="M1954" s="253">
        <v>35196</v>
      </c>
      <c r="N1954" s="65">
        <f t="shared" si="339"/>
        <v>209.5</v>
      </c>
      <c r="O1954" s="204">
        <v>35196</v>
      </c>
      <c r="P1954" s="65">
        <v>26200</v>
      </c>
      <c r="Q1954" s="65">
        <f t="shared" si="330"/>
        <v>5764</v>
      </c>
      <c r="R1954" s="65">
        <f t="shared" si="331"/>
        <v>31964</v>
      </c>
      <c r="S1954" s="268"/>
      <c r="T1954" s="64">
        <v>122</v>
      </c>
      <c r="U1954" s="270"/>
      <c r="V1954" s="38">
        <v>29277</v>
      </c>
      <c r="W1954" s="38">
        <f t="shared" si="332"/>
        <v>6440.94</v>
      </c>
      <c r="X1954" s="38">
        <f t="shared" si="334"/>
        <v>35717.94</v>
      </c>
    </row>
    <row r="1955" spans="1:24" ht="20.5" customHeight="1" x14ac:dyDescent="0.35">
      <c r="A1955" s="56" t="s">
        <v>4413</v>
      </c>
      <c r="B1955" s="2">
        <v>1830</v>
      </c>
      <c r="C1955" s="74">
        <v>102018784</v>
      </c>
      <c r="D1955" s="105" t="s">
        <v>4301</v>
      </c>
      <c r="E1955" s="205" t="s">
        <v>4327</v>
      </c>
      <c r="F1955" s="197">
        <v>1</v>
      </c>
      <c r="G1955" s="64" t="s">
        <v>0</v>
      </c>
      <c r="H1955" s="252">
        <v>43097</v>
      </c>
      <c r="I1955" s="61" t="s">
        <v>975</v>
      </c>
      <c r="J1955" s="63" t="s">
        <v>1917</v>
      </c>
      <c r="K1955" s="63" t="s">
        <v>961</v>
      </c>
      <c r="L1955" s="64" t="s">
        <v>950</v>
      </c>
      <c r="M1955" s="253">
        <v>4730.8500000000004</v>
      </c>
      <c r="N1955" s="65">
        <f t="shared" si="339"/>
        <v>4730.8500000000004</v>
      </c>
      <c r="O1955" s="204">
        <v>4730.8500000000004</v>
      </c>
      <c r="P1955" s="65">
        <v>3520</v>
      </c>
      <c r="Q1955" s="65">
        <f t="shared" si="330"/>
        <v>774.4</v>
      </c>
      <c r="R1955" s="65">
        <f t="shared" si="331"/>
        <v>4294.3999999999996</v>
      </c>
      <c r="S1955" s="268"/>
      <c r="T1955" s="64">
        <v>122</v>
      </c>
      <c r="U1955" s="270"/>
      <c r="V1955" s="38">
        <v>3935</v>
      </c>
      <c r="W1955" s="38">
        <f t="shared" si="332"/>
        <v>865.7</v>
      </c>
      <c r="X1955" s="38">
        <f t="shared" si="334"/>
        <v>4800.7</v>
      </c>
    </row>
    <row r="1956" spans="1:24" ht="20.5" customHeight="1" x14ac:dyDescent="0.35">
      <c r="A1956" s="56" t="s">
        <v>4414</v>
      </c>
      <c r="B1956" s="2">
        <v>1831</v>
      </c>
      <c r="C1956" s="74">
        <v>102020001</v>
      </c>
      <c r="D1956" s="105" t="s">
        <v>4238</v>
      </c>
      <c r="E1956" s="205" t="s">
        <v>4327</v>
      </c>
      <c r="F1956" s="197">
        <v>1</v>
      </c>
      <c r="G1956" s="64" t="s">
        <v>0</v>
      </c>
      <c r="H1956" s="252">
        <v>43097</v>
      </c>
      <c r="I1956" s="61" t="s">
        <v>975</v>
      </c>
      <c r="J1956" s="63" t="s">
        <v>1917</v>
      </c>
      <c r="K1956" s="63" t="s">
        <v>961</v>
      </c>
      <c r="L1956" s="64" t="s">
        <v>950</v>
      </c>
      <c r="M1956" s="253">
        <v>6610.38</v>
      </c>
      <c r="N1956" s="65">
        <f t="shared" si="339"/>
        <v>6610.38</v>
      </c>
      <c r="O1956" s="204">
        <v>6610.38</v>
      </c>
      <c r="P1956" s="65">
        <v>4930</v>
      </c>
      <c r="Q1956" s="65">
        <f t="shared" si="330"/>
        <v>1084.5999999999999</v>
      </c>
      <c r="R1956" s="65">
        <f t="shared" si="331"/>
        <v>6014.6</v>
      </c>
      <c r="S1956" s="268"/>
      <c r="T1956" s="64">
        <v>122</v>
      </c>
      <c r="U1956" s="270"/>
      <c r="V1956" s="38">
        <v>5513</v>
      </c>
      <c r="W1956" s="38">
        <f t="shared" si="332"/>
        <v>1212.8599999999999</v>
      </c>
      <c r="X1956" s="38">
        <f t="shared" si="334"/>
        <v>6725.86</v>
      </c>
    </row>
    <row r="1957" spans="1:24" ht="20.5" customHeight="1" x14ac:dyDescent="0.35">
      <c r="A1957" s="56" t="s">
        <v>4415</v>
      </c>
      <c r="B1957" s="2">
        <v>1832</v>
      </c>
      <c r="C1957" s="74">
        <v>102018883</v>
      </c>
      <c r="D1957" s="105" t="s">
        <v>4239</v>
      </c>
      <c r="E1957" s="205" t="s">
        <v>4327</v>
      </c>
      <c r="F1957" s="197">
        <v>1</v>
      </c>
      <c r="G1957" s="64" t="s">
        <v>0</v>
      </c>
      <c r="H1957" s="252">
        <v>43097</v>
      </c>
      <c r="I1957" s="61" t="s">
        <v>975</v>
      </c>
      <c r="J1957" s="63" t="s">
        <v>1917</v>
      </c>
      <c r="K1957" s="63" t="s">
        <v>961</v>
      </c>
      <c r="L1957" s="64" t="s">
        <v>950</v>
      </c>
      <c r="M1957" s="253">
        <v>547.89</v>
      </c>
      <c r="N1957" s="65">
        <f t="shared" si="339"/>
        <v>547.89</v>
      </c>
      <c r="O1957" s="204">
        <v>547.89</v>
      </c>
      <c r="P1957" s="65">
        <v>410</v>
      </c>
      <c r="Q1957" s="65">
        <f t="shared" si="330"/>
        <v>90.2</v>
      </c>
      <c r="R1957" s="65">
        <f t="shared" si="331"/>
        <v>500.2</v>
      </c>
      <c r="S1957" s="268"/>
      <c r="T1957" s="64">
        <v>122</v>
      </c>
      <c r="U1957" s="270"/>
      <c r="V1957" s="38">
        <v>457</v>
      </c>
      <c r="W1957" s="38">
        <f t="shared" si="332"/>
        <v>100.54</v>
      </c>
      <c r="X1957" s="38">
        <f t="shared" si="334"/>
        <v>557.54</v>
      </c>
    </row>
    <row r="1958" spans="1:24" ht="20.5" customHeight="1" x14ac:dyDescent="0.35">
      <c r="A1958" s="56" t="s">
        <v>4416</v>
      </c>
      <c r="B1958" s="2">
        <v>1833</v>
      </c>
      <c r="C1958" s="74">
        <v>102018801</v>
      </c>
      <c r="D1958" s="105" t="s">
        <v>4302</v>
      </c>
      <c r="E1958" s="205" t="s">
        <v>4327</v>
      </c>
      <c r="F1958" s="197">
        <v>5</v>
      </c>
      <c r="G1958" s="64" t="s">
        <v>0</v>
      </c>
      <c r="H1958" s="252">
        <v>43097</v>
      </c>
      <c r="I1958" s="61" t="s">
        <v>975</v>
      </c>
      <c r="J1958" s="63" t="s">
        <v>1917</v>
      </c>
      <c r="K1958" s="63" t="s">
        <v>961</v>
      </c>
      <c r="L1958" s="64" t="s">
        <v>950</v>
      </c>
      <c r="M1958" s="253">
        <v>4302.2</v>
      </c>
      <c r="N1958" s="65">
        <f t="shared" si="339"/>
        <v>860.44</v>
      </c>
      <c r="O1958" s="204">
        <v>4302.2</v>
      </c>
      <c r="P1958" s="65">
        <v>3200</v>
      </c>
      <c r="Q1958" s="65">
        <f t="shared" si="330"/>
        <v>704</v>
      </c>
      <c r="R1958" s="65">
        <f t="shared" si="331"/>
        <v>3904</v>
      </c>
      <c r="S1958" s="268"/>
      <c r="T1958" s="64">
        <v>122</v>
      </c>
      <c r="U1958" s="270"/>
      <c r="V1958" s="38">
        <v>3579</v>
      </c>
      <c r="W1958" s="38">
        <f t="shared" si="332"/>
        <v>787.38</v>
      </c>
      <c r="X1958" s="38">
        <f t="shared" si="334"/>
        <v>4366.38</v>
      </c>
    </row>
    <row r="1959" spans="1:24" ht="20.5" customHeight="1" x14ac:dyDescent="0.35">
      <c r="A1959" s="56" t="s">
        <v>4417</v>
      </c>
      <c r="B1959" s="2">
        <v>1834</v>
      </c>
      <c r="C1959" s="74">
        <v>102018759</v>
      </c>
      <c r="D1959" s="105" t="s">
        <v>4240</v>
      </c>
      <c r="E1959" s="205" t="s">
        <v>4327</v>
      </c>
      <c r="F1959" s="197">
        <v>1</v>
      </c>
      <c r="G1959" s="64" t="s">
        <v>0</v>
      </c>
      <c r="H1959" s="252">
        <v>43097</v>
      </c>
      <c r="I1959" s="61" t="s">
        <v>975</v>
      </c>
      <c r="J1959" s="63" t="s">
        <v>1917</v>
      </c>
      <c r="K1959" s="63" t="s">
        <v>961</v>
      </c>
      <c r="L1959" s="64" t="s">
        <v>950</v>
      </c>
      <c r="M1959" s="253">
        <v>778.49</v>
      </c>
      <c r="N1959" s="65">
        <f t="shared" si="339"/>
        <v>778.49</v>
      </c>
      <c r="O1959" s="204">
        <v>778.49</v>
      </c>
      <c r="P1959" s="65">
        <v>580</v>
      </c>
      <c r="Q1959" s="65">
        <f t="shared" si="330"/>
        <v>127.6</v>
      </c>
      <c r="R1959" s="65">
        <f t="shared" si="331"/>
        <v>707.6</v>
      </c>
      <c r="S1959" s="268"/>
      <c r="T1959" s="64">
        <v>122</v>
      </c>
      <c r="U1959" s="270"/>
      <c r="V1959" s="38">
        <v>649</v>
      </c>
      <c r="W1959" s="38">
        <f t="shared" si="332"/>
        <v>142.78</v>
      </c>
      <c r="X1959" s="38">
        <f t="shared" si="334"/>
        <v>791.78</v>
      </c>
    </row>
    <row r="1960" spans="1:24" ht="20.5" customHeight="1" x14ac:dyDescent="0.35">
      <c r="A1960" s="56" t="s">
        <v>4418</v>
      </c>
      <c r="B1960" s="2">
        <v>1835</v>
      </c>
      <c r="C1960" s="74">
        <v>102018873</v>
      </c>
      <c r="D1960" s="105" t="s">
        <v>4303</v>
      </c>
      <c r="E1960" s="205" t="s">
        <v>4327</v>
      </c>
      <c r="F1960" s="197">
        <v>5</v>
      </c>
      <c r="G1960" s="64" t="s">
        <v>0</v>
      </c>
      <c r="H1960" s="252">
        <v>43097</v>
      </c>
      <c r="I1960" s="61" t="s">
        <v>975</v>
      </c>
      <c r="J1960" s="63" t="s">
        <v>1917</v>
      </c>
      <c r="K1960" s="63" t="s">
        <v>961</v>
      </c>
      <c r="L1960" s="64" t="s">
        <v>950</v>
      </c>
      <c r="M1960" s="253">
        <v>1404.7</v>
      </c>
      <c r="N1960" s="65">
        <f t="shared" si="339"/>
        <v>280.94</v>
      </c>
      <c r="O1960" s="204">
        <v>1404.7</v>
      </c>
      <c r="P1960" s="65">
        <v>1050</v>
      </c>
      <c r="Q1960" s="65">
        <f t="shared" si="330"/>
        <v>231</v>
      </c>
      <c r="R1960" s="65">
        <f t="shared" si="331"/>
        <v>1281</v>
      </c>
      <c r="S1960" s="268"/>
      <c r="T1960" s="64">
        <v>122</v>
      </c>
      <c r="U1960" s="270"/>
      <c r="V1960" s="38">
        <v>1168</v>
      </c>
      <c r="W1960" s="38">
        <f t="shared" si="332"/>
        <v>256.95999999999998</v>
      </c>
      <c r="X1960" s="38">
        <f t="shared" si="334"/>
        <v>1424.96</v>
      </c>
    </row>
    <row r="1961" spans="1:24" ht="20.5" customHeight="1" x14ac:dyDescent="0.35">
      <c r="A1961" s="56" t="s">
        <v>4419</v>
      </c>
      <c r="B1961" s="2">
        <v>1836</v>
      </c>
      <c r="C1961" s="74">
        <v>102018874</v>
      </c>
      <c r="D1961" s="105" t="s">
        <v>4304</v>
      </c>
      <c r="E1961" s="205" t="s">
        <v>4327</v>
      </c>
      <c r="F1961" s="197">
        <v>4</v>
      </c>
      <c r="G1961" s="64" t="s">
        <v>0</v>
      </c>
      <c r="H1961" s="252">
        <v>43097</v>
      </c>
      <c r="I1961" s="61" t="s">
        <v>975</v>
      </c>
      <c r="J1961" s="63" t="s">
        <v>1917</v>
      </c>
      <c r="K1961" s="63" t="s">
        <v>961</v>
      </c>
      <c r="L1961" s="64" t="s">
        <v>950</v>
      </c>
      <c r="M1961" s="253">
        <v>2460.84</v>
      </c>
      <c r="N1961" s="65">
        <f t="shared" si="339"/>
        <v>615.21</v>
      </c>
      <c r="O1961" s="204">
        <v>2460.84</v>
      </c>
      <c r="P1961" s="65">
        <v>1830</v>
      </c>
      <c r="Q1961" s="65">
        <f t="shared" si="330"/>
        <v>402.6</v>
      </c>
      <c r="R1961" s="65">
        <f t="shared" si="331"/>
        <v>2232.6</v>
      </c>
      <c r="S1961" s="268"/>
      <c r="T1961" s="64">
        <v>122</v>
      </c>
      <c r="U1961" s="270"/>
      <c r="V1961" s="38">
        <v>2047</v>
      </c>
      <c r="W1961" s="38">
        <f t="shared" si="332"/>
        <v>450.34</v>
      </c>
      <c r="X1961" s="38">
        <f t="shared" si="334"/>
        <v>2497.34</v>
      </c>
    </row>
    <row r="1962" spans="1:24" ht="20.5" customHeight="1" x14ac:dyDescent="0.35">
      <c r="A1962" s="56" t="s">
        <v>4420</v>
      </c>
      <c r="B1962" s="2">
        <v>1837</v>
      </c>
      <c r="C1962" s="74">
        <v>102019396</v>
      </c>
      <c r="D1962" s="105" t="s">
        <v>4244</v>
      </c>
      <c r="E1962" s="205" t="s">
        <v>4327</v>
      </c>
      <c r="F1962" s="197">
        <v>197</v>
      </c>
      <c r="G1962" s="64" t="s">
        <v>0</v>
      </c>
      <c r="H1962" s="252">
        <v>43097</v>
      </c>
      <c r="I1962" s="61" t="s">
        <v>975</v>
      </c>
      <c r="J1962" s="63" t="s">
        <v>1917</v>
      </c>
      <c r="K1962" s="63" t="s">
        <v>961</v>
      </c>
      <c r="L1962" s="64" t="s">
        <v>950</v>
      </c>
      <c r="M1962" s="253">
        <v>7070.33</v>
      </c>
      <c r="N1962" s="65">
        <f t="shared" si="339"/>
        <v>35.89</v>
      </c>
      <c r="O1962" s="204">
        <v>7070.33</v>
      </c>
      <c r="P1962" s="65">
        <v>5280</v>
      </c>
      <c r="Q1962" s="65">
        <f t="shared" si="330"/>
        <v>1161.5999999999999</v>
      </c>
      <c r="R1962" s="65">
        <f t="shared" si="331"/>
        <v>6441.6</v>
      </c>
      <c r="S1962" s="268"/>
      <c r="T1962" s="64">
        <v>122</v>
      </c>
      <c r="U1962" s="270"/>
      <c r="V1962" s="38">
        <v>5897</v>
      </c>
      <c r="W1962" s="38">
        <f t="shared" si="332"/>
        <v>1297.3399999999999</v>
      </c>
      <c r="X1962" s="38">
        <f t="shared" si="334"/>
        <v>7194.34</v>
      </c>
    </row>
    <row r="1963" spans="1:24" ht="20.5" customHeight="1" x14ac:dyDescent="0.35">
      <c r="A1963" s="56" t="s">
        <v>4421</v>
      </c>
      <c r="B1963" s="2">
        <v>1838</v>
      </c>
      <c r="C1963" s="74">
        <v>102019429</v>
      </c>
      <c r="D1963" s="105" t="s">
        <v>4245</v>
      </c>
      <c r="E1963" s="205" t="s">
        <v>4327</v>
      </c>
      <c r="F1963" s="197">
        <v>985</v>
      </c>
      <c r="G1963" s="64" t="s">
        <v>0</v>
      </c>
      <c r="H1963" s="252">
        <v>43097</v>
      </c>
      <c r="I1963" s="61" t="s">
        <v>975</v>
      </c>
      <c r="J1963" s="63" t="s">
        <v>1917</v>
      </c>
      <c r="K1963" s="63" t="s">
        <v>961</v>
      </c>
      <c r="L1963" s="64" t="s">
        <v>950</v>
      </c>
      <c r="M1963" s="253">
        <v>48097.55</v>
      </c>
      <c r="N1963" s="65">
        <f t="shared" si="339"/>
        <v>48.83</v>
      </c>
      <c r="O1963" s="204">
        <v>48097.55</v>
      </c>
      <c r="P1963" s="65">
        <v>35900</v>
      </c>
      <c r="Q1963" s="65">
        <f t="shared" si="330"/>
        <v>7898</v>
      </c>
      <c r="R1963" s="65">
        <f t="shared" si="331"/>
        <v>43798</v>
      </c>
      <c r="S1963" s="268"/>
      <c r="T1963" s="64">
        <v>122</v>
      </c>
      <c r="U1963" s="270"/>
      <c r="V1963" s="38">
        <v>40116</v>
      </c>
      <c r="W1963" s="38">
        <f t="shared" si="332"/>
        <v>8825.52</v>
      </c>
      <c r="X1963" s="38">
        <f t="shared" si="334"/>
        <v>48941.52</v>
      </c>
    </row>
    <row r="1964" spans="1:24" ht="20.5" customHeight="1" x14ac:dyDescent="0.35">
      <c r="A1964" s="56" t="s">
        <v>4422</v>
      </c>
      <c r="B1964" s="2">
        <v>1839</v>
      </c>
      <c r="C1964" s="74">
        <v>102019395</v>
      </c>
      <c r="D1964" s="105" t="s">
        <v>4246</v>
      </c>
      <c r="E1964" s="205" t="s">
        <v>4327</v>
      </c>
      <c r="F1964" s="197">
        <v>268</v>
      </c>
      <c r="G1964" s="64" t="s">
        <v>0</v>
      </c>
      <c r="H1964" s="252">
        <v>43097</v>
      </c>
      <c r="I1964" s="61" t="s">
        <v>975</v>
      </c>
      <c r="J1964" s="63" t="s">
        <v>1917</v>
      </c>
      <c r="K1964" s="63" t="s">
        <v>961</v>
      </c>
      <c r="L1964" s="64" t="s">
        <v>950</v>
      </c>
      <c r="M1964" s="253">
        <v>16147</v>
      </c>
      <c r="N1964" s="65">
        <f t="shared" si="339"/>
        <v>60.25</v>
      </c>
      <c r="O1964" s="204">
        <v>16147</v>
      </c>
      <c r="P1964" s="65">
        <v>12050</v>
      </c>
      <c r="Q1964" s="65">
        <f t="shared" si="330"/>
        <v>2651</v>
      </c>
      <c r="R1964" s="65">
        <f t="shared" si="331"/>
        <v>14701</v>
      </c>
      <c r="S1964" s="268"/>
      <c r="T1964" s="64">
        <v>122</v>
      </c>
      <c r="U1964" s="270"/>
      <c r="V1964" s="38">
        <v>13468</v>
      </c>
      <c r="W1964" s="38">
        <f t="shared" si="332"/>
        <v>2962.96</v>
      </c>
      <c r="X1964" s="38">
        <f t="shared" si="334"/>
        <v>16430.96</v>
      </c>
    </row>
    <row r="1965" spans="1:24" ht="20.5" customHeight="1" x14ac:dyDescent="0.35">
      <c r="A1965" s="56" t="s">
        <v>4423</v>
      </c>
      <c r="B1965" s="2">
        <v>1840</v>
      </c>
      <c r="C1965" s="74">
        <v>102011802</v>
      </c>
      <c r="D1965" s="105" t="s">
        <v>4305</v>
      </c>
      <c r="E1965" s="205" t="s">
        <v>4327</v>
      </c>
      <c r="F1965" s="197">
        <v>1</v>
      </c>
      <c r="G1965" s="64" t="s">
        <v>0</v>
      </c>
      <c r="H1965" s="252">
        <v>43097</v>
      </c>
      <c r="I1965" s="61" t="s">
        <v>975</v>
      </c>
      <c r="J1965" s="63" t="s">
        <v>1917</v>
      </c>
      <c r="K1965" s="63" t="s">
        <v>961</v>
      </c>
      <c r="L1965" s="64" t="s">
        <v>950</v>
      </c>
      <c r="M1965" s="253">
        <v>42179.89</v>
      </c>
      <c r="N1965" s="65">
        <f t="shared" si="339"/>
        <v>42179.89</v>
      </c>
      <c r="O1965" s="204">
        <v>42179.89</v>
      </c>
      <c r="P1965" s="65">
        <v>31400</v>
      </c>
      <c r="Q1965" s="65">
        <f t="shared" si="330"/>
        <v>6908</v>
      </c>
      <c r="R1965" s="65">
        <f t="shared" si="331"/>
        <v>38308</v>
      </c>
      <c r="S1965" s="268"/>
      <c r="T1965" s="64">
        <v>122</v>
      </c>
      <c r="U1965" s="270"/>
      <c r="V1965" s="38">
        <v>35087</v>
      </c>
      <c r="W1965" s="38">
        <f t="shared" si="332"/>
        <v>7719.14</v>
      </c>
      <c r="X1965" s="38">
        <f t="shared" si="334"/>
        <v>42806.14</v>
      </c>
    </row>
    <row r="1966" spans="1:24" ht="20.5" customHeight="1" x14ac:dyDescent="0.35">
      <c r="A1966" s="56" t="s">
        <v>4424</v>
      </c>
      <c r="B1966" s="2">
        <v>1841</v>
      </c>
      <c r="C1966" s="74">
        <v>102018783</v>
      </c>
      <c r="D1966" s="105" t="s">
        <v>4306</v>
      </c>
      <c r="E1966" s="205" t="s">
        <v>4327</v>
      </c>
      <c r="F1966" s="197">
        <v>18</v>
      </c>
      <c r="G1966" s="64" t="s">
        <v>0</v>
      </c>
      <c r="H1966" s="252">
        <v>43097</v>
      </c>
      <c r="I1966" s="61" t="s">
        <v>975</v>
      </c>
      <c r="J1966" s="63" t="s">
        <v>1917</v>
      </c>
      <c r="K1966" s="63" t="s">
        <v>961</v>
      </c>
      <c r="L1966" s="64" t="s">
        <v>950</v>
      </c>
      <c r="M1966" s="253">
        <v>680.22</v>
      </c>
      <c r="N1966" s="65">
        <f t="shared" si="339"/>
        <v>37.79</v>
      </c>
      <c r="O1966" s="204">
        <v>680.22</v>
      </c>
      <c r="P1966" s="65">
        <v>510</v>
      </c>
      <c r="Q1966" s="65">
        <f t="shared" si="330"/>
        <v>112.2</v>
      </c>
      <c r="R1966" s="65">
        <f t="shared" si="331"/>
        <v>622.20000000000005</v>
      </c>
      <c r="S1966" s="268"/>
      <c r="T1966" s="64">
        <v>122</v>
      </c>
      <c r="U1966" s="270"/>
      <c r="V1966" s="38">
        <v>566</v>
      </c>
      <c r="W1966" s="38">
        <f t="shared" si="332"/>
        <v>124.52</v>
      </c>
      <c r="X1966" s="38">
        <f t="shared" si="334"/>
        <v>690.52</v>
      </c>
    </row>
    <row r="1967" spans="1:24" ht="20.5" customHeight="1" x14ac:dyDescent="0.35">
      <c r="A1967" s="56" t="s">
        <v>4425</v>
      </c>
      <c r="B1967" s="2">
        <v>1842</v>
      </c>
      <c r="C1967" s="74">
        <v>102018941</v>
      </c>
      <c r="D1967" s="105" t="s">
        <v>4250</v>
      </c>
      <c r="E1967" s="205" t="s">
        <v>4327</v>
      </c>
      <c r="F1967" s="197">
        <v>9</v>
      </c>
      <c r="G1967" s="64" t="s">
        <v>0</v>
      </c>
      <c r="H1967" s="252">
        <v>43097</v>
      </c>
      <c r="I1967" s="61" t="s">
        <v>975</v>
      </c>
      <c r="J1967" s="63" t="s">
        <v>1917</v>
      </c>
      <c r="K1967" s="63" t="s">
        <v>961</v>
      </c>
      <c r="L1967" s="64" t="s">
        <v>950</v>
      </c>
      <c r="M1967" s="253">
        <v>1066.4100000000001</v>
      </c>
      <c r="N1967" s="65">
        <f t="shared" si="339"/>
        <v>118.49</v>
      </c>
      <c r="O1967" s="204">
        <v>1066.4100000000001</v>
      </c>
      <c r="P1967" s="65">
        <v>800</v>
      </c>
      <c r="Q1967" s="65">
        <f t="shared" si="330"/>
        <v>176</v>
      </c>
      <c r="R1967" s="65">
        <f t="shared" si="331"/>
        <v>976</v>
      </c>
      <c r="S1967" s="268"/>
      <c r="T1967" s="64">
        <v>122</v>
      </c>
      <c r="U1967" s="270"/>
      <c r="V1967" s="38">
        <v>889</v>
      </c>
      <c r="W1967" s="38">
        <f t="shared" si="332"/>
        <v>195.58</v>
      </c>
      <c r="X1967" s="38">
        <f t="shared" si="334"/>
        <v>1084.58</v>
      </c>
    </row>
    <row r="1968" spans="1:24" ht="20.5" customHeight="1" x14ac:dyDescent="0.35">
      <c r="A1968" s="56" t="s">
        <v>4426</v>
      </c>
      <c r="B1968" s="2">
        <v>1843</v>
      </c>
      <c r="C1968" s="74">
        <v>102011786</v>
      </c>
      <c r="D1968" s="105" t="s">
        <v>4307</v>
      </c>
      <c r="E1968" s="205" t="s">
        <v>4327</v>
      </c>
      <c r="F1968" s="197">
        <v>1</v>
      </c>
      <c r="G1968" s="64" t="s">
        <v>0</v>
      </c>
      <c r="H1968" s="252">
        <v>43097</v>
      </c>
      <c r="I1968" s="61" t="s">
        <v>975</v>
      </c>
      <c r="J1968" s="63" t="s">
        <v>1917</v>
      </c>
      <c r="K1968" s="63" t="s">
        <v>961</v>
      </c>
      <c r="L1968" s="64" t="s">
        <v>950</v>
      </c>
      <c r="M1968" s="253">
        <v>69348.7</v>
      </c>
      <c r="N1968" s="65">
        <f t="shared" si="339"/>
        <v>69348.7</v>
      </c>
      <c r="O1968" s="204">
        <v>69348.7</v>
      </c>
      <c r="P1968" s="65">
        <v>51630</v>
      </c>
      <c r="Q1968" s="65">
        <f t="shared" ref="Q1968:Q2031" si="340">P1968*0.22</f>
        <v>11358.6</v>
      </c>
      <c r="R1968" s="65">
        <f t="shared" ref="R1968:R2031" si="341">P1968+Q1968</f>
        <v>62988.6</v>
      </c>
      <c r="S1968" s="268"/>
      <c r="T1968" s="64">
        <v>122</v>
      </c>
      <c r="U1968" s="270"/>
      <c r="V1968" s="38">
        <v>57687</v>
      </c>
      <c r="W1968" s="38">
        <f t="shared" ref="W1968:W2031" si="342">V1968*0.22</f>
        <v>12691.14</v>
      </c>
      <c r="X1968" s="38">
        <f t="shared" si="334"/>
        <v>70378.14</v>
      </c>
    </row>
    <row r="1969" spans="1:24" ht="20.5" customHeight="1" x14ac:dyDescent="0.35">
      <c r="A1969" s="56" t="s">
        <v>4427</v>
      </c>
      <c r="B1969" s="2">
        <v>1844</v>
      </c>
      <c r="C1969" s="74">
        <v>102011832</v>
      </c>
      <c r="D1969" s="105" t="s">
        <v>4260</v>
      </c>
      <c r="E1969" s="205" t="s">
        <v>4327</v>
      </c>
      <c r="F1969" s="197">
        <v>2</v>
      </c>
      <c r="G1969" s="64" t="s">
        <v>0</v>
      </c>
      <c r="H1969" s="252">
        <v>43097</v>
      </c>
      <c r="I1969" s="61" t="s">
        <v>975</v>
      </c>
      <c r="J1969" s="63" t="s">
        <v>1917</v>
      </c>
      <c r="K1969" s="63" t="s">
        <v>961</v>
      </c>
      <c r="L1969" s="64" t="s">
        <v>950</v>
      </c>
      <c r="M1969" s="253">
        <v>206433.36</v>
      </c>
      <c r="N1969" s="65">
        <f t="shared" si="339"/>
        <v>103216.68</v>
      </c>
      <c r="O1969" s="204">
        <v>206433.36</v>
      </c>
      <c r="P1969" s="65">
        <v>159310</v>
      </c>
      <c r="Q1969" s="65">
        <f t="shared" si="340"/>
        <v>35048.199999999997</v>
      </c>
      <c r="R1969" s="65">
        <f t="shared" si="341"/>
        <v>194358.2</v>
      </c>
      <c r="S1969" s="268"/>
      <c r="T1969" s="64">
        <v>122</v>
      </c>
      <c r="U1969" s="270"/>
      <c r="V1969" s="38">
        <v>178000</v>
      </c>
      <c r="W1969" s="38">
        <f t="shared" si="342"/>
        <v>39160</v>
      </c>
      <c r="X1969" s="38">
        <f t="shared" si="334"/>
        <v>217160</v>
      </c>
    </row>
    <row r="1970" spans="1:24" ht="20.5" customHeight="1" x14ac:dyDescent="0.35">
      <c r="A1970" s="56" t="s">
        <v>4428</v>
      </c>
      <c r="B1970" s="2">
        <v>1845</v>
      </c>
      <c r="C1970" s="74">
        <v>102011727</v>
      </c>
      <c r="D1970" s="105" t="s">
        <v>4308</v>
      </c>
      <c r="E1970" s="205" t="s">
        <v>4327</v>
      </c>
      <c r="F1970" s="197">
        <v>3</v>
      </c>
      <c r="G1970" s="64" t="s">
        <v>0</v>
      </c>
      <c r="H1970" s="252">
        <v>43097</v>
      </c>
      <c r="I1970" s="61" t="s">
        <v>975</v>
      </c>
      <c r="J1970" s="63" t="s">
        <v>1917</v>
      </c>
      <c r="K1970" s="63" t="s">
        <v>961</v>
      </c>
      <c r="L1970" s="64" t="s">
        <v>950</v>
      </c>
      <c r="M1970" s="253">
        <v>49495.32</v>
      </c>
      <c r="N1970" s="65">
        <f t="shared" si="339"/>
        <v>16498.439999999999</v>
      </c>
      <c r="O1970" s="204">
        <v>49495.32</v>
      </c>
      <c r="P1970" s="65">
        <v>36850</v>
      </c>
      <c r="Q1970" s="65">
        <f t="shared" si="340"/>
        <v>8107</v>
      </c>
      <c r="R1970" s="65">
        <f t="shared" si="341"/>
        <v>44957</v>
      </c>
      <c r="S1970" s="268"/>
      <c r="T1970" s="64">
        <v>122</v>
      </c>
      <c r="U1970" s="270"/>
      <c r="V1970" s="38">
        <v>41172</v>
      </c>
      <c r="W1970" s="38">
        <f t="shared" si="342"/>
        <v>9057.84</v>
      </c>
      <c r="X1970" s="38">
        <f t="shared" ref="X1970:X2033" si="343">V1970+W1970</f>
        <v>50229.84</v>
      </c>
    </row>
    <row r="1971" spans="1:24" ht="20.5" customHeight="1" x14ac:dyDescent="0.35">
      <c r="A1971" s="56" t="s">
        <v>4429</v>
      </c>
      <c r="B1971" s="2">
        <v>1846</v>
      </c>
      <c r="C1971" s="74">
        <v>102017338</v>
      </c>
      <c r="D1971" s="105" t="s">
        <v>4309</v>
      </c>
      <c r="E1971" s="205" t="s">
        <v>4327</v>
      </c>
      <c r="F1971" s="197">
        <v>60</v>
      </c>
      <c r="G1971" s="64" t="s">
        <v>0</v>
      </c>
      <c r="H1971" s="252">
        <v>43097</v>
      </c>
      <c r="I1971" s="61" t="s">
        <v>975</v>
      </c>
      <c r="J1971" s="63" t="s">
        <v>1917</v>
      </c>
      <c r="K1971" s="63" t="s">
        <v>961</v>
      </c>
      <c r="L1971" s="64" t="s">
        <v>950</v>
      </c>
      <c r="M1971" s="253">
        <v>3796.2</v>
      </c>
      <c r="N1971" s="65">
        <f t="shared" si="339"/>
        <v>63.27</v>
      </c>
      <c r="O1971" s="204">
        <v>3796.2</v>
      </c>
      <c r="P1971" s="65">
        <v>2830</v>
      </c>
      <c r="Q1971" s="65">
        <f t="shared" si="340"/>
        <v>622.6</v>
      </c>
      <c r="R1971" s="65">
        <f t="shared" si="341"/>
        <v>3452.6</v>
      </c>
      <c r="S1971" s="268"/>
      <c r="T1971" s="64">
        <v>122</v>
      </c>
      <c r="U1971" s="270"/>
      <c r="V1971" s="38">
        <v>3158</v>
      </c>
      <c r="W1971" s="38">
        <f t="shared" si="342"/>
        <v>694.76</v>
      </c>
      <c r="X1971" s="38">
        <f t="shared" si="343"/>
        <v>3852.76</v>
      </c>
    </row>
    <row r="1972" spans="1:24" ht="20.5" customHeight="1" x14ac:dyDescent="0.35">
      <c r="A1972" s="56" t="s">
        <v>4430</v>
      </c>
      <c r="B1972" s="2">
        <v>1847</v>
      </c>
      <c r="C1972" s="74">
        <v>102022213</v>
      </c>
      <c r="D1972" s="105" t="s">
        <v>4310</v>
      </c>
      <c r="E1972" s="205" t="s">
        <v>4327</v>
      </c>
      <c r="F1972" s="197">
        <v>2</v>
      </c>
      <c r="G1972" s="64" t="s">
        <v>0</v>
      </c>
      <c r="H1972" s="252">
        <v>43097</v>
      </c>
      <c r="I1972" s="61" t="s">
        <v>975</v>
      </c>
      <c r="J1972" s="63" t="s">
        <v>1917</v>
      </c>
      <c r="K1972" s="63" t="s">
        <v>961</v>
      </c>
      <c r="L1972" s="64" t="s">
        <v>950</v>
      </c>
      <c r="M1972" s="253">
        <v>462</v>
      </c>
      <c r="N1972" s="65">
        <f t="shared" si="339"/>
        <v>231</v>
      </c>
      <c r="O1972" s="204">
        <v>462</v>
      </c>
      <c r="P1972" s="65">
        <v>340</v>
      </c>
      <c r="Q1972" s="65">
        <f t="shared" si="340"/>
        <v>74.8</v>
      </c>
      <c r="R1972" s="65">
        <f t="shared" si="341"/>
        <v>414.8</v>
      </c>
      <c r="S1972" s="268"/>
      <c r="T1972" s="64">
        <v>122</v>
      </c>
      <c r="U1972" s="270"/>
      <c r="V1972" s="38">
        <v>384</v>
      </c>
      <c r="W1972" s="38">
        <f t="shared" si="342"/>
        <v>84.48</v>
      </c>
      <c r="X1972" s="38">
        <f t="shared" si="343"/>
        <v>468.48</v>
      </c>
    </row>
    <row r="1973" spans="1:24" ht="20.5" customHeight="1" x14ac:dyDescent="0.35">
      <c r="A1973" s="56" t="s">
        <v>4431</v>
      </c>
      <c r="B1973" s="2">
        <v>1848</v>
      </c>
      <c r="C1973" s="74">
        <v>102018927</v>
      </c>
      <c r="D1973" s="105" t="s">
        <v>4264</v>
      </c>
      <c r="E1973" s="205" t="s">
        <v>4327</v>
      </c>
      <c r="F1973" s="197">
        <v>1</v>
      </c>
      <c r="G1973" s="64" t="s">
        <v>0</v>
      </c>
      <c r="H1973" s="252">
        <v>43097</v>
      </c>
      <c r="I1973" s="61" t="s">
        <v>975</v>
      </c>
      <c r="J1973" s="63" t="s">
        <v>1917</v>
      </c>
      <c r="K1973" s="63" t="s">
        <v>961</v>
      </c>
      <c r="L1973" s="64" t="s">
        <v>950</v>
      </c>
      <c r="M1973" s="253">
        <v>1275.8599999999999</v>
      </c>
      <c r="N1973" s="65">
        <f t="shared" si="339"/>
        <v>1275.8599999999999</v>
      </c>
      <c r="O1973" s="204">
        <v>1275.8599999999999</v>
      </c>
      <c r="P1973" s="65">
        <v>950</v>
      </c>
      <c r="Q1973" s="65">
        <f t="shared" si="340"/>
        <v>209</v>
      </c>
      <c r="R1973" s="65">
        <f t="shared" si="341"/>
        <v>1159</v>
      </c>
      <c r="S1973" s="268"/>
      <c r="T1973" s="64">
        <v>122</v>
      </c>
      <c r="U1973" s="270"/>
      <c r="V1973" s="38">
        <v>1061</v>
      </c>
      <c r="W1973" s="38">
        <f t="shared" si="342"/>
        <v>233.42</v>
      </c>
      <c r="X1973" s="38">
        <f t="shared" si="343"/>
        <v>1294.42</v>
      </c>
    </row>
    <row r="1974" spans="1:24" ht="20.5" customHeight="1" x14ac:dyDescent="0.35">
      <c r="A1974" s="56" t="s">
        <v>4432</v>
      </c>
      <c r="B1974" s="2">
        <v>1849</v>
      </c>
      <c r="C1974" s="74">
        <v>102011762</v>
      </c>
      <c r="D1974" s="105" t="s">
        <v>4266</v>
      </c>
      <c r="E1974" s="205" t="s">
        <v>4327</v>
      </c>
      <c r="F1974" s="197">
        <v>3</v>
      </c>
      <c r="G1974" s="64" t="s">
        <v>0</v>
      </c>
      <c r="H1974" s="252">
        <v>43097</v>
      </c>
      <c r="I1974" s="61" t="s">
        <v>975</v>
      </c>
      <c r="J1974" s="63" t="s">
        <v>1917</v>
      </c>
      <c r="K1974" s="63" t="s">
        <v>961</v>
      </c>
      <c r="L1974" s="64" t="s">
        <v>950</v>
      </c>
      <c r="M1974" s="253">
        <v>2211.66</v>
      </c>
      <c r="N1974" s="65">
        <f t="shared" si="339"/>
        <v>737.22</v>
      </c>
      <c r="O1974" s="204">
        <v>2211.66</v>
      </c>
      <c r="P1974" s="65">
        <v>1650</v>
      </c>
      <c r="Q1974" s="65">
        <f t="shared" si="340"/>
        <v>363</v>
      </c>
      <c r="R1974" s="65">
        <f t="shared" si="341"/>
        <v>2013</v>
      </c>
      <c r="S1974" s="268"/>
      <c r="T1974" s="64">
        <v>122</v>
      </c>
      <c r="U1974" s="270"/>
      <c r="V1974" s="38">
        <v>1840</v>
      </c>
      <c r="W1974" s="38">
        <f t="shared" si="342"/>
        <v>404.8</v>
      </c>
      <c r="X1974" s="38">
        <f t="shared" si="343"/>
        <v>2244.8000000000002</v>
      </c>
    </row>
    <row r="1975" spans="1:24" ht="20.5" customHeight="1" x14ac:dyDescent="0.35">
      <c r="A1975" s="56" t="s">
        <v>4433</v>
      </c>
      <c r="B1975" s="2">
        <v>1850</v>
      </c>
      <c r="C1975" s="74">
        <v>102018895</v>
      </c>
      <c r="D1975" s="105" t="s">
        <v>4267</v>
      </c>
      <c r="E1975" s="205" t="s">
        <v>4327</v>
      </c>
      <c r="F1975" s="197">
        <v>67</v>
      </c>
      <c r="G1975" s="64" t="s">
        <v>0</v>
      </c>
      <c r="H1975" s="252">
        <v>43097</v>
      </c>
      <c r="I1975" s="61" t="s">
        <v>975</v>
      </c>
      <c r="J1975" s="63" t="s">
        <v>1917</v>
      </c>
      <c r="K1975" s="63" t="s">
        <v>961</v>
      </c>
      <c r="L1975" s="64" t="s">
        <v>950</v>
      </c>
      <c r="M1975" s="253">
        <v>19164.009999999998</v>
      </c>
      <c r="N1975" s="65">
        <f t="shared" si="339"/>
        <v>286.02999999999997</v>
      </c>
      <c r="O1975" s="204">
        <v>19164.009999999998</v>
      </c>
      <c r="P1975" s="65">
        <v>14310</v>
      </c>
      <c r="Q1975" s="65">
        <f t="shared" si="340"/>
        <v>3148.2</v>
      </c>
      <c r="R1975" s="65">
        <f t="shared" si="341"/>
        <v>17458.2</v>
      </c>
      <c r="S1975" s="268"/>
      <c r="T1975" s="64">
        <v>122</v>
      </c>
      <c r="U1975" s="270"/>
      <c r="V1975" s="38">
        <v>15984</v>
      </c>
      <c r="W1975" s="38">
        <f t="shared" si="342"/>
        <v>3516.48</v>
      </c>
      <c r="X1975" s="38">
        <f t="shared" si="343"/>
        <v>19500.48</v>
      </c>
    </row>
    <row r="1976" spans="1:24" ht="20.5" customHeight="1" x14ac:dyDescent="0.35">
      <c r="A1976" s="56" t="s">
        <v>4434</v>
      </c>
      <c r="B1976" s="2">
        <v>1851</v>
      </c>
      <c r="C1976" s="74">
        <v>102018894</v>
      </c>
      <c r="D1976" s="105" t="s">
        <v>4268</v>
      </c>
      <c r="E1976" s="205" t="s">
        <v>4327</v>
      </c>
      <c r="F1976" s="197">
        <v>164</v>
      </c>
      <c r="G1976" s="64" t="s">
        <v>0</v>
      </c>
      <c r="H1976" s="252">
        <v>43097</v>
      </c>
      <c r="I1976" s="61" t="s">
        <v>975</v>
      </c>
      <c r="J1976" s="63" t="s">
        <v>1917</v>
      </c>
      <c r="K1976" s="63" t="s">
        <v>961</v>
      </c>
      <c r="L1976" s="64" t="s">
        <v>950</v>
      </c>
      <c r="M1976" s="253">
        <v>44291.48</v>
      </c>
      <c r="N1976" s="65">
        <f t="shared" si="339"/>
        <v>270.07</v>
      </c>
      <c r="O1976" s="204">
        <v>44291.48</v>
      </c>
      <c r="P1976" s="65">
        <v>33060</v>
      </c>
      <c r="Q1976" s="65">
        <f t="shared" si="340"/>
        <v>7273.2</v>
      </c>
      <c r="R1976" s="65">
        <f t="shared" si="341"/>
        <v>40333.199999999997</v>
      </c>
      <c r="S1976" s="268"/>
      <c r="T1976" s="64">
        <v>122</v>
      </c>
      <c r="U1976" s="270"/>
      <c r="V1976" s="38">
        <v>36942</v>
      </c>
      <c r="W1976" s="38">
        <f t="shared" si="342"/>
        <v>8127.24</v>
      </c>
      <c r="X1976" s="38">
        <f t="shared" si="343"/>
        <v>45069.24</v>
      </c>
    </row>
    <row r="1977" spans="1:24" ht="20.5" customHeight="1" x14ac:dyDescent="0.35">
      <c r="A1977" s="56" t="s">
        <v>4435</v>
      </c>
      <c r="B1977" s="2">
        <v>1852</v>
      </c>
      <c r="C1977" s="74">
        <v>102018846</v>
      </c>
      <c r="D1977" s="105" t="s">
        <v>4311</v>
      </c>
      <c r="E1977" s="205" t="s">
        <v>4327</v>
      </c>
      <c r="F1977" s="197">
        <v>15</v>
      </c>
      <c r="G1977" s="64" t="s">
        <v>17</v>
      </c>
      <c r="H1977" s="252">
        <v>43097</v>
      </c>
      <c r="I1977" s="61" t="s">
        <v>975</v>
      </c>
      <c r="J1977" s="63" t="s">
        <v>1917</v>
      </c>
      <c r="K1977" s="63" t="s">
        <v>961</v>
      </c>
      <c r="L1977" s="64" t="s">
        <v>950</v>
      </c>
      <c r="M1977" s="253">
        <v>292536.45</v>
      </c>
      <c r="N1977" s="65">
        <f t="shared" si="339"/>
        <v>19502.43</v>
      </c>
      <c r="O1977" s="204">
        <v>292536.45</v>
      </c>
      <c r="P1977" s="65">
        <v>217790</v>
      </c>
      <c r="Q1977" s="65">
        <f t="shared" si="340"/>
        <v>47913.8</v>
      </c>
      <c r="R1977" s="65">
        <f t="shared" si="341"/>
        <v>265703.8</v>
      </c>
      <c r="S1977" s="269"/>
      <c r="T1977" s="64">
        <v>122</v>
      </c>
      <c r="U1977" s="270"/>
      <c r="V1977" s="38">
        <v>243343</v>
      </c>
      <c r="W1977" s="38">
        <f t="shared" si="342"/>
        <v>53535.46</v>
      </c>
      <c r="X1977" s="38">
        <f t="shared" si="343"/>
        <v>296878.46000000002</v>
      </c>
    </row>
    <row r="1978" spans="1:24" ht="20.5" customHeight="1" x14ac:dyDescent="0.35">
      <c r="A1978" s="56"/>
      <c r="B1978" s="15"/>
      <c r="C1978" s="74"/>
      <c r="D1978" s="105"/>
      <c r="E1978" s="205"/>
      <c r="F1978" s="197"/>
      <c r="G1978" s="64"/>
      <c r="H1978" s="252"/>
      <c r="I1978" s="61"/>
      <c r="J1978" s="63"/>
      <c r="K1978" s="63"/>
      <c r="L1978" s="64"/>
      <c r="M1978" s="253"/>
      <c r="N1978" s="65"/>
      <c r="O1978" s="254">
        <f>SUM(O1952:O1977)</f>
        <v>951501.53</v>
      </c>
      <c r="P1978" s="254">
        <f t="shared" ref="P1978:R1978" si="344">SUM(P1952:P1977)</f>
        <v>736300</v>
      </c>
      <c r="Q1978" s="254">
        <f t="shared" si="344"/>
        <v>161986</v>
      </c>
      <c r="R1978" s="254">
        <f t="shared" si="344"/>
        <v>898286</v>
      </c>
      <c r="S1978" s="72">
        <f>R1978/100*10</f>
        <v>89828.6</v>
      </c>
      <c r="T1978" s="73">
        <v>122</v>
      </c>
      <c r="U1978" s="271"/>
      <c r="V1978" s="38"/>
      <c r="W1978" s="38"/>
      <c r="X1978" s="38"/>
    </row>
    <row r="1979" spans="1:24" ht="20.5" customHeight="1" x14ac:dyDescent="0.35">
      <c r="A1979" s="56" t="s">
        <v>4436</v>
      </c>
      <c r="B1979" s="2">
        <v>1853</v>
      </c>
      <c r="C1979" s="74">
        <v>102022648</v>
      </c>
      <c r="D1979" s="105" t="s">
        <v>4312</v>
      </c>
      <c r="E1979" s="205" t="s">
        <v>4327</v>
      </c>
      <c r="F1979" s="197">
        <v>10</v>
      </c>
      <c r="G1979" s="64" t="s">
        <v>17</v>
      </c>
      <c r="H1979" s="252">
        <v>43097</v>
      </c>
      <c r="I1979" s="61" t="s">
        <v>975</v>
      </c>
      <c r="J1979" s="63" t="s">
        <v>1917</v>
      </c>
      <c r="K1979" s="63" t="s">
        <v>961</v>
      </c>
      <c r="L1979" s="64" t="s">
        <v>950</v>
      </c>
      <c r="M1979" s="253">
        <v>493147.4</v>
      </c>
      <c r="N1979" s="65">
        <f t="shared" si="339"/>
        <v>49314.74</v>
      </c>
      <c r="O1979" s="204">
        <v>493147.4</v>
      </c>
      <c r="P1979" s="65">
        <v>376170</v>
      </c>
      <c r="Q1979" s="65">
        <f t="shared" si="340"/>
        <v>82757.399999999994</v>
      </c>
      <c r="R1979" s="65">
        <f t="shared" si="341"/>
        <v>458927.4</v>
      </c>
      <c r="S1979" s="267"/>
      <c r="T1979" s="64">
        <v>123</v>
      </c>
      <c r="U1979" s="273" t="s">
        <v>4475</v>
      </c>
      <c r="V1979" s="38">
        <v>410219</v>
      </c>
      <c r="W1979" s="38">
        <f t="shared" si="342"/>
        <v>90248.18</v>
      </c>
      <c r="X1979" s="38">
        <f t="shared" si="343"/>
        <v>500467.18</v>
      </c>
    </row>
    <row r="1980" spans="1:24" ht="20.5" customHeight="1" x14ac:dyDescent="0.35">
      <c r="A1980" s="56" t="s">
        <v>4437</v>
      </c>
      <c r="B1980" s="2">
        <v>1854</v>
      </c>
      <c r="C1980" s="74">
        <v>102018907</v>
      </c>
      <c r="D1980" s="105" t="s">
        <v>4313</v>
      </c>
      <c r="E1980" s="205" t="s">
        <v>4327</v>
      </c>
      <c r="F1980" s="197">
        <v>564</v>
      </c>
      <c r="G1980" s="64" t="s">
        <v>0</v>
      </c>
      <c r="H1980" s="252">
        <v>43097</v>
      </c>
      <c r="I1980" s="61" t="s">
        <v>975</v>
      </c>
      <c r="J1980" s="63" t="s">
        <v>1917</v>
      </c>
      <c r="K1980" s="63" t="s">
        <v>961</v>
      </c>
      <c r="L1980" s="64" t="s">
        <v>950</v>
      </c>
      <c r="M1980" s="253">
        <v>17766</v>
      </c>
      <c r="N1980" s="65">
        <f t="shared" si="339"/>
        <v>31.5</v>
      </c>
      <c r="O1980" s="204">
        <v>17766</v>
      </c>
      <c r="P1980" s="65">
        <v>13550</v>
      </c>
      <c r="Q1980" s="65">
        <f t="shared" si="340"/>
        <v>2981</v>
      </c>
      <c r="R1980" s="65">
        <f t="shared" si="341"/>
        <v>16531</v>
      </c>
      <c r="S1980" s="268"/>
      <c r="T1980" s="64">
        <v>123</v>
      </c>
      <c r="U1980" s="270"/>
      <c r="V1980" s="38">
        <v>14778</v>
      </c>
      <c r="W1980" s="38">
        <f t="shared" si="342"/>
        <v>3251.16</v>
      </c>
      <c r="X1980" s="38">
        <f t="shared" si="343"/>
        <v>18029.16</v>
      </c>
    </row>
    <row r="1981" spans="1:24" ht="20.5" customHeight="1" x14ac:dyDescent="0.35">
      <c r="A1981" s="56" t="s">
        <v>4438</v>
      </c>
      <c r="B1981" s="2">
        <v>1855</v>
      </c>
      <c r="C1981" s="74">
        <v>102011748</v>
      </c>
      <c r="D1981" s="105" t="s">
        <v>4090</v>
      </c>
      <c r="E1981" s="205" t="s">
        <v>4327</v>
      </c>
      <c r="F1981" s="197">
        <v>1</v>
      </c>
      <c r="G1981" s="64" t="s">
        <v>0</v>
      </c>
      <c r="H1981" s="252">
        <v>43097</v>
      </c>
      <c r="I1981" s="61" t="s">
        <v>975</v>
      </c>
      <c r="J1981" s="63" t="s">
        <v>1917</v>
      </c>
      <c r="K1981" s="63" t="s">
        <v>961</v>
      </c>
      <c r="L1981" s="64" t="s">
        <v>950</v>
      </c>
      <c r="M1981" s="253">
        <v>167851.16</v>
      </c>
      <c r="N1981" s="65">
        <f t="shared" si="339"/>
        <v>167851.16</v>
      </c>
      <c r="O1981" s="204">
        <v>167851.16</v>
      </c>
      <c r="P1981" s="65">
        <v>231400</v>
      </c>
      <c r="Q1981" s="65">
        <f t="shared" si="340"/>
        <v>50908</v>
      </c>
      <c r="R1981" s="65">
        <f t="shared" si="341"/>
        <v>282308</v>
      </c>
      <c r="S1981" s="268"/>
      <c r="T1981" s="64">
        <v>123</v>
      </c>
      <c r="U1981" s="270"/>
      <c r="V1981" s="38">
        <v>252346</v>
      </c>
      <c r="W1981" s="38">
        <f t="shared" si="342"/>
        <v>55516.12</v>
      </c>
      <c r="X1981" s="38">
        <f t="shared" si="343"/>
        <v>307862.12</v>
      </c>
    </row>
    <row r="1982" spans="1:24" ht="20.5" customHeight="1" x14ac:dyDescent="0.35">
      <c r="A1982" s="56" t="s">
        <v>4439</v>
      </c>
      <c r="B1982" s="2">
        <v>1856</v>
      </c>
      <c r="C1982" s="74">
        <v>102011749</v>
      </c>
      <c r="D1982" s="105" t="s">
        <v>4091</v>
      </c>
      <c r="E1982" s="205" t="s">
        <v>4327</v>
      </c>
      <c r="F1982" s="197">
        <v>1</v>
      </c>
      <c r="G1982" s="64" t="s">
        <v>0</v>
      </c>
      <c r="H1982" s="252">
        <v>43097</v>
      </c>
      <c r="I1982" s="61" t="s">
        <v>975</v>
      </c>
      <c r="J1982" s="63" t="s">
        <v>1917</v>
      </c>
      <c r="K1982" s="63" t="s">
        <v>961</v>
      </c>
      <c r="L1982" s="64" t="s">
        <v>950</v>
      </c>
      <c r="M1982" s="253">
        <v>177899.9</v>
      </c>
      <c r="N1982" s="65">
        <f t="shared" si="339"/>
        <v>177899.9</v>
      </c>
      <c r="O1982" s="204">
        <v>177899.9</v>
      </c>
      <c r="P1982" s="65">
        <v>245250</v>
      </c>
      <c r="Q1982" s="65">
        <f t="shared" si="340"/>
        <v>53955</v>
      </c>
      <c r="R1982" s="65">
        <f t="shared" si="341"/>
        <v>299205</v>
      </c>
      <c r="S1982" s="268"/>
      <c r="T1982" s="64">
        <v>123</v>
      </c>
      <c r="U1982" s="270"/>
      <c r="V1982" s="38">
        <v>267454</v>
      </c>
      <c r="W1982" s="38">
        <f t="shared" si="342"/>
        <v>58839.88</v>
      </c>
      <c r="X1982" s="38">
        <f t="shared" si="343"/>
        <v>326293.88</v>
      </c>
    </row>
    <row r="1983" spans="1:24" ht="20.5" customHeight="1" x14ac:dyDescent="0.35">
      <c r="A1983" s="56" t="s">
        <v>4440</v>
      </c>
      <c r="B1983" s="2">
        <v>1857</v>
      </c>
      <c r="C1983" s="74">
        <v>102012993</v>
      </c>
      <c r="D1983" s="105" t="s">
        <v>4314</v>
      </c>
      <c r="E1983" s="205" t="s">
        <v>4327</v>
      </c>
      <c r="F1983" s="197">
        <v>1</v>
      </c>
      <c r="G1983" s="64" t="s">
        <v>0</v>
      </c>
      <c r="H1983" s="252">
        <v>43097</v>
      </c>
      <c r="I1983" s="61" t="s">
        <v>975</v>
      </c>
      <c r="J1983" s="63" t="s">
        <v>1917</v>
      </c>
      <c r="K1983" s="63" t="s">
        <v>961</v>
      </c>
      <c r="L1983" s="64" t="s">
        <v>950</v>
      </c>
      <c r="M1983" s="253">
        <v>182.86</v>
      </c>
      <c r="N1983" s="65">
        <f t="shared" si="339"/>
        <v>182.86</v>
      </c>
      <c r="O1983" s="204">
        <v>182.86</v>
      </c>
      <c r="P1983" s="65">
        <v>140</v>
      </c>
      <c r="Q1983" s="65">
        <f t="shared" si="340"/>
        <v>30.8</v>
      </c>
      <c r="R1983" s="65">
        <f t="shared" si="341"/>
        <v>170.8</v>
      </c>
      <c r="S1983" s="268"/>
      <c r="T1983" s="64">
        <v>123</v>
      </c>
      <c r="U1983" s="270"/>
      <c r="V1983" s="38">
        <v>152</v>
      </c>
      <c r="W1983" s="38">
        <f t="shared" si="342"/>
        <v>33.44</v>
      </c>
      <c r="X1983" s="38">
        <f t="shared" si="343"/>
        <v>185.44</v>
      </c>
    </row>
    <row r="1984" spans="1:24" ht="20.5" customHeight="1" x14ac:dyDescent="0.35">
      <c r="A1984" s="56" t="s">
        <v>4441</v>
      </c>
      <c r="B1984" s="2">
        <v>1858</v>
      </c>
      <c r="C1984" s="74">
        <v>102018939</v>
      </c>
      <c r="D1984" s="105" t="s">
        <v>4315</v>
      </c>
      <c r="E1984" s="205" t="s">
        <v>4327</v>
      </c>
      <c r="F1984" s="197">
        <v>19</v>
      </c>
      <c r="G1984" s="64" t="s">
        <v>0</v>
      </c>
      <c r="H1984" s="252">
        <v>43097</v>
      </c>
      <c r="I1984" s="61" t="s">
        <v>975</v>
      </c>
      <c r="J1984" s="63" t="s">
        <v>1917</v>
      </c>
      <c r="K1984" s="63" t="s">
        <v>961</v>
      </c>
      <c r="L1984" s="64" t="s">
        <v>950</v>
      </c>
      <c r="M1984" s="253">
        <v>27895.23</v>
      </c>
      <c r="N1984" s="65">
        <f t="shared" si="339"/>
        <v>1468.17</v>
      </c>
      <c r="O1984" s="204">
        <v>27895.23</v>
      </c>
      <c r="P1984" s="65">
        <v>21280</v>
      </c>
      <c r="Q1984" s="65">
        <f t="shared" si="340"/>
        <v>4681.6000000000004</v>
      </c>
      <c r="R1984" s="65">
        <f t="shared" si="341"/>
        <v>25961.599999999999</v>
      </c>
      <c r="S1984" s="268"/>
      <c r="T1984" s="64">
        <v>123</v>
      </c>
      <c r="U1984" s="270"/>
      <c r="V1984" s="38">
        <v>23204</v>
      </c>
      <c r="W1984" s="38">
        <f t="shared" si="342"/>
        <v>5104.88</v>
      </c>
      <c r="X1984" s="38">
        <f t="shared" si="343"/>
        <v>28308.880000000001</v>
      </c>
    </row>
    <row r="1985" spans="1:24" ht="20.5" customHeight="1" x14ac:dyDescent="0.35">
      <c r="A1985" s="56" t="s">
        <v>4442</v>
      </c>
      <c r="B1985" s="2">
        <v>1859</v>
      </c>
      <c r="C1985" s="74">
        <v>102011774</v>
      </c>
      <c r="D1985" s="105" t="s">
        <v>4316</v>
      </c>
      <c r="E1985" s="205" t="s">
        <v>4327</v>
      </c>
      <c r="F1985" s="197">
        <v>2</v>
      </c>
      <c r="G1985" s="64" t="s">
        <v>0</v>
      </c>
      <c r="H1985" s="252">
        <v>43097</v>
      </c>
      <c r="I1985" s="61" t="s">
        <v>975</v>
      </c>
      <c r="J1985" s="63" t="s">
        <v>1917</v>
      </c>
      <c r="K1985" s="63" t="s">
        <v>961</v>
      </c>
      <c r="L1985" s="64" t="s">
        <v>950</v>
      </c>
      <c r="M1985" s="253">
        <v>7750.98</v>
      </c>
      <c r="N1985" s="65">
        <f t="shared" si="339"/>
        <v>3875.49</v>
      </c>
      <c r="O1985" s="204">
        <v>7750.98</v>
      </c>
      <c r="P1985" s="65">
        <v>5910</v>
      </c>
      <c r="Q1985" s="65">
        <f t="shared" si="340"/>
        <v>1300.2</v>
      </c>
      <c r="R1985" s="65">
        <f t="shared" si="341"/>
        <v>7210.2</v>
      </c>
      <c r="S1985" s="268"/>
      <c r="T1985" s="64">
        <v>123</v>
      </c>
      <c r="U1985" s="270"/>
      <c r="V1985" s="38">
        <v>6448</v>
      </c>
      <c r="W1985" s="38">
        <f t="shared" si="342"/>
        <v>1418.56</v>
      </c>
      <c r="X1985" s="38">
        <f t="shared" si="343"/>
        <v>7866.56</v>
      </c>
    </row>
    <row r="1986" spans="1:24" ht="20.5" customHeight="1" x14ac:dyDescent="0.35">
      <c r="A1986" s="56" t="s">
        <v>4443</v>
      </c>
      <c r="B1986" s="2">
        <v>1860</v>
      </c>
      <c r="C1986" s="74">
        <v>102011729</v>
      </c>
      <c r="D1986" s="105" t="s">
        <v>4317</v>
      </c>
      <c r="E1986" s="205" t="s">
        <v>4327</v>
      </c>
      <c r="F1986" s="197">
        <v>1</v>
      </c>
      <c r="G1986" s="64" t="s">
        <v>0</v>
      </c>
      <c r="H1986" s="252">
        <v>43097</v>
      </c>
      <c r="I1986" s="61" t="s">
        <v>975</v>
      </c>
      <c r="J1986" s="63" t="s">
        <v>1917</v>
      </c>
      <c r="K1986" s="63" t="s">
        <v>961</v>
      </c>
      <c r="L1986" s="64" t="s">
        <v>950</v>
      </c>
      <c r="M1986" s="253">
        <v>4263.04</v>
      </c>
      <c r="N1986" s="65">
        <f t="shared" si="339"/>
        <v>4263.04</v>
      </c>
      <c r="O1986" s="204">
        <v>4263.04</v>
      </c>
      <c r="P1986" s="65">
        <v>3250</v>
      </c>
      <c r="Q1986" s="65">
        <f t="shared" si="340"/>
        <v>715</v>
      </c>
      <c r="R1986" s="65">
        <f t="shared" si="341"/>
        <v>3965</v>
      </c>
      <c r="S1986" s="269"/>
      <c r="T1986" s="64">
        <v>123</v>
      </c>
      <c r="U1986" s="270"/>
      <c r="V1986" s="38">
        <v>3546</v>
      </c>
      <c r="W1986" s="38">
        <f t="shared" si="342"/>
        <v>780.12</v>
      </c>
      <c r="X1986" s="38">
        <f t="shared" si="343"/>
        <v>4326.12</v>
      </c>
    </row>
    <row r="1987" spans="1:24" ht="20.5" customHeight="1" x14ac:dyDescent="0.35">
      <c r="A1987" s="56"/>
      <c r="B1987" s="15"/>
      <c r="C1987" s="74"/>
      <c r="D1987" s="105"/>
      <c r="E1987" s="205"/>
      <c r="F1987" s="197"/>
      <c r="G1987" s="64"/>
      <c r="H1987" s="252"/>
      <c r="I1987" s="61"/>
      <c r="J1987" s="63"/>
      <c r="K1987" s="63"/>
      <c r="L1987" s="64"/>
      <c r="M1987" s="253"/>
      <c r="N1987" s="65"/>
      <c r="O1987" s="254">
        <f>SUM(O1979:S1986)</f>
        <v>3085314.57</v>
      </c>
      <c r="P1987" s="254">
        <f>SUM(P1979:P1986)</f>
        <v>896950</v>
      </c>
      <c r="Q1987" s="254">
        <f>SUM(Q1979:Q1986)</f>
        <v>197329</v>
      </c>
      <c r="R1987" s="254">
        <f>SUM(R1979:R1986)</f>
        <v>1094279</v>
      </c>
      <c r="S1987" s="72">
        <f>R1987/100*10</f>
        <v>109427.9</v>
      </c>
      <c r="T1987" s="73">
        <v>123</v>
      </c>
      <c r="U1987" s="271"/>
      <c r="V1987" s="38"/>
      <c r="W1987" s="38"/>
      <c r="X1987" s="38"/>
    </row>
    <row r="1988" spans="1:24" ht="20.5" customHeight="1" x14ac:dyDescent="0.35">
      <c r="A1988" s="56" t="s">
        <v>4444</v>
      </c>
      <c r="B1988" s="2">
        <v>1861</v>
      </c>
      <c r="C1988" s="74">
        <v>102018880</v>
      </c>
      <c r="D1988" s="105" t="s">
        <v>4280</v>
      </c>
      <c r="E1988" s="205" t="s">
        <v>4327</v>
      </c>
      <c r="F1988" s="197">
        <v>1.45</v>
      </c>
      <c r="G1988" s="64" t="s">
        <v>17</v>
      </c>
      <c r="H1988" s="252">
        <v>43097</v>
      </c>
      <c r="I1988" s="61" t="s">
        <v>975</v>
      </c>
      <c r="J1988" s="63" t="s">
        <v>1917</v>
      </c>
      <c r="K1988" s="63" t="s">
        <v>961</v>
      </c>
      <c r="L1988" s="64" t="s">
        <v>950</v>
      </c>
      <c r="M1988" s="253">
        <v>152337</v>
      </c>
      <c r="N1988" s="65">
        <f t="shared" si="339"/>
        <v>105060</v>
      </c>
      <c r="O1988" s="204">
        <v>152337</v>
      </c>
      <c r="P1988" s="65">
        <v>113720</v>
      </c>
      <c r="Q1988" s="65">
        <f t="shared" si="340"/>
        <v>25018.400000000001</v>
      </c>
      <c r="R1988" s="65">
        <f t="shared" si="341"/>
        <v>138738.4</v>
      </c>
      <c r="S1988" s="267"/>
      <c r="T1988" s="64">
        <v>124</v>
      </c>
      <c r="U1988" s="273" t="s">
        <v>4475</v>
      </c>
      <c r="V1988" s="38">
        <v>127059</v>
      </c>
      <c r="W1988" s="38">
        <f t="shared" si="342"/>
        <v>27952.98</v>
      </c>
      <c r="X1988" s="38">
        <f t="shared" si="343"/>
        <v>155011.98000000001</v>
      </c>
    </row>
    <row r="1989" spans="1:24" ht="20.5" customHeight="1" x14ac:dyDescent="0.35">
      <c r="A1989" s="56" t="s">
        <v>4445</v>
      </c>
      <c r="B1989" s="2">
        <v>1862</v>
      </c>
      <c r="C1989" s="74">
        <v>102012852</v>
      </c>
      <c r="D1989" s="105" t="s">
        <v>4130</v>
      </c>
      <c r="E1989" s="205" t="s">
        <v>4327</v>
      </c>
      <c r="F1989" s="197">
        <v>1</v>
      </c>
      <c r="G1989" s="64" t="s">
        <v>0</v>
      </c>
      <c r="H1989" s="252">
        <v>43097</v>
      </c>
      <c r="I1989" s="61" t="s">
        <v>975</v>
      </c>
      <c r="J1989" s="63" t="s">
        <v>1917</v>
      </c>
      <c r="K1989" s="63" t="s">
        <v>961</v>
      </c>
      <c r="L1989" s="64" t="s">
        <v>950</v>
      </c>
      <c r="M1989" s="253">
        <v>133497.16</v>
      </c>
      <c r="N1989" s="65">
        <f t="shared" si="339"/>
        <v>133497.16</v>
      </c>
      <c r="O1989" s="204">
        <v>133497.16</v>
      </c>
      <c r="P1989" s="65">
        <v>99390</v>
      </c>
      <c r="Q1989" s="65">
        <f t="shared" si="340"/>
        <v>21865.8</v>
      </c>
      <c r="R1989" s="65">
        <f t="shared" si="341"/>
        <v>121255.8</v>
      </c>
      <c r="S1989" s="268"/>
      <c r="T1989" s="64">
        <v>124</v>
      </c>
      <c r="U1989" s="270"/>
      <c r="V1989" s="38">
        <v>111048</v>
      </c>
      <c r="W1989" s="38">
        <f t="shared" si="342"/>
        <v>24430.560000000001</v>
      </c>
      <c r="X1989" s="38">
        <f t="shared" si="343"/>
        <v>135478.56</v>
      </c>
    </row>
    <row r="1990" spans="1:24" ht="20.5" customHeight="1" x14ac:dyDescent="0.35">
      <c r="A1990" s="56" t="s">
        <v>4448</v>
      </c>
      <c r="B1990" s="2">
        <v>1863</v>
      </c>
      <c r="C1990" s="74">
        <v>102011755</v>
      </c>
      <c r="D1990" s="105" t="s">
        <v>4318</v>
      </c>
      <c r="E1990" s="205" t="s">
        <v>4327</v>
      </c>
      <c r="F1990" s="197">
        <v>1</v>
      </c>
      <c r="G1990" s="64" t="s">
        <v>0</v>
      </c>
      <c r="H1990" s="252">
        <v>43097</v>
      </c>
      <c r="I1990" s="61" t="s">
        <v>975</v>
      </c>
      <c r="J1990" s="63" t="s">
        <v>1917</v>
      </c>
      <c r="K1990" s="63" t="s">
        <v>961</v>
      </c>
      <c r="L1990" s="64" t="s">
        <v>950</v>
      </c>
      <c r="M1990" s="253">
        <v>40609.11</v>
      </c>
      <c r="N1990" s="65">
        <f t="shared" si="339"/>
        <v>40609.11</v>
      </c>
      <c r="O1990" s="204">
        <v>40609.11</v>
      </c>
      <c r="P1990" s="65">
        <v>30230</v>
      </c>
      <c r="Q1990" s="65">
        <f t="shared" si="340"/>
        <v>6650.6</v>
      </c>
      <c r="R1990" s="65">
        <f t="shared" si="341"/>
        <v>36880.6</v>
      </c>
      <c r="S1990" s="268"/>
      <c r="T1990" s="64">
        <v>124</v>
      </c>
      <c r="U1990" s="270"/>
      <c r="V1990" s="38">
        <v>33780</v>
      </c>
      <c r="W1990" s="38">
        <f t="shared" si="342"/>
        <v>7431.6</v>
      </c>
      <c r="X1990" s="38">
        <f t="shared" si="343"/>
        <v>41211.599999999999</v>
      </c>
    </row>
    <row r="1991" spans="1:24" ht="20.5" customHeight="1" x14ac:dyDescent="0.35">
      <c r="A1991" s="56" t="s">
        <v>4449</v>
      </c>
      <c r="B1991" s="2">
        <v>1864</v>
      </c>
      <c r="C1991" s="74">
        <v>102022650</v>
      </c>
      <c r="D1991" s="105" t="s">
        <v>4319</v>
      </c>
      <c r="E1991" s="205" t="s">
        <v>4327</v>
      </c>
      <c r="F1991" s="197">
        <v>1</v>
      </c>
      <c r="G1991" s="64" t="s">
        <v>0</v>
      </c>
      <c r="H1991" s="252">
        <v>43097</v>
      </c>
      <c r="I1991" s="61" t="s">
        <v>975</v>
      </c>
      <c r="J1991" s="63" t="s">
        <v>1917</v>
      </c>
      <c r="K1991" s="63" t="s">
        <v>961</v>
      </c>
      <c r="L1991" s="64" t="s">
        <v>950</v>
      </c>
      <c r="M1991" s="253">
        <v>63819.75</v>
      </c>
      <c r="N1991" s="65">
        <f t="shared" si="339"/>
        <v>63819.75</v>
      </c>
      <c r="O1991" s="204">
        <v>63819.75</v>
      </c>
      <c r="P1991" s="65">
        <v>47510</v>
      </c>
      <c r="Q1991" s="65">
        <f t="shared" si="340"/>
        <v>10452.200000000001</v>
      </c>
      <c r="R1991" s="65">
        <f t="shared" si="341"/>
        <v>57962.2</v>
      </c>
      <c r="S1991" s="268"/>
      <c r="T1991" s="64">
        <v>124</v>
      </c>
      <c r="U1991" s="270"/>
      <c r="V1991" s="38">
        <v>53088</v>
      </c>
      <c r="W1991" s="38">
        <f t="shared" si="342"/>
        <v>11679.36</v>
      </c>
      <c r="X1991" s="38">
        <f t="shared" si="343"/>
        <v>64767.360000000001</v>
      </c>
    </row>
    <row r="1992" spans="1:24" ht="20.5" customHeight="1" x14ac:dyDescent="0.35">
      <c r="A1992" s="56" t="s">
        <v>4450</v>
      </c>
      <c r="B1992" s="2">
        <v>1865</v>
      </c>
      <c r="C1992" s="74">
        <v>102017520</v>
      </c>
      <c r="D1992" s="105" t="s">
        <v>4214</v>
      </c>
      <c r="E1992" s="59" t="s">
        <v>2178</v>
      </c>
      <c r="F1992" s="197">
        <v>13</v>
      </c>
      <c r="G1992" s="64" t="s">
        <v>0</v>
      </c>
      <c r="H1992" s="252">
        <v>43097</v>
      </c>
      <c r="I1992" s="61" t="s">
        <v>975</v>
      </c>
      <c r="J1992" s="63" t="s">
        <v>1917</v>
      </c>
      <c r="K1992" s="63" t="s">
        <v>961</v>
      </c>
      <c r="L1992" s="64" t="s">
        <v>950</v>
      </c>
      <c r="M1992" s="253">
        <v>1337.96</v>
      </c>
      <c r="N1992" s="65">
        <f t="shared" si="339"/>
        <v>102.92</v>
      </c>
      <c r="O1992" s="204">
        <v>1337.96</v>
      </c>
      <c r="P1992" s="65">
        <v>1000</v>
      </c>
      <c r="Q1992" s="65">
        <f t="shared" si="340"/>
        <v>220</v>
      </c>
      <c r="R1992" s="65">
        <f t="shared" si="341"/>
        <v>1220</v>
      </c>
      <c r="S1992" s="268"/>
      <c r="T1992" s="64">
        <v>124</v>
      </c>
      <c r="U1992" s="270"/>
      <c r="V1992" s="38">
        <v>1113</v>
      </c>
      <c r="W1992" s="38">
        <f t="shared" si="342"/>
        <v>244.86</v>
      </c>
      <c r="X1992" s="38">
        <f t="shared" si="343"/>
        <v>1357.86</v>
      </c>
    </row>
    <row r="1993" spans="1:24" ht="20.5" customHeight="1" x14ac:dyDescent="0.35">
      <c r="A1993" s="56" t="s">
        <v>4451</v>
      </c>
      <c r="B1993" s="2">
        <v>1866</v>
      </c>
      <c r="C1993" s="74">
        <v>102017519</v>
      </c>
      <c r="D1993" s="105" t="s">
        <v>4215</v>
      </c>
      <c r="E1993" s="59" t="s">
        <v>2178</v>
      </c>
      <c r="F1993" s="197">
        <v>5</v>
      </c>
      <c r="G1993" s="64" t="s">
        <v>0</v>
      </c>
      <c r="H1993" s="252">
        <v>43097</v>
      </c>
      <c r="I1993" s="61" t="s">
        <v>975</v>
      </c>
      <c r="J1993" s="63" t="s">
        <v>1917</v>
      </c>
      <c r="K1993" s="63" t="s">
        <v>961</v>
      </c>
      <c r="L1993" s="64" t="s">
        <v>950</v>
      </c>
      <c r="M1993" s="253">
        <v>555.45000000000005</v>
      </c>
      <c r="N1993" s="65">
        <f t="shared" si="339"/>
        <v>111.09</v>
      </c>
      <c r="O1993" s="204">
        <v>555.45000000000005</v>
      </c>
      <c r="P1993" s="65">
        <v>410</v>
      </c>
      <c r="Q1993" s="65">
        <f t="shared" si="340"/>
        <v>90.2</v>
      </c>
      <c r="R1993" s="65">
        <f t="shared" si="341"/>
        <v>500.2</v>
      </c>
      <c r="S1993" s="268"/>
      <c r="T1993" s="64">
        <v>124</v>
      </c>
      <c r="U1993" s="270"/>
      <c r="V1993" s="38">
        <v>462</v>
      </c>
      <c r="W1993" s="38">
        <f t="shared" si="342"/>
        <v>101.64</v>
      </c>
      <c r="X1993" s="38">
        <f t="shared" si="343"/>
        <v>563.64</v>
      </c>
    </row>
    <row r="1994" spans="1:24" ht="20.5" customHeight="1" x14ac:dyDescent="0.35">
      <c r="A1994" s="56" t="s">
        <v>4452</v>
      </c>
      <c r="B1994" s="2">
        <v>1867</v>
      </c>
      <c r="C1994" s="74">
        <v>102017518</v>
      </c>
      <c r="D1994" s="105" t="s">
        <v>4216</v>
      </c>
      <c r="E1994" s="59" t="s">
        <v>2178</v>
      </c>
      <c r="F1994" s="197">
        <v>1</v>
      </c>
      <c r="G1994" s="64" t="s">
        <v>0</v>
      </c>
      <c r="H1994" s="252">
        <v>43097</v>
      </c>
      <c r="I1994" s="61" t="s">
        <v>975</v>
      </c>
      <c r="J1994" s="63" t="s">
        <v>1917</v>
      </c>
      <c r="K1994" s="63" t="s">
        <v>961</v>
      </c>
      <c r="L1994" s="64" t="s">
        <v>950</v>
      </c>
      <c r="M1994" s="253">
        <v>1359.89</v>
      </c>
      <c r="N1994" s="65">
        <f t="shared" si="339"/>
        <v>1359.89</v>
      </c>
      <c r="O1994" s="204">
        <v>1359.89</v>
      </c>
      <c r="P1994" s="65">
        <v>1010</v>
      </c>
      <c r="Q1994" s="65">
        <f t="shared" si="340"/>
        <v>222.2</v>
      </c>
      <c r="R1994" s="65">
        <f t="shared" si="341"/>
        <v>1232.2</v>
      </c>
      <c r="S1994" s="268"/>
      <c r="T1994" s="64">
        <v>124</v>
      </c>
      <c r="U1994" s="270"/>
      <c r="V1994" s="38">
        <v>1131</v>
      </c>
      <c r="W1994" s="38">
        <f t="shared" si="342"/>
        <v>248.82</v>
      </c>
      <c r="X1994" s="38">
        <f t="shared" si="343"/>
        <v>1379.82</v>
      </c>
    </row>
    <row r="1995" spans="1:24" ht="20.5" customHeight="1" x14ac:dyDescent="0.35">
      <c r="A1995" s="56" t="s">
        <v>4446</v>
      </c>
      <c r="B1995" s="2">
        <v>1868</v>
      </c>
      <c r="C1995" s="74">
        <v>102017517</v>
      </c>
      <c r="D1995" s="105" t="s">
        <v>4218</v>
      </c>
      <c r="E1995" s="59" t="s">
        <v>2178</v>
      </c>
      <c r="F1995" s="197">
        <v>36</v>
      </c>
      <c r="G1995" s="64" t="s">
        <v>0</v>
      </c>
      <c r="H1995" s="252">
        <v>43097</v>
      </c>
      <c r="I1995" s="61" t="s">
        <v>975</v>
      </c>
      <c r="J1995" s="63" t="s">
        <v>1917</v>
      </c>
      <c r="K1995" s="63" t="s">
        <v>961</v>
      </c>
      <c r="L1995" s="64" t="s">
        <v>950</v>
      </c>
      <c r="M1995" s="253">
        <v>6242.04</v>
      </c>
      <c r="N1995" s="65">
        <f t="shared" si="339"/>
        <v>173.39</v>
      </c>
      <c r="O1995" s="204">
        <v>6242.04</v>
      </c>
      <c r="P1995" s="65">
        <v>4650</v>
      </c>
      <c r="Q1995" s="65">
        <f t="shared" si="340"/>
        <v>1023</v>
      </c>
      <c r="R1995" s="65">
        <f t="shared" si="341"/>
        <v>5673</v>
      </c>
      <c r="S1995" s="268"/>
      <c r="T1995" s="64">
        <v>124</v>
      </c>
      <c r="U1995" s="270"/>
      <c r="V1995" s="38">
        <v>5192</v>
      </c>
      <c r="W1995" s="38">
        <f t="shared" si="342"/>
        <v>1142.24</v>
      </c>
      <c r="X1995" s="38">
        <f t="shared" si="343"/>
        <v>6334.24</v>
      </c>
    </row>
    <row r="1996" spans="1:24" ht="20.5" customHeight="1" x14ac:dyDescent="0.35">
      <c r="A1996" s="56" t="s">
        <v>4453</v>
      </c>
      <c r="B1996" s="2">
        <v>1869</v>
      </c>
      <c r="C1996" s="74">
        <v>102017515</v>
      </c>
      <c r="D1996" s="105" t="s">
        <v>4219</v>
      </c>
      <c r="E1996" s="59" t="s">
        <v>2178</v>
      </c>
      <c r="F1996" s="197">
        <v>5</v>
      </c>
      <c r="G1996" s="64" t="s">
        <v>0</v>
      </c>
      <c r="H1996" s="252">
        <v>43097</v>
      </c>
      <c r="I1996" s="61" t="s">
        <v>975</v>
      </c>
      <c r="J1996" s="63" t="s">
        <v>1917</v>
      </c>
      <c r="K1996" s="63" t="s">
        <v>961</v>
      </c>
      <c r="L1996" s="64" t="s">
        <v>950</v>
      </c>
      <c r="M1996" s="253">
        <v>1128.6500000000001</v>
      </c>
      <c r="N1996" s="65">
        <f t="shared" si="339"/>
        <v>225.73</v>
      </c>
      <c r="O1996" s="204">
        <v>1128.6500000000001</v>
      </c>
      <c r="P1996" s="65">
        <v>840</v>
      </c>
      <c r="Q1996" s="65">
        <f t="shared" si="340"/>
        <v>184.8</v>
      </c>
      <c r="R1996" s="65">
        <f t="shared" si="341"/>
        <v>1024.8</v>
      </c>
      <c r="S1996" s="268"/>
      <c r="T1996" s="64">
        <v>124</v>
      </c>
      <c r="U1996" s="270"/>
      <c r="V1996" s="38">
        <v>939</v>
      </c>
      <c r="W1996" s="38">
        <f t="shared" si="342"/>
        <v>206.58</v>
      </c>
      <c r="X1996" s="38">
        <f t="shared" si="343"/>
        <v>1145.58</v>
      </c>
    </row>
    <row r="1997" spans="1:24" ht="20.5" customHeight="1" x14ac:dyDescent="0.35">
      <c r="A1997" s="56" t="s">
        <v>4447</v>
      </c>
      <c r="B1997" s="2">
        <v>1870</v>
      </c>
      <c r="C1997" s="74">
        <v>102011769</v>
      </c>
      <c r="D1997" s="105" t="s">
        <v>4320</v>
      </c>
      <c r="E1997" s="59" t="s">
        <v>2178</v>
      </c>
      <c r="F1997" s="197">
        <v>1</v>
      </c>
      <c r="G1997" s="64" t="s">
        <v>0</v>
      </c>
      <c r="H1997" s="252">
        <v>43097</v>
      </c>
      <c r="I1997" s="61" t="s">
        <v>975</v>
      </c>
      <c r="J1997" s="63" t="s">
        <v>1917</v>
      </c>
      <c r="K1997" s="63" t="s">
        <v>961</v>
      </c>
      <c r="L1997" s="64" t="s">
        <v>950</v>
      </c>
      <c r="M1997" s="253">
        <v>1860.87</v>
      </c>
      <c r="N1997" s="65">
        <f t="shared" si="339"/>
        <v>1860.87</v>
      </c>
      <c r="O1997" s="204">
        <v>1860.87</v>
      </c>
      <c r="P1997" s="65">
        <v>1390</v>
      </c>
      <c r="Q1997" s="65">
        <f t="shared" si="340"/>
        <v>305.8</v>
      </c>
      <c r="R1997" s="65">
        <f t="shared" si="341"/>
        <v>1695.8</v>
      </c>
      <c r="S1997" s="268"/>
      <c r="T1997" s="64">
        <v>124</v>
      </c>
      <c r="U1997" s="270"/>
      <c r="V1997" s="38">
        <v>1548</v>
      </c>
      <c r="W1997" s="38">
        <f t="shared" si="342"/>
        <v>340.56</v>
      </c>
      <c r="X1997" s="38">
        <f t="shared" si="343"/>
        <v>1888.56</v>
      </c>
    </row>
    <row r="1998" spans="1:24" ht="20.5" customHeight="1" x14ac:dyDescent="0.35">
      <c r="A1998" s="56" t="s">
        <v>4454</v>
      </c>
      <c r="B1998" s="2">
        <v>1871</v>
      </c>
      <c r="C1998" s="74">
        <v>102011787</v>
      </c>
      <c r="D1998" s="105" t="s">
        <v>4299</v>
      </c>
      <c r="E1998" s="59" t="s">
        <v>2178</v>
      </c>
      <c r="F1998" s="197">
        <v>6</v>
      </c>
      <c r="G1998" s="64" t="s">
        <v>0</v>
      </c>
      <c r="H1998" s="252">
        <v>43097</v>
      </c>
      <c r="I1998" s="61" t="s">
        <v>975</v>
      </c>
      <c r="J1998" s="63" t="s">
        <v>1917</v>
      </c>
      <c r="K1998" s="63" t="s">
        <v>961</v>
      </c>
      <c r="L1998" s="64" t="s">
        <v>950</v>
      </c>
      <c r="M1998" s="253">
        <v>7504.98</v>
      </c>
      <c r="N1998" s="65">
        <f t="shared" si="339"/>
        <v>1250.83</v>
      </c>
      <c r="O1998" s="204">
        <v>7504.98</v>
      </c>
      <c r="P1998" s="65">
        <v>5590</v>
      </c>
      <c r="Q1998" s="65">
        <f t="shared" si="340"/>
        <v>1229.8</v>
      </c>
      <c r="R1998" s="65">
        <f t="shared" si="341"/>
        <v>6819.8</v>
      </c>
      <c r="S1998" s="268"/>
      <c r="T1998" s="64">
        <v>124</v>
      </c>
      <c r="U1998" s="270"/>
      <c r="V1998" s="38">
        <v>6243</v>
      </c>
      <c r="W1998" s="38">
        <f t="shared" si="342"/>
        <v>1373.46</v>
      </c>
      <c r="X1998" s="38">
        <f t="shared" si="343"/>
        <v>7616.46</v>
      </c>
    </row>
    <row r="1999" spans="1:24" ht="20.5" customHeight="1" x14ac:dyDescent="0.35">
      <c r="A1999" s="56" t="s">
        <v>4455</v>
      </c>
      <c r="B1999" s="2">
        <v>1872</v>
      </c>
      <c r="C1999" s="74">
        <v>102018971</v>
      </c>
      <c r="D1999" s="105" t="s">
        <v>4233</v>
      </c>
      <c r="E1999" s="59" t="s">
        <v>2178</v>
      </c>
      <c r="F1999" s="197">
        <v>24</v>
      </c>
      <c r="G1999" s="64" t="s">
        <v>0</v>
      </c>
      <c r="H1999" s="252">
        <v>43097</v>
      </c>
      <c r="I1999" s="61" t="s">
        <v>975</v>
      </c>
      <c r="J1999" s="63" t="s">
        <v>1917</v>
      </c>
      <c r="K1999" s="63" t="s">
        <v>961</v>
      </c>
      <c r="L1999" s="64" t="s">
        <v>950</v>
      </c>
      <c r="M1999" s="253">
        <v>19643.28</v>
      </c>
      <c r="N1999" s="65">
        <f t="shared" si="339"/>
        <v>818.47</v>
      </c>
      <c r="O1999" s="204">
        <v>19643.28</v>
      </c>
      <c r="P1999" s="65">
        <v>14660</v>
      </c>
      <c r="Q1999" s="65">
        <f t="shared" si="340"/>
        <v>3225.2</v>
      </c>
      <c r="R1999" s="65">
        <f t="shared" si="341"/>
        <v>17885.2</v>
      </c>
      <c r="S1999" s="268"/>
      <c r="T1999" s="64">
        <v>124</v>
      </c>
      <c r="U1999" s="270"/>
      <c r="V1999" s="38">
        <v>16384</v>
      </c>
      <c r="W1999" s="38">
        <f t="shared" si="342"/>
        <v>3604.48</v>
      </c>
      <c r="X1999" s="38">
        <f t="shared" si="343"/>
        <v>19988.48</v>
      </c>
    </row>
    <row r="2000" spans="1:24" ht="20.5" customHeight="1" x14ac:dyDescent="0.35">
      <c r="A2000" s="56" t="s">
        <v>4456</v>
      </c>
      <c r="B2000" s="2">
        <v>1873</v>
      </c>
      <c r="C2000" s="74">
        <v>102018758</v>
      </c>
      <c r="D2000" s="105" t="s">
        <v>4234</v>
      </c>
      <c r="E2000" s="59" t="s">
        <v>2178</v>
      </c>
      <c r="F2000" s="197">
        <v>162</v>
      </c>
      <c r="G2000" s="64" t="s">
        <v>0</v>
      </c>
      <c r="H2000" s="252">
        <v>43097</v>
      </c>
      <c r="I2000" s="61" t="s">
        <v>975</v>
      </c>
      <c r="J2000" s="63" t="s">
        <v>1917</v>
      </c>
      <c r="K2000" s="63" t="s">
        <v>961</v>
      </c>
      <c r="L2000" s="64" t="s">
        <v>950</v>
      </c>
      <c r="M2000" s="253">
        <v>82825.740000000005</v>
      </c>
      <c r="N2000" s="65">
        <f t="shared" si="339"/>
        <v>511.27</v>
      </c>
      <c r="O2000" s="204">
        <v>82825.740000000005</v>
      </c>
      <c r="P2000" s="65">
        <v>61830</v>
      </c>
      <c r="Q2000" s="65">
        <f t="shared" si="340"/>
        <v>13602.6</v>
      </c>
      <c r="R2000" s="65">
        <f t="shared" si="341"/>
        <v>75432.600000000006</v>
      </c>
      <c r="S2000" s="268"/>
      <c r="T2000" s="64">
        <v>124</v>
      </c>
      <c r="U2000" s="270"/>
      <c r="V2000" s="38">
        <v>69082</v>
      </c>
      <c r="W2000" s="38">
        <f t="shared" si="342"/>
        <v>15198.04</v>
      </c>
      <c r="X2000" s="38">
        <f t="shared" si="343"/>
        <v>84280.04</v>
      </c>
    </row>
    <row r="2001" spans="1:24" ht="20.5" customHeight="1" x14ac:dyDescent="0.35">
      <c r="A2001" s="56" t="s">
        <v>4457</v>
      </c>
      <c r="B2001" s="2">
        <v>1874</v>
      </c>
      <c r="C2001" s="74">
        <v>102018759</v>
      </c>
      <c r="D2001" s="105" t="s">
        <v>4240</v>
      </c>
      <c r="E2001" s="59" t="s">
        <v>2178</v>
      </c>
      <c r="F2001" s="197">
        <v>2</v>
      </c>
      <c r="G2001" s="64" t="s">
        <v>0</v>
      </c>
      <c r="H2001" s="252">
        <v>43097</v>
      </c>
      <c r="I2001" s="61" t="s">
        <v>975</v>
      </c>
      <c r="J2001" s="63" t="s">
        <v>1917</v>
      </c>
      <c r="K2001" s="63" t="s">
        <v>961</v>
      </c>
      <c r="L2001" s="64" t="s">
        <v>950</v>
      </c>
      <c r="M2001" s="253">
        <v>1556.98</v>
      </c>
      <c r="N2001" s="65">
        <f t="shared" si="339"/>
        <v>778.49</v>
      </c>
      <c r="O2001" s="204">
        <v>1556.98</v>
      </c>
      <c r="P2001" s="65">
        <v>1160</v>
      </c>
      <c r="Q2001" s="65">
        <f t="shared" si="340"/>
        <v>255.2</v>
      </c>
      <c r="R2001" s="65">
        <f t="shared" si="341"/>
        <v>1415.2</v>
      </c>
      <c r="S2001" s="268"/>
      <c r="T2001" s="64">
        <v>124</v>
      </c>
      <c r="U2001" s="270"/>
      <c r="V2001" s="38">
        <v>1299</v>
      </c>
      <c r="W2001" s="38">
        <f t="shared" si="342"/>
        <v>285.77999999999997</v>
      </c>
      <c r="X2001" s="38">
        <f t="shared" si="343"/>
        <v>1584.78</v>
      </c>
    </row>
    <row r="2002" spans="1:24" ht="20.5" customHeight="1" x14ac:dyDescent="0.35">
      <c r="A2002" s="56" t="s">
        <v>4458</v>
      </c>
      <c r="B2002" s="2">
        <v>1875</v>
      </c>
      <c r="C2002" s="74">
        <v>102018874</v>
      </c>
      <c r="D2002" s="105" t="s">
        <v>4304</v>
      </c>
      <c r="E2002" s="59" t="s">
        <v>2178</v>
      </c>
      <c r="F2002" s="197">
        <v>7</v>
      </c>
      <c r="G2002" s="64" t="s">
        <v>0</v>
      </c>
      <c r="H2002" s="252">
        <v>43097</v>
      </c>
      <c r="I2002" s="61" t="s">
        <v>975</v>
      </c>
      <c r="J2002" s="63" t="s">
        <v>1917</v>
      </c>
      <c r="K2002" s="63" t="s">
        <v>961</v>
      </c>
      <c r="L2002" s="64" t="s">
        <v>950</v>
      </c>
      <c r="M2002" s="253">
        <v>4306.47</v>
      </c>
      <c r="N2002" s="65">
        <f t="shared" si="339"/>
        <v>615.21</v>
      </c>
      <c r="O2002" s="204">
        <v>4306.47</v>
      </c>
      <c r="P2002" s="65">
        <v>3210</v>
      </c>
      <c r="Q2002" s="65">
        <f t="shared" si="340"/>
        <v>706.2</v>
      </c>
      <c r="R2002" s="65">
        <f t="shared" si="341"/>
        <v>3916.2</v>
      </c>
      <c r="S2002" s="268"/>
      <c r="T2002" s="64">
        <v>124</v>
      </c>
      <c r="U2002" s="270"/>
      <c r="V2002" s="38">
        <v>3582</v>
      </c>
      <c r="W2002" s="38">
        <f t="shared" si="342"/>
        <v>788.04</v>
      </c>
      <c r="X2002" s="38">
        <f t="shared" si="343"/>
        <v>4370.04</v>
      </c>
    </row>
    <row r="2003" spans="1:24" ht="20.5" customHeight="1" x14ac:dyDescent="0.35">
      <c r="A2003" s="56" t="s">
        <v>4459</v>
      </c>
      <c r="B2003" s="2">
        <v>1876</v>
      </c>
      <c r="C2003" s="74">
        <v>102018942</v>
      </c>
      <c r="D2003" s="105" t="s">
        <v>4321</v>
      </c>
      <c r="E2003" s="59" t="s">
        <v>2178</v>
      </c>
      <c r="F2003" s="197">
        <v>44</v>
      </c>
      <c r="G2003" s="64" t="s">
        <v>0</v>
      </c>
      <c r="H2003" s="252">
        <v>43097</v>
      </c>
      <c r="I2003" s="61" t="s">
        <v>975</v>
      </c>
      <c r="J2003" s="63" t="s">
        <v>1917</v>
      </c>
      <c r="K2003" s="63" t="s">
        <v>961</v>
      </c>
      <c r="L2003" s="64" t="s">
        <v>950</v>
      </c>
      <c r="M2003" s="253">
        <v>103752.9</v>
      </c>
      <c r="N2003" s="65">
        <f t="shared" si="339"/>
        <v>2358.02</v>
      </c>
      <c r="O2003" s="204">
        <v>103752.9</v>
      </c>
      <c r="P2003" s="65">
        <v>77240</v>
      </c>
      <c r="Q2003" s="65">
        <f t="shared" si="340"/>
        <v>16992.8</v>
      </c>
      <c r="R2003" s="65">
        <f t="shared" si="341"/>
        <v>94232.8</v>
      </c>
      <c r="S2003" s="268"/>
      <c r="T2003" s="64">
        <v>124</v>
      </c>
      <c r="U2003" s="270"/>
      <c r="V2003" s="38">
        <v>86306</v>
      </c>
      <c r="W2003" s="38">
        <f t="shared" si="342"/>
        <v>18987.32</v>
      </c>
      <c r="X2003" s="38">
        <f t="shared" si="343"/>
        <v>105293.32</v>
      </c>
    </row>
    <row r="2004" spans="1:24" ht="20.5" customHeight="1" x14ac:dyDescent="0.35">
      <c r="A2004" s="56" t="s">
        <v>4460</v>
      </c>
      <c r="B2004" s="2">
        <v>1877</v>
      </c>
      <c r="C2004" s="74">
        <v>102011730</v>
      </c>
      <c r="D2004" s="105" t="s">
        <v>4259</v>
      </c>
      <c r="E2004" s="59" t="s">
        <v>2178</v>
      </c>
      <c r="F2004" s="197">
        <v>2</v>
      </c>
      <c r="G2004" s="64" t="s">
        <v>0</v>
      </c>
      <c r="H2004" s="252">
        <v>43097</v>
      </c>
      <c r="I2004" s="61" t="s">
        <v>975</v>
      </c>
      <c r="J2004" s="63" t="s">
        <v>1917</v>
      </c>
      <c r="K2004" s="63" t="s">
        <v>961</v>
      </c>
      <c r="L2004" s="64" t="s">
        <v>950</v>
      </c>
      <c r="M2004" s="253">
        <v>4962.34</v>
      </c>
      <c r="N2004" s="65">
        <f t="shared" si="339"/>
        <v>2481.17</v>
      </c>
      <c r="O2004" s="204">
        <v>4962.34</v>
      </c>
      <c r="P2004" s="65">
        <v>3830</v>
      </c>
      <c r="Q2004" s="65">
        <f t="shared" si="340"/>
        <v>842.6</v>
      </c>
      <c r="R2004" s="65">
        <f t="shared" si="341"/>
        <v>4672.6000000000004</v>
      </c>
      <c r="S2004" s="268"/>
      <c r="T2004" s="64">
        <v>124</v>
      </c>
      <c r="U2004" s="270"/>
      <c r="V2004" s="38">
        <v>4279</v>
      </c>
      <c r="W2004" s="38">
        <f t="shared" si="342"/>
        <v>941.38</v>
      </c>
      <c r="X2004" s="38">
        <f t="shared" si="343"/>
        <v>5220.38</v>
      </c>
    </row>
    <row r="2005" spans="1:24" ht="20.5" customHeight="1" x14ac:dyDescent="0.35">
      <c r="A2005" s="56" t="s">
        <v>4461</v>
      </c>
      <c r="B2005" s="2">
        <v>1878</v>
      </c>
      <c r="C2005" s="74">
        <v>102011832</v>
      </c>
      <c r="D2005" s="105" t="s">
        <v>4260</v>
      </c>
      <c r="E2005" s="59" t="s">
        <v>2178</v>
      </c>
      <c r="F2005" s="197">
        <v>1</v>
      </c>
      <c r="G2005" s="64" t="s">
        <v>0</v>
      </c>
      <c r="H2005" s="252">
        <v>43097</v>
      </c>
      <c r="I2005" s="61" t="s">
        <v>975</v>
      </c>
      <c r="J2005" s="63" t="s">
        <v>1917</v>
      </c>
      <c r="K2005" s="63" t="s">
        <v>961</v>
      </c>
      <c r="L2005" s="64" t="s">
        <v>950</v>
      </c>
      <c r="M2005" s="253">
        <v>103216.68</v>
      </c>
      <c r="N2005" s="65">
        <f t="shared" si="339"/>
        <v>103216.68</v>
      </c>
      <c r="O2005" s="204">
        <v>103216.68</v>
      </c>
      <c r="P2005" s="65">
        <v>79650</v>
      </c>
      <c r="Q2005" s="65">
        <f t="shared" si="340"/>
        <v>17523</v>
      </c>
      <c r="R2005" s="65">
        <f t="shared" si="341"/>
        <v>97173</v>
      </c>
      <c r="S2005" s="268"/>
      <c r="T2005" s="64">
        <v>124</v>
      </c>
      <c r="U2005" s="270"/>
      <c r="V2005" s="38">
        <v>89000</v>
      </c>
      <c r="W2005" s="38">
        <f t="shared" si="342"/>
        <v>19580</v>
      </c>
      <c r="X2005" s="38">
        <f t="shared" si="343"/>
        <v>108580</v>
      </c>
    </row>
    <row r="2006" spans="1:24" ht="20.5" customHeight="1" x14ac:dyDescent="0.35">
      <c r="A2006" s="56" t="s">
        <v>4462</v>
      </c>
      <c r="B2006" s="2">
        <v>1879</v>
      </c>
      <c r="C2006" s="74">
        <v>102011727</v>
      </c>
      <c r="D2006" s="105" t="s">
        <v>4308</v>
      </c>
      <c r="E2006" s="59" t="s">
        <v>2178</v>
      </c>
      <c r="F2006" s="197">
        <v>3</v>
      </c>
      <c r="G2006" s="64" t="s">
        <v>0</v>
      </c>
      <c r="H2006" s="252">
        <v>43097</v>
      </c>
      <c r="I2006" s="61" t="s">
        <v>975</v>
      </c>
      <c r="J2006" s="63" t="s">
        <v>1917</v>
      </c>
      <c r="K2006" s="63" t="s">
        <v>961</v>
      </c>
      <c r="L2006" s="64" t="s">
        <v>950</v>
      </c>
      <c r="M2006" s="253">
        <v>49495.32</v>
      </c>
      <c r="N2006" s="65">
        <f t="shared" si="339"/>
        <v>16498.439999999999</v>
      </c>
      <c r="O2006" s="204">
        <v>49495.32</v>
      </c>
      <c r="P2006" s="65">
        <v>36850</v>
      </c>
      <c r="Q2006" s="65">
        <f t="shared" si="340"/>
        <v>8107</v>
      </c>
      <c r="R2006" s="65">
        <f t="shared" si="341"/>
        <v>44957</v>
      </c>
      <c r="S2006" s="268"/>
      <c r="T2006" s="64">
        <v>124</v>
      </c>
      <c r="U2006" s="270"/>
      <c r="V2006" s="38">
        <v>41172</v>
      </c>
      <c r="W2006" s="38">
        <f t="shared" si="342"/>
        <v>9057.84</v>
      </c>
      <c r="X2006" s="38">
        <f t="shared" si="343"/>
        <v>50229.84</v>
      </c>
    </row>
    <row r="2007" spans="1:24" ht="20.5" customHeight="1" x14ac:dyDescent="0.35">
      <c r="A2007" s="56" t="s">
        <v>4463</v>
      </c>
      <c r="B2007" s="2">
        <v>1880</v>
      </c>
      <c r="C2007" s="74">
        <v>102011790</v>
      </c>
      <c r="D2007" s="105" t="s">
        <v>4272</v>
      </c>
      <c r="E2007" s="59" t="s">
        <v>2178</v>
      </c>
      <c r="F2007" s="197">
        <v>2</v>
      </c>
      <c r="G2007" s="64" t="s">
        <v>0</v>
      </c>
      <c r="H2007" s="252">
        <v>43097</v>
      </c>
      <c r="I2007" s="61" t="s">
        <v>975</v>
      </c>
      <c r="J2007" s="63" t="s">
        <v>1917</v>
      </c>
      <c r="K2007" s="63" t="s">
        <v>961</v>
      </c>
      <c r="L2007" s="64" t="s">
        <v>950</v>
      </c>
      <c r="M2007" s="253">
        <v>8197.74</v>
      </c>
      <c r="N2007" s="65">
        <f t="shared" si="339"/>
        <v>4098.87</v>
      </c>
      <c r="O2007" s="204">
        <v>8197.74</v>
      </c>
      <c r="P2007" s="65">
        <v>6100</v>
      </c>
      <c r="Q2007" s="65">
        <f t="shared" si="340"/>
        <v>1342</v>
      </c>
      <c r="R2007" s="65">
        <f t="shared" si="341"/>
        <v>7442</v>
      </c>
      <c r="S2007" s="269"/>
      <c r="T2007" s="64">
        <v>124</v>
      </c>
      <c r="U2007" s="270"/>
      <c r="V2007" s="38">
        <v>6819</v>
      </c>
      <c r="W2007" s="38">
        <f t="shared" si="342"/>
        <v>1500.18</v>
      </c>
      <c r="X2007" s="38">
        <f t="shared" si="343"/>
        <v>8319.18</v>
      </c>
    </row>
    <row r="2008" spans="1:24" ht="20.5" customHeight="1" x14ac:dyDescent="0.35">
      <c r="A2008" s="56"/>
      <c r="B2008" s="15"/>
      <c r="C2008" s="74"/>
      <c r="D2008" s="105"/>
      <c r="E2008" s="59"/>
      <c r="F2008" s="197"/>
      <c r="G2008" s="64"/>
      <c r="H2008" s="252"/>
      <c r="I2008" s="61"/>
      <c r="J2008" s="63"/>
      <c r="K2008" s="63"/>
      <c r="L2008" s="64"/>
      <c r="M2008" s="253"/>
      <c r="N2008" s="65"/>
      <c r="O2008" s="254">
        <f>+SUM(O1988:O2007)</f>
        <v>788210.31</v>
      </c>
      <c r="P2008" s="254">
        <f t="shared" ref="P2008:R2008" si="345">+SUM(P1988:P2007)</f>
        <v>590270</v>
      </c>
      <c r="Q2008" s="254">
        <f t="shared" si="345"/>
        <v>129859.4</v>
      </c>
      <c r="R2008" s="254">
        <f t="shared" si="345"/>
        <v>720129.4</v>
      </c>
      <c r="S2008" s="72">
        <f>R2008/100*10</f>
        <v>72012.94</v>
      </c>
      <c r="T2008" s="73">
        <v>124</v>
      </c>
      <c r="U2008" s="271"/>
      <c r="V2008" s="38"/>
      <c r="W2008" s="38"/>
      <c r="X2008" s="38"/>
    </row>
    <row r="2009" spans="1:24" ht="20.5" customHeight="1" x14ac:dyDescent="0.35">
      <c r="A2009" s="56" t="s">
        <v>4464</v>
      </c>
      <c r="B2009" s="2">
        <v>1881</v>
      </c>
      <c r="C2009" s="74">
        <v>102011748</v>
      </c>
      <c r="D2009" s="105" t="s">
        <v>4090</v>
      </c>
      <c r="E2009" s="59" t="s">
        <v>2178</v>
      </c>
      <c r="F2009" s="197">
        <v>1</v>
      </c>
      <c r="G2009" s="64" t="s">
        <v>0</v>
      </c>
      <c r="H2009" s="252">
        <v>43097</v>
      </c>
      <c r="I2009" s="61" t="s">
        <v>975</v>
      </c>
      <c r="J2009" s="63" t="s">
        <v>1917</v>
      </c>
      <c r="K2009" s="63" t="s">
        <v>961</v>
      </c>
      <c r="L2009" s="64" t="s">
        <v>950</v>
      </c>
      <c r="M2009" s="253">
        <v>167851.16</v>
      </c>
      <c r="N2009" s="65">
        <f t="shared" si="339"/>
        <v>167851.16</v>
      </c>
      <c r="O2009" s="204">
        <v>167851.16</v>
      </c>
      <c r="P2009" s="65">
        <v>225850</v>
      </c>
      <c r="Q2009" s="65">
        <f t="shared" si="340"/>
        <v>49687</v>
      </c>
      <c r="R2009" s="65">
        <f t="shared" si="341"/>
        <v>275537</v>
      </c>
      <c r="S2009" s="267"/>
      <c r="T2009" s="64">
        <v>125</v>
      </c>
      <c r="U2009" s="273" t="s">
        <v>4475</v>
      </c>
      <c r="V2009" s="38">
        <v>252346</v>
      </c>
      <c r="W2009" s="38">
        <f t="shared" si="342"/>
        <v>55516.12</v>
      </c>
      <c r="X2009" s="38">
        <f t="shared" si="343"/>
        <v>307862.12</v>
      </c>
    </row>
    <row r="2010" spans="1:24" ht="20.5" customHeight="1" x14ac:dyDescent="0.35">
      <c r="A2010" s="56" t="s">
        <v>4465</v>
      </c>
      <c r="B2010" s="2">
        <v>1882</v>
      </c>
      <c r="C2010" s="74">
        <v>102011729</v>
      </c>
      <c r="D2010" s="105" t="s">
        <v>4317</v>
      </c>
      <c r="E2010" s="59" t="s">
        <v>2178</v>
      </c>
      <c r="F2010" s="197">
        <v>1</v>
      </c>
      <c r="G2010" s="64" t="s">
        <v>0</v>
      </c>
      <c r="H2010" s="252">
        <v>43097</v>
      </c>
      <c r="I2010" s="61" t="s">
        <v>975</v>
      </c>
      <c r="J2010" s="63" t="s">
        <v>1917</v>
      </c>
      <c r="K2010" s="63" t="s">
        <v>961</v>
      </c>
      <c r="L2010" s="64" t="s">
        <v>950</v>
      </c>
      <c r="M2010" s="253">
        <v>4263.04</v>
      </c>
      <c r="N2010" s="65">
        <f t="shared" si="339"/>
        <v>4263.04</v>
      </c>
      <c r="O2010" s="204">
        <v>4263.04</v>
      </c>
      <c r="P2010" s="65">
        <v>3170</v>
      </c>
      <c r="Q2010" s="65">
        <f t="shared" si="340"/>
        <v>697.4</v>
      </c>
      <c r="R2010" s="65">
        <f t="shared" si="341"/>
        <v>3867.4</v>
      </c>
      <c r="S2010" s="268"/>
      <c r="T2010" s="64">
        <v>125</v>
      </c>
      <c r="U2010" s="274"/>
      <c r="V2010" s="38">
        <v>3546</v>
      </c>
      <c r="W2010" s="38">
        <f t="shared" si="342"/>
        <v>780.12</v>
      </c>
      <c r="X2010" s="38">
        <f t="shared" si="343"/>
        <v>4326.12</v>
      </c>
    </row>
    <row r="2011" spans="1:24" ht="20.5" customHeight="1" x14ac:dyDescent="0.35">
      <c r="A2011" s="56" t="s">
        <v>4466</v>
      </c>
      <c r="B2011" s="2">
        <v>1883</v>
      </c>
      <c r="C2011" s="74">
        <v>102018880</v>
      </c>
      <c r="D2011" s="105" t="s">
        <v>4280</v>
      </c>
      <c r="E2011" s="59" t="s">
        <v>2178</v>
      </c>
      <c r="F2011" s="197">
        <v>263</v>
      </c>
      <c r="G2011" s="64" t="s">
        <v>0</v>
      </c>
      <c r="H2011" s="252">
        <v>43097</v>
      </c>
      <c r="I2011" s="61" t="s">
        <v>975</v>
      </c>
      <c r="J2011" s="63" t="s">
        <v>1917</v>
      </c>
      <c r="K2011" s="63" t="s">
        <v>961</v>
      </c>
      <c r="L2011" s="64" t="s">
        <v>950</v>
      </c>
      <c r="M2011" s="253">
        <v>27630.78</v>
      </c>
      <c r="N2011" s="65">
        <f t="shared" si="339"/>
        <v>105.06</v>
      </c>
      <c r="O2011" s="204">
        <v>27630.78</v>
      </c>
      <c r="P2011" s="65">
        <v>20630</v>
      </c>
      <c r="Q2011" s="65">
        <f t="shared" si="340"/>
        <v>4538.6000000000004</v>
      </c>
      <c r="R2011" s="65">
        <f t="shared" si="341"/>
        <v>25168.6</v>
      </c>
      <c r="S2011" s="268"/>
      <c r="T2011" s="64">
        <v>125</v>
      </c>
      <c r="U2011" s="274"/>
      <c r="V2011" s="38">
        <v>23046</v>
      </c>
      <c r="W2011" s="38">
        <f t="shared" si="342"/>
        <v>5070.12</v>
      </c>
      <c r="X2011" s="38">
        <f t="shared" si="343"/>
        <v>28116.12</v>
      </c>
    </row>
    <row r="2012" spans="1:24" ht="20.5" customHeight="1" x14ac:dyDescent="0.35">
      <c r="A2012" s="56" t="s">
        <v>4467</v>
      </c>
      <c r="B2012" s="2">
        <v>1884</v>
      </c>
      <c r="C2012" s="74">
        <v>102018879</v>
      </c>
      <c r="D2012" s="105" t="s">
        <v>4281</v>
      </c>
      <c r="E2012" s="59" t="s">
        <v>2178</v>
      </c>
      <c r="F2012" s="197">
        <v>345</v>
      </c>
      <c r="G2012" s="64" t="s">
        <v>0</v>
      </c>
      <c r="H2012" s="252">
        <v>43097</v>
      </c>
      <c r="I2012" s="61" t="s">
        <v>975</v>
      </c>
      <c r="J2012" s="63" t="s">
        <v>1917</v>
      </c>
      <c r="K2012" s="63" t="s">
        <v>961</v>
      </c>
      <c r="L2012" s="64" t="s">
        <v>950</v>
      </c>
      <c r="M2012" s="253">
        <v>148263.75</v>
      </c>
      <c r="N2012" s="65">
        <f t="shared" si="339"/>
        <v>429.75</v>
      </c>
      <c r="O2012" s="204">
        <v>148263.75</v>
      </c>
      <c r="P2012" s="65">
        <v>110680</v>
      </c>
      <c r="Q2012" s="65">
        <f t="shared" si="340"/>
        <v>24349.599999999999</v>
      </c>
      <c r="R2012" s="65">
        <f t="shared" si="341"/>
        <v>135029.6</v>
      </c>
      <c r="S2012" s="268"/>
      <c r="T2012" s="64">
        <v>125</v>
      </c>
      <c r="U2012" s="274"/>
      <c r="V2012" s="38">
        <v>123661</v>
      </c>
      <c r="W2012" s="38">
        <f t="shared" si="342"/>
        <v>27205.42</v>
      </c>
      <c r="X2012" s="38">
        <f t="shared" si="343"/>
        <v>150866.42000000001</v>
      </c>
    </row>
    <row r="2013" spans="1:24" ht="20.5" customHeight="1" x14ac:dyDescent="0.35">
      <c r="A2013" s="56" t="s">
        <v>4468</v>
      </c>
      <c r="B2013" s="2">
        <v>1885</v>
      </c>
      <c r="C2013" s="74">
        <v>102012852</v>
      </c>
      <c r="D2013" s="105" t="s">
        <v>4130</v>
      </c>
      <c r="E2013" s="59" t="s">
        <v>2178</v>
      </c>
      <c r="F2013" s="197">
        <v>1</v>
      </c>
      <c r="G2013" s="64" t="s">
        <v>0</v>
      </c>
      <c r="H2013" s="252">
        <v>43097</v>
      </c>
      <c r="I2013" s="61" t="s">
        <v>975</v>
      </c>
      <c r="J2013" s="63" t="s">
        <v>1917</v>
      </c>
      <c r="K2013" s="63" t="s">
        <v>961</v>
      </c>
      <c r="L2013" s="64" t="s">
        <v>950</v>
      </c>
      <c r="M2013" s="253">
        <v>133497.16</v>
      </c>
      <c r="N2013" s="65">
        <f t="shared" si="339"/>
        <v>133497.16</v>
      </c>
      <c r="O2013" s="204">
        <v>133497.16</v>
      </c>
      <c r="P2013" s="65">
        <v>99390</v>
      </c>
      <c r="Q2013" s="65">
        <f t="shared" si="340"/>
        <v>21865.8</v>
      </c>
      <c r="R2013" s="65">
        <f t="shared" si="341"/>
        <v>121255.8</v>
      </c>
      <c r="S2013" s="268"/>
      <c r="T2013" s="64">
        <v>125</v>
      </c>
      <c r="U2013" s="274"/>
      <c r="V2013" s="38">
        <v>111048</v>
      </c>
      <c r="W2013" s="38">
        <f t="shared" si="342"/>
        <v>24430.560000000001</v>
      </c>
      <c r="X2013" s="38">
        <f t="shared" si="343"/>
        <v>135478.56</v>
      </c>
    </row>
    <row r="2014" spans="1:24" ht="20.5" customHeight="1" x14ac:dyDescent="0.35">
      <c r="A2014" s="56" t="s">
        <v>4469</v>
      </c>
      <c r="B2014" s="2">
        <v>1886</v>
      </c>
      <c r="C2014" s="74">
        <v>102011804</v>
      </c>
      <c r="D2014" s="105" t="s">
        <v>4322</v>
      </c>
      <c r="E2014" s="59" t="s">
        <v>2178</v>
      </c>
      <c r="F2014" s="197">
        <v>4</v>
      </c>
      <c r="G2014" s="64" t="s">
        <v>0</v>
      </c>
      <c r="H2014" s="252">
        <v>43097</v>
      </c>
      <c r="I2014" s="61" t="s">
        <v>975</v>
      </c>
      <c r="J2014" s="63" t="s">
        <v>1917</v>
      </c>
      <c r="K2014" s="63" t="s">
        <v>961</v>
      </c>
      <c r="L2014" s="64" t="s">
        <v>950</v>
      </c>
      <c r="M2014" s="253">
        <v>22330.52</v>
      </c>
      <c r="N2014" s="65">
        <f t="shared" si="339"/>
        <v>5582.63</v>
      </c>
      <c r="O2014" s="204">
        <v>22330.52</v>
      </c>
      <c r="P2014" s="65">
        <v>16620</v>
      </c>
      <c r="Q2014" s="65">
        <f t="shared" si="340"/>
        <v>3656.4</v>
      </c>
      <c r="R2014" s="65">
        <f t="shared" si="341"/>
        <v>20276.400000000001</v>
      </c>
      <c r="S2014" s="268"/>
      <c r="T2014" s="64">
        <v>125</v>
      </c>
      <c r="U2014" s="274"/>
      <c r="V2014" s="38">
        <v>18575</v>
      </c>
      <c r="W2014" s="38">
        <f t="shared" si="342"/>
        <v>4086.5</v>
      </c>
      <c r="X2014" s="38">
        <f t="shared" si="343"/>
        <v>22661.5</v>
      </c>
    </row>
    <row r="2015" spans="1:24" ht="20.5" customHeight="1" x14ac:dyDescent="0.35">
      <c r="A2015" s="56" t="s">
        <v>4470</v>
      </c>
      <c r="B2015" s="2">
        <v>1887</v>
      </c>
      <c r="C2015" s="74">
        <v>102011755</v>
      </c>
      <c r="D2015" s="105" t="s">
        <v>4318</v>
      </c>
      <c r="E2015" s="59" t="s">
        <v>2178</v>
      </c>
      <c r="F2015" s="197">
        <v>1</v>
      </c>
      <c r="G2015" s="64" t="s">
        <v>0</v>
      </c>
      <c r="H2015" s="252">
        <v>43097</v>
      </c>
      <c r="I2015" s="61" t="s">
        <v>975</v>
      </c>
      <c r="J2015" s="63" t="s">
        <v>1917</v>
      </c>
      <c r="K2015" s="63" t="s">
        <v>961</v>
      </c>
      <c r="L2015" s="64" t="s">
        <v>950</v>
      </c>
      <c r="M2015" s="253">
        <v>40609.11</v>
      </c>
      <c r="N2015" s="65">
        <f t="shared" si="339"/>
        <v>40609.11</v>
      </c>
      <c r="O2015" s="204">
        <v>40609.11</v>
      </c>
      <c r="P2015" s="65">
        <v>30230</v>
      </c>
      <c r="Q2015" s="65">
        <f t="shared" si="340"/>
        <v>6650.6</v>
      </c>
      <c r="R2015" s="65">
        <f t="shared" si="341"/>
        <v>36880.6</v>
      </c>
      <c r="S2015" s="268"/>
      <c r="T2015" s="64">
        <v>125</v>
      </c>
      <c r="U2015" s="274"/>
      <c r="V2015" s="38">
        <v>33780</v>
      </c>
      <c r="W2015" s="38">
        <f t="shared" si="342"/>
        <v>7431.6</v>
      </c>
      <c r="X2015" s="38">
        <f t="shared" si="343"/>
        <v>41211.599999999999</v>
      </c>
    </row>
    <row r="2016" spans="1:24" ht="20.5" customHeight="1" x14ac:dyDescent="0.35">
      <c r="A2016" s="56" t="s">
        <v>4471</v>
      </c>
      <c r="B2016" s="2">
        <v>1888</v>
      </c>
      <c r="C2016" s="74">
        <v>102022183</v>
      </c>
      <c r="D2016" s="105" t="s">
        <v>4323</v>
      </c>
      <c r="E2016" s="59" t="s">
        <v>2178</v>
      </c>
      <c r="F2016" s="197">
        <v>1</v>
      </c>
      <c r="G2016" s="64" t="s">
        <v>0</v>
      </c>
      <c r="H2016" s="252">
        <v>43097</v>
      </c>
      <c r="I2016" s="61" t="s">
        <v>975</v>
      </c>
      <c r="J2016" s="63" t="s">
        <v>1917</v>
      </c>
      <c r="K2016" s="63" t="s">
        <v>961</v>
      </c>
      <c r="L2016" s="64" t="s">
        <v>950</v>
      </c>
      <c r="M2016" s="253">
        <v>81151.350000000006</v>
      </c>
      <c r="N2016" s="65">
        <f t="shared" si="339"/>
        <v>81151.350000000006</v>
      </c>
      <c r="O2016" s="204">
        <v>81151.350000000006</v>
      </c>
      <c r="P2016" s="65">
        <v>60420</v>
      </c>
      <c r="Q2016" s="65">
        <f t="shared" si="340"/>
        <v>13292.4</v>
      </c>
      <c r="R2016" s="65">
        <f t="shared" si="341"/>
        <v>73712.399999999994</v>
      </c>
      <c r="S2016" s="268"/>
      <c r="T2016" s="64">
        <v>125</v>
      </c>
      <c r="U2016" s="274"/>
      <c r="V2016" s="38">
        <v>67505</v>
      </c>
      <c r="W2016" s="38">
        <f t="shared" si="342"/>
        <v>14851.1</v>
      </c>
      <c r="X2016" s="38">
        <f t="shared" si="343"/>
        <v>82356.100000000006</v>
      </c>
    </row>
    <row r="2017" spans="1:24" ht="20.5" customHeight="1" x14ac:dyDescent="0.35">
      <c r="A2017" s="56" t="s">
        <v>4472</v>
      </c>
      <c r="B2017" s="2">
        <v>1889</v>
      </c>
      <c r="C2017" s="74">
        <v>102022184</v>
      </c>
      <c r="D2017" s="105" t="s">
        <v>4324</v>
      </c>
      <c r="E2017" s="59" t="s">
        <v>2178</v>
      </c>
      <c r="F2017" s="197">
        <v>1</v>
      </c>
      <c r="G2017" s="64" t="s">
        <v>0</v>
      </c>
      <c r="H2017" s="252">
        <v>43097</v>
      </c>
      <c r="I2017" s="61" t="s">
        <v>975</v>
      </c>
      <c r="J2017" s="63" t="s">
        <v>1917</v>
      </c>
      <c r="K2017" s="63" t="s">
        <v>961</v>
      </c>
      <c r="L2017" s="64" t="s">
        <v>950</v>
      </c>
      <c r="M2017" s="253">
        <v>62435.31</v>
      </c>
      <c r="N2017" s="65">
        <f t="shared" si="339"/>
        <v>62435.31</v>
      </c>
      <c r="O2017" s="204">
        <v>62435.31</v>
      </c>
      <c r="P2017" s="65">
        <v>46480</v>
      </c>
      <c r="Q2017" s="65">
        <f t="shared" si="340"/>
        <v>10225.6</v>
      </c>
      <c r="R2017" s="65">
        <f t="shared" si="341"/>
        <v>56705.599999999999</v>
      </c>
      <c r="S2017" s="268"/>
      <c r="T2017" s="64">
        <v>125</v>
      </c>
      <c r="U2017" s="274"/>
      <c r="V2017" s="38">
        <v>51936</v>
      </c>
      <c r="W2017" s="38">
        <f t="shared" si="342"/>
        <v>11425.92</v>
      </c>
      <c r="X2017" s="38">
        <f t="shared" si="343"/>
        <v>63361.919999999998</v>
      </c>
    </row>
    <row r="2018" spans="1:24" ht="20.5" customHeight="1" x14ac:dyDescent="0.35">
      <c r="A2018" s="56" t="s">
        <v>4473</v>
      </c>
      <c r="B2018" s="2">
        <v>1890</v>
      </c>
      <c r="C2018" s="74">
        <v>102022186</v>
      </c>
      <c r="D2018" s="105" t="s">
        <v>4325</v>
      </c>
      <c r="E2018" s="59" t="s">
        <v>2178</v>
      </c>
      <c r="F2018" s="197">
        <v>1</v>
      </c>
      <c r="G2018" s="64" t="s">
        <v>0</v>
      </c>
      <c r="H2018" s="252">
        <v>43097</v>
      </c>
      <c r="I2018" s="61" t="s">
        <v>975</v>
      </c>
      <c r="J2018" s="63" t="s">
        <v>1917</v>
      </c>
      <c r="K2018" s="63" t="s">
        <v>961</v>
      </c>
      <c r="L2018" s="64" t="s">
        <v>950</v>
      </c>
      <c r="M2018" s="253">
        <v>50567.68</v>
      </c>
      <c r="N2018" s="65">
        <f t="shared" si="339"/>
        <v>50567.68</v>
      </c>
      <c r="O2018" s="204">
        <v>50567.68</v>
      </c>
      <c r="P2018" s="65">
        <v>37650</v>
      </c>
      <c r="Q2018" s="65">
        <f t="shared" si="340"/>
        <v>8283</v>
      </c>
      <c r="R2018" s="65">
        <f t="shared" si="341"/>
        <v>45933</v>
      </c>
      <c r="S2018" s="268"/>
      <c r="T2018" s="64">
        <v>125</v>
      </c>
      <c r="U2018" s="274"/>
      <c r="V2018" s="38">
        <v>42064</v>
      </c>
      <c r="W2018" s="38">
        <f t="shared" si="342"/>
        <v>9254.08</v>
      </c>
      <c r="X2018" s="38">
        <f t="shared" si="343"/>
        <v>51318.080000000002</v>
      </c>
    </row>
    <row r="2019" spans="1:24" ht="20.5" customHeight="1" x14ac:dyDescent="0.35">
      <c r="A2019" s="56" t="s">
        <v>4474</v>
      </c>
      <c r="B2019" s="2">
        <v>1891</v>
      </c>
      <c r="C2019" s="74">
        <v>102022185</v>
      </c>
      <c r="D2019" s="105" t="s">
        <v>4326</v>
      </c>
      <c r="E2019" s="59" t="s">
        <v>2178</v>
      </c>
      <c r="F2019" s="197">
        <v>1</v>
      </c>
      <c r="G2019" s="64" t="s">
        <v>0</v>
      </c>
      <c r="H2019" s="252">
        <v>43097</v>
      </c>
      <c r="I2019" s="61" t="s">
        <v>975</v>
      </c>
      <c r="J2019" s="63" t="s">
        <v>1917</v>
      </c>
      <c r="K2019" s="63" t="s">
        <v>961</v>
      </c>
      <c r="L2019" s="64" t="s">
        <v>950</v>
      </c>
      <c r="M2019" s="253">
        <v>75764.09</v>
      </c>
      <c r="N2019" s="65">
        <f t="shared" si="339"/>
        <v>75764.09</v>
      </c>
      <c r="O2019" s="209">
        <v>75764.09</v>
      </c>
      <c r="P2019" s="65">
        <v>56410</v>
      </c>
      <c r="Q2019" s="65">
        <f t="shared" si="340"/>
        <v>12410.2</v>
      </c>
      <c r="R2019" s="65">
        <f t="shared" si="341"/>
        <v>68820.2</v>
      </c>
      <c r="S2019" s="269"/>
      <c r="T2019" s="64">
        <v>125</v>
      </c>
      <c r="U2019" s="274"/>
      <c r="V2019" s="38">
        <v>63023</v>
      </c>
      <c r="W2019" s="38">
        <f t="shared" si="342"/>
        <v>13865.06</v>
      </c>
      <c r="X2019" s="38">
        <f t="shared" si="343"/>
        <v>76888.06</v>
      </c>
    </row>
    <row r="2020" spans="1:24" ht="20.5" customHeight="1" x14ac:dyDescent="0.35">
      <c r="A2020" s="56"/>
      <c r="B2020" s="15"/>
      <c r="C2020" s="74"/>
      <c r="D2020" s="105"/>
      <c r="E2020" s="59"/>
      <c r="F2020" s="197"/>
      <c r="G2020" s="64"/>
      <c r="H2020" s="252"/>
      <c r="I2020" s="61"/>
      <c r="J2020" s="63"/>
      <c r="K2020" s="63"/>
      <c r="L2020" s="64"/>
      <c r="M2020" s="253"/>
      <c r="N2020" s="65"/>
      <c r="O2020" s="254">
        <f>SUM(O2009:O2019)</f>
        <v>814363.95</v>
      </c>
      <c r="P2020" s="254">
        <f t="shared" ref="P2020:R2020" si="346">SUM(P2009:P2019)</f>
        <v>707530</v>
      </c>
      <c r="Q2020" s="254">
        <f t="shared" si="346"/>
        <v>155656.6</v>
      </c>
      <c r="R2020" s="254">
        <f t="shared" si="346"/>
        <v>863186.6</v>
      </c>
      <c r="S2020" s="72">
        <f>R2020/100*10</f>
        <v>86318.66</v>
      </c>
      <c r="T2020" s="73">
        <v>125</v>
      </c>
      <c r="U2020" s="274"/>
      <c r="V2020" s="38"/>
      <c r="W2020" s="38"/>
      <c r="X2020" s="38"/>
    </row>
    <row r="2021" spans="1:24" ht="20.5" customHeight="1" x14ac:dyDescent="0.35">
      <c r="A2021" s="56" t="s">
        <v>4480</v>
      </c>
      <c r="B2021" s="2">
        <v>1892</v>
      </c>
      <c r="C2021" s="74">
        <v>10026541</v>
      </c>
      <c r="D2021" s="59" t="s">
        <v>4180</v>
      </c>
      <c r="E2021" s="59" t="s">
        <v>2167</v>
      </c>
      <c r="F2021" s="197">
        <v>1</v>
      </c>
      <c r="G2021" s="64" t="s">
        <v>0</v>
      </c>
      <c r="H2021" s="88">
        <v>42004</v>
      </c>
      <c r="I2021" s="64" t="s">
        <v>957</v>
      </c>
      <c r="J2021" s="63" t="s">
        <v>1917</v>
      </c>
      <c r="K2021" s="64" t="s">
        <v>961</v>
      </c>
      <c r="L2021" s="64" t="s">
        <v>4477</v>
      </c>
      <c r="M2021" s="174">
        <v>13900</v>
      </c>
      <c r="N2021" s="65">
        <v>13900</v>
      </c>
      <c r="O2021" s="174">
        <v>13900</v>
      </c>
      <c r="P2021" s="65">
        <v>22550</v>
      </c>
      <c r="Q2021" s="65">
        <f t="shared" si="340"/>
        <v>4961</v>
      </c>
      <c r="R2021" s="65">
        <f t="shared" si="341"/>
        <v>27511</v>
      </c>
      <c r="S2021" s="267"/>
      <c r="T2021" s="64">
        <v>126</v>
      </c>
      <c r="U2021" s="273" t="s">
        <v>4478</v>
      </c>
      <c r="V2021" s="38">
        <v>25198</v>
      </c>
      <c r="W2021" s="38">
        <f t="shared" si="342"/>
        <v>5543.56</v>
      </c>
      <c r="X2021" s="38">
        <f t="shared" si="343"/>
        <v>30741.56</v>
      </c>
    </row>
    <row r="2022" spans="1:24" ht="20.5" customHeight="1" x14ac:dyDescent="0.35">
      <c r="A2022" s="56" t="s">
        <v>4481</v>
      </c>
      <c r="B2022" s="2">
        <v>1893</v>
      </c>
      <c r="C2022" s="74">
        <v>10023767</v>
      </c>
      <c r="D2022" s="59" t="s">
        <v>4181</v>
      </c>
      <c r="E2022" s="255" t="s">
        <v>4212</v>
      </c>
      <c r="F2022" s="197">
        <v>11</v>
      </c>
      <c r="G2022" s="64" t="s">
        <v>8</v>
      </c>
      <c r="H2022" s="88">
        <v>42004</v>
      </c>
      <c r="I2022" s="64" t="s">
        <v>957</v>
      </c>
      <c r="J2022" s="63" t="s">
        <v>1917</v>
      </c>
      <c r="K2022" s="64" t="s">
        <v>961</v>
      </c>
      <c r="L2022" s="64" t="s">
        <v>4477</v>
      </c>
      <c r="M2022" s="174">
        <v>517.77</v>
      </c>
      <c r="N2022" s="65">
        <v>47.07</v>
      </c>
      <c r="O2022" s="174">
        <v>517.77</v>
      </c>
      <c r="P2022" s="65">
        <v>840</v>
      </c>
      <c r="Q2022" s="65">
        <f t="shared" si="340"/>
        <v>184.8</v>
      </c>
      <c r="R2022" s="65">
        <f t="shared" si="341"/>
        <v>1024.8</v>
      </c>
      <c r="S2022" s="268"/>
      <c r="T2022" s="64">
        <v>126</v>
      </c>
      <c r="U2022" s="274"/>
      <c r="V2022" s="38">
        <v>939</v>
      </c>
      <c r="W2022" s="38">
        <f t="shared" si="342"/>
        <v>206.58</v>
      </c>
      <c r="X2022" s="38">
        <f t="shared" si="343"/>
        <v>1145.58</v>
      </c>
    </row>
    <row r="2023" spans="1:24" ht="20.5" customHeight="1" x14ac:dyDescent="0.35">
      <c r="A2023" s="56" t="s">
        <v>4482</v>
      </c>
      <c r="B2023" s="2">
        <v>1894</v>
      </c>
      <c r="C2023" s="74">
        <v>10029115</v>
      </c>
      <c r="D2023" s="59" t="s">
        <v>4182</v>
      </c>
      <c r="E2023" s="59" t="s">
        <v>2167</v>
      </c>
      <c r="F2023" s="197">
        <v>137</v>
      </c>
      <c r="G2023" s="64" t="s">
        <v>0</v>
      </c>
      <c r="H2023" s="88">
        <v>42891</v>
      </c>
      <c r="I2023" s="64" t="s">
        <v>957</v>
      </c>
      <c r="J2023" s="63" t="s">
        <v>1917</v>
      </c>
      <c r="K2023" s="64" t="s">
        <v>961</v>
      </c>
      <c r="L2023" s="64" t="s">
        <v>4477</v>
      </c>
      <c r="M2023" s="174">
        <v>2781.1</v>
      </c>
      <c r="N2023" s="65">
        <v>20.3</v>
      </c>
      <c r="O2023" s="174">
        <v>2781.1</v>
      </c>
      <c r="P2023" s="65">
        <v>3760</v>
      </c>
      <c r="Q2023" s="65">
        <f t="shared" si="340"/>
        <v>827.2</v>
      </c>
      <c r="R2023" s="65">
        <f t="shared" si="341"/>
        <v>4587.2</v>
      </c>
      <c r="S2023" s="268"/>
      <c r="T2023" s="64">
        <v>126</v>
      </c>
      <c r="U2023" s="274"/>
      <c r="V2023" s="38">
        <v>4206</v>
      </c>
      <c r="W2023" s="38">
        <f t="shared" si="342"/>
        <v>925.32</v>
      </c>
      <c r="X2023" s="38">
        <f t="shared" si="343"/>
        <v>5131.32</v>
      </c>
    </row>
    <row r="2024" spans="1:24" ht="20.5" customHeight="1" x14ac:dyDescent="0.35">
      <c r="A2024" s="56" t="s">
        <v>4483</v>
      </c>
      <c r="B2024" s="2">
        <v>1895</v>
      </c>
      <c r="C2024" s="74">
        <v>10029070</v>
      </c>
      <c r="D2024" s="59" t="s">
        <v>4183</v>
      </c>
      <c r="E2024" s="59" t="s">
        <v>2167</v>
      </c>
      <c r="F2024" s="197">
        <v>99</v>
      </c>
      <c r="G2024" s="64" t="s">
        <v>0</v>
      </c>
      <c r="H2024" s="88">
        <v>42004</v>
      </c>
      <c r="I2024" s="64" t="s">
        <v>957</v>
      </c>
      <c r="J2024" s="63" t="s">
        <v>1917</v>
      </c>
      <c r="K2024" s="64" t="s">
        <v>961</v>
      </c>
      <c r="L2024" s="64" t="s">
        <v>4477</v>
      </c>
      <c r="M2024" s="174">
        <v>2403.7199999999998</v>
      </c>
      <c r="N2024" s="65">
        <v>24.28</v>
      </c>
      <c r="O2024" s="174">
        <v>2403.7199999999998</v>
      </c>
      <c r="P2024" s="65">
        <v>3900</v>
      </c>
      <c r="Q2024" s="65">
        <f t="shared" si="340"/>
        <v>858</v>
      </c>
      <c r="R2024" s="65">
        <f t="shared" si="341"/>
        <v>4758</v>
      </c>
      <c r="S2024" s="268"/>
      <c r="T2024" s="64">
        <v>126</v>
      </c>
      <c r="U2024" s="274"/>
      <c r="V2024" s="38">
        <v>4358</v>
      </c>
      <c r="W2024" s="38">
        <f t="shared" si="342"/>
        <v>958.76</v>
      </c>
      <c r="X2024" s="38">
        <f t="shared" si="343"/>
        <v>5316.76</v>
      </c>
    </row>
    <row r="2025" spans="1:24" ht="20.5" customHeight="1" x14ac:dyDescent="0.35">
      <c r="A2025" s="56" t="s">
        <v>4484</v>
      </c>
      <c r="B2025" s="2">
        <v>1896</v>
      </c>
      <c r="C2025" s="74">
        <v>10024843</v>
      </c>
      <c r="D2025" s="59" t="s">
        <v>4184</v>
      </c>
      <c r="E2025" s="59" t="s">
        <v>2167</v>
      </c>
      <c r="F2025" s="197">
        <v>1</v>
      </c>
      <c r="G2025" s="64" t="s">
        <v>0</v>
      </c>
      <c r="H2025" s="88">
        <v>42004</v>
      </c>
      <c r="I2025" s="64" t="s">
        <v>957</v>
      </c>
      <c r="J2025" s="63" t="s">
        <v>1917</v>
      </c>
      <c r="K2025" s="64" t="s">
        <v>961</v>
      </c>
      <c r="L2025" s="64" t="s">
        <v>4477</v>
      </c>
      <c r="M2025" s="174">
        <v>30491.9</v>
      </c>
      <c r="N2025" s="174">
        <v>30491.9</v>
      </c>
      <c r="O2025" s="174">
        <v>30491.9</v>
      </c>
      <c r="P2025" s="65">
        <v>49470</v>
      </c>
      <c r="Q2025" s="65">
        <f t="shared" si="340"/>
        <v>10883.4</v>
      </c>
      <c r="R2025" s="65">
        <f t="shared" si="341"/>
        <v>60353.4</v>
      </c>
      <c r="S2025" s="268"/>
      <c r="T2025" s="64">
        <v>126</v>
      </c>
      <c r="U2025" s="274"/>
      <c r="V2025" s="38">
        <v>55277</v>
      </c>
      <c r="W2025" s="38">
        <f t="shared" si="342"/>
        <v>12160.94</v>
      </c>
      <c r="X2025" s="38">
        <f t="shared" si="343"/>
        <v>67437.94</v>
      </c>
    </row>
    <row r="2026" spans="1:24" ht="20.5" customHeight="1" x14ac:dyDescent="0.35">
      <c r="A2026" s="56" t="s">
        <v>4485</v>
      </c>
      <c r="B2026" s="2">
        <v>1897</v>
      </c>
      <c r="C2026" s="74">
        <v>10105129</v>
      </c>
      <c r="D2026" s="59" t="s">
        <v>4185</v>
      </c>
      <c r="E2026" s="255" t="s">
        <v>4212</v>
      </c>
      <c r="F2026" s="197">
        <v>0.8</v>
      </c>
      <c r="G2026" s="64" t="s">
        <v>8</v>
      </c>
      <c r="H2026" s="88">
        <v>42004</v>
      </c>
      <c r="I2026" s="64" t="s">
        <v>957</v>
      </c>
      <c r="J2026" s="63" t="s">
        <v>1917</v>
      </c>
      <c r="K2026" s="64" t="s">
        <v>961</v>
      </c>
      <c r="L2026" s="64" t="s">
        <v>4477</v>
      </c>
      <c r="M2026" s="174">
        <v>58.98</v>
      </c>
      <c r="N2026" s="65">
        <f>M2026/F2026</f>
        <v>73.73</v>
      </c>
      <c r="O2026" s="174">
        <v>54.98</v>
      </c>
      <c r="P2026" s="65">
        <v>90</v>
      </c>
      <c r="Q2026" s="65">
        <f t="shared" si="340"/>
        <v>19.8</v>
      </c>
      <c r="R2026" s="65">
        <f t="shared" si="341"/>
        <v>109.8</v>
      </c>
      <c r="S2026" s="268"/>
      <c r="T2026" s="64">
        <v>126</v>
      </c>
      <c r="U2026" s="274"/>
      <c r="V2026" s="38">
        <v>100</v>
      </c>
      <c r="W2026" s="38">
        <f t="shared" si="342"/>
        <v>22</v>
      </c>
      <c r="X2026" s="38">
        <f t="shared" si="343"/>
        <v>122</v>
      </c>
    </row>
    <row r="2027" spans="1:24" ht="20.5" customHeight="1" x14ac:dyDescent="0.35">
      <c r="A2027" s="56" t="s">
        <v>4486</v>
      </c>
      <c r="B2027" s="2">
        <v>1898</v>
      </c>
      <c r="C2027" s="74">
        <v>10099610</v>
      </c>
      <c r="D2027" s="59" t="s">
        <v>4186</v>
      </c>
      <c r="E2027" s="59" t="s">
        <v>2167</v>
      </c>
      <c r="F2027" s="197">
        <v>1</v>
      </c>
      <c r="G2027" s="64" t="s">
        <v>0</v>
      </c>
      <c r="H2027" s="88">
        <v>42004</v>
      </c>
      <c r="I2027" s="64" t="s">
        <v>957</v>
      </c>
      <c r="J2027" s="63" t="s">
        <v>1917</v>
      </c>
      <c r="K2027" s="64" t="s">
        <v>961</v>
      </c>
      <c r="L2027" s="64" t="s">
        <v>4477</v>
      </c>
      <c r="M2027" s="174">
        <v>11731.16</v>
      </c>
      <c r="N2027" s="174">
        <v>11731.16</v>
      </c>
      <c r="O2027" s="174">
        <v>11731.16</v>
      </c>
      <c r="P2027" s="65">
        <v>19030</v>
      </c>
      <c r="Q2027" s="65">
        <f t="shared" si="340"/>
        <v>4186.6000000000004</v>
      </c>
      <c r="R2027" s="65">
        <f t="shared" si="341"/>
        <v>23216.6</v>
      </c>
      <c r="S2027" s="268"/>
      <c r="T2027" s="64">
        <v>126</v>
      </c>
      <c r="U2027" s="274"/>
      <c r="V2027" s="38">
        <v>21267</v>
      </c>
      <c r="W2027" s="38">
        <f t="shared" si="342"/>
        <v>4678.74</v>
      </c>
      <c r="X2027" s="38">
        <f t="shared" si="343"/>
        <v>25945.74</v>
      </c>
    </row>
    <row r="2028" spans="1:24" ht="20.5" customHeight="1" x14ac:dyDescent="0.35">
      <c r="A2028" s="56" t="s">
        <v>4487</v>
      </c>
      <c r="B2028" s="2">
        <v>1899</v>
      </c>
      <c r="C2028" s="74">
        <v>10006260</v>
      </c>
      <c r="D2028" s="59" t="s">
        <v>4187</v>
      </c>
      <c r="E2028" s="59" t="s">
        <v>2167</v>
      </c>
      <c r="F2028" s="197">
        <v>187</v>
      </c>
      <c r="G2028" s="64" t="s">
        <v>0</v>
      </c>
      <c r="H2028" s="88">
        <v>42004</v>
      </c>
      <c r="I2028" s="64" t="s">
        <v>957</v>
      </c>
      <c r="J2028" s="63" t="s">
        <v>1917</v>
      </c>
      <c r="K2028" s="64" t="s">
        <v>961</v>
      </c>
      <c r="L2028" s="64" t="s">
        <v>4477</v>
      </c>
      <c r="M2028" s="174">
        <v>5224.78</v>
      </c>
      <c r="N2028" s="65">
        <v>27.94</v>
      </c>
      <c r="O2028" s="174">
        <v>5224.78</v>
      </c>
      <c r="P2028" s="65">
        <v>8480</v>
      </c>
      <c r="Q2028" s="65">
        <f t="shared" si="340"/>
        <v>1865.6</v>
      </c>
      <c r="R2028" s="65">
        <f t="shared" si="341"/>
        <v>10345.6</v>
      </c>
      <c r="S2028" s="268"/>
      <c r="T2028" s="64">
        <v>126</v>
      </c>
      <c r="U2028" s="274"/>
      <c r="V2028" s="38">
        <v>9472</v>
      </c>
      <c r="W2028" s="38">
        <f t="shared" si="342"/>
        <v>2083.84</v>
      </c>
      <c r="X2028" s="38">
        <f t="shared" si="343"/>
        <v>11555.84</v>
      </c>
    </row>
    <row r="2029" spans="1:24" ht="20.5" customHeight="1" x14ac:dyDescent="0.35">
      <c r="A2029" s="56" t="s">
        <v>4488</v>
      </c>
      <c r="B2029" s="2">
        <v>1900</v>
      </c>
      <c r="C2029" s="74">
        <v>10001345</v>
      </c>
      <c r="D2029" s="59" t="s">
        <v>4188</v>
      </c>
      <c r="E2029" s="59" t="s">
        <v>2167</v>
      </c>
      <c r="F2029" s="197">
        <v>993</v>
      </c>
      <c r="G2029" s="64" t="s">
        <v>0</v>
      </c>
      <c r="H2029" s="88">
        <v>42919</v>
      </c>
      <c r="I2029" s="64" t="s">
        <v>957</v>
      </c>
      <c r="J2029" s="63" t="s">
        <v>1917</v>
      </c>
      <c r="K2029" s="64" t="s">
        <v>961</v>
      </c>
      <c r="L2029" s="64" t="s">
        <v>4477</v>
      </c>
      <c r="M2029" s="174">
        <v>47791.3</v>
      </c>
      <c r="N2029" s="65">
        <v>48.13</v>
      </c>
      <c r="O2029" s="174">
        <v>47791.3</v>
      </c>
      <c r="P2029" s="65">
        <v>64340</v>
      </c>
      <c r="Q2029" s="65">
        <f t="shared" si="340"/>
        <v>14154.8</v>
      </c>
      <c r="R2029" s="65">
        <f t="shared" si="341"/>
        <v>78494.8</v>
      </c>
      <c r="S2029" s="268"/>
      <c r="T2029" s="64">
        <v>126</v>
      </c>
      <c r="U2029" s="274"/>
      <c r="V2029" s="38">
        <v>71885</v>
      </c>
      <c r="W2029" s="38">
        <f t="shared" si="342"/>
        <v>15814.7</v>
      </c>
      <c r="X2029" s="38">
        <f t="shared" si="343"/>
        <v>87699.7</v>
      </c>
    </row>
    <row r="2030" spans="1:24" ht="20.5" customHeight="1" x14ac:dyDescent="0.35">
      <c r="A2030" s="56" t="s">
        <v>4489</v>
      </c>
      <c r="B2030" s="2">
        <v>1901</v>
      </c>
      <c r="C2030" s="74">
        <v>10027090</v>
      </c>
      <c r="D2030" s="59" t="s">
        <v>4189</v>
      </c>
      <c r="E2030" s="59" t="s">
        <v>2167</v>
      </c>
      <c r="F2030" s="197">
        <v>1</v>
      </c>
      <c r="G2030" s="64" t="s">
        <v>0</v>
      </c>
      <c r="H2030" s="88">
        <v>43433</v>
      </c>
      <c r="I2030" s="64" t="s">
        <v>957</v>
      </c>
      <c r="J2030" s="63" t="s">
        <v>1917</v>
      </c>
      <c r="K2030" s="64" t="s">
        <v>961</v>
      </c>
      <c r="L2030" s="64" t="s">
        <v>4477</v>
      </c>
      <c r="M2030" s="174">
        <v>187215.65</v>
      </c>
      <c r="N2030" s="174">
        <v>187215.65</v>
      </c>
      <c r="O2030" s="174">
        <v>187215.65</v>
      </c>
      <c r="P2030" s="65">
        <v>238230</v>
      </c>
      <c r="Q2030" s="65">
        <f t="shared" si="340"/>
        <v>52410.6</v>
      </c>
      <c r="R2030" s="65">
        <f t="shared" si="341"/>
        <v>290640.59999999998</v>
      </c>
      <c r="S2030" s="268"/>
      <c r="T2030" s="64">
        <v>126</v>
      </c>
      <c r="U2030" s="274"/>
      <c r="V2030" s="38">
        <v>266177</v>
      </c>
      <c r="W2030" s="38">
        <f t="shared" si="342"/>
        <v>58558.94</v>
      </c>
      <c r="X2030" s="38">
        <f t="shared" si="343"/>
        <v>324735.94</v>
      </c>
    </row>
    <row r="2031" spans="1:24" ht="20.5" customHeight="1" x14ac:dyDescent="0.35">
      <c r="A2031" s="56" t="s">
        <v>4490</v>
      </c>
      <c r="B2031" s="2">
        <v>1902</v>
      </c>
      <c r="C2031" s="74">
        <v>10011592</v>
      </c>
      <c r="D2031" s="59" t="s">
        <v>4190</v>
      </c>
      <c r="E2031" s="59" t="s">
        <v>2167</v>
      </c>
      <c r="F2031" s="197">
        <v>28</v>
      </c>
      <c r="G2031" s="64" t="s">
        <v>0</v>
      </c>
      <c r="H2031" s="88">
        <v>42004</v>
      </c>
      <c r="I2031" s="64" t="s">
        <v>957</v>
      </c>
      <c r="J2031" s="63" t="s">
        <v>1917</v>
      </c>
      <c r="K2031" s="64" t="s">
        <v>961</v>
      </c>
      <c r="L2031" s="64" t="s">
        <v>4477</v>
      </c>
      <c r="M2031" s="174">
        <v>43525.03</v>
      </c>
      <c r="N2031" s="65">
        <v>1554.47</v>
      </c>
      <c r="O2031" s="174">
        <v>43525.03</v>
      </c>
      <c r="P2031" s="65">
        <v>70620</v>
      </c>
      <c r="Q2031" s="65">
        <f t="shared" si="340"/>
        <v>15536.4</v>
      </c>
      <c r="R2031" s="65">
        <f t="shared" si="341"/>
        <v>86156.4</v>
      </c>
      <c r="S2031" s="268"/>
      <c r="T2031" s="64">
        <v>126</v>
      </c>
      <c r="U2031" s="274"/>
      <c r="V2031" s="38">
        <v>78903</v>
      </c>
      <c r="W2031" s="38">
        <f t="shared" si="342"/>
        <v>17358.66</v>
      </c>
      <c r="X2031" s="38">
        <f t="shared" si="343"/>
        <v>96261.66</v>
      </c>
    </row>
    <row r="2032" spans="1:24" ht="20.5" customHeight="1" x14ac:dyDescent="0.35">
      <c r="A2032" s="56" t="s">
        <v>4491</v>
      </c>
      <c r="B2032" s="2">
        <v>1903</v>
      </c>
      <c r="C2032" s="74">
        <v>10116794</v>
      </c>
      <c r="D2032" s="59" t="s">
        <v>4191</v>
      </c>
      <c r="E2032" s="59" t="s">
        <v>2167</v>
      </c>
      <c r="F2032" s="197">
        <v>2</v>
      </c>
      <c r="G2032" s="64" t="s">
        <v>0</v>
      </c>
      <c r="H2032" s="88">
        <v>43396</v>
      </c>
      <c r="I2032" s="64" t="s">
        <v>957</v>
      </c>
      <c r="J2032" s="63" t="s">
        <v>1917</v>
      </c>
      <c r="K2032" s="64" t="s">
        <v>961</v>
      </c>
      <c r="L2032" s="64" t="s">
        <v>4477</v>
      </c>
      <c r="M2032" s="174">
        <v>112</v>
      </c>
      <c r="N2032" s="65">
        <v>56</v>
      </c>
      <c r="O2032" s="174">
        <v>112</v>
      </c>
      <c r="P2032" s="65">
        <v>140</v>
      </c>
      <c r="Q2032" s="65">
        <f t="shared" ref="Q2032:Q2053" si="347">P2032*0.22</f>
        <v>30.8</v>
      </c>
      <c r="R2032" s="65">
        <f t="shared" ref="R2032:R2053" si="348">P2032+Q2032</f>
        <v>170.8</v>
      </c>
      <c r="S2032" s="268"/>
      <c r="T2032" s="64">
        <v>126</v>
      </c>
      <c r="U2032" s="274"/>
      <c r="V2032" s="38">
        <v>161</v>
      </c>
      <c r="W2032" s="38">
        <f t="shared" ref="W2032:W2053" si="349">V2032*0.22</f>
        <v>35.42</v>
      </c>
      <c r="X2032" s="38">
        <f t="shared" si="343"/>
        <v>196.42</v>
      </c>
    </row>
    <row r="2033" spans="1:24" ht="20.5" customHeight="1" x14ac:dyDescent="0.35">
      <c r="A2033" s="56" t="s">
        <v>4492</v>
      </c>
      <c r="B2033" s="2">
        <v>1904</v>
      </c>
      <c r="C2033" s="74">
        <v>10001034</v>
      </c>
      <c r="D2033" s="59" t="s">
        <v>4192</v>
      </c>
      <c r="E2033" s="59" t="s">
        <v>2167</v>
      </c>
      <c r="F2033" s="197">
        <v>112</v>
      </c>
      <c r="G2033" s="64" t="s">
        <v>0</v>
      </c>
      <c r="H2033" s="88">
        <v>42948</v>
      </c>
      <c r="I2033" s="64" t="s">
        <v>957</v>
      </c>
      <c r="J2033" s="63" t="s">
        <v>1917</v>
      </c>
      <c r="K2033" s="64" t="s">
        <v>961</v>
      </c>
      <c r="L2033" s="64" t="s">
        <v>4477</v>
      </c>
      <c r="M2033" s="174">
        <v>6473.6</v>
      </c>
      <c r="N2033" s="65">
        <v>57.8</v>
      </c>
      <c r="O2033" s="174">
        <v>6473.6</v>
      </c>
      <c r="P2033" s="65">
        <v>8710</v>
      </c>
      <c r="Q2033" s="65">
        <f t="shared" si="347"/>
        <v>1916.2</v>
      </c>
      <c r="R2033" s="65">
        <f t="shared" si="348"/>
        <v>10626.2</v>
      </c>
      <c r="S2033" s="268"/>
      <c r="T2033" s="64">
        <v>126</v>
      </c>
      <c r="U2033" s="274"/>
      <c r="V2033" s="38">
        <v>9737</v>
      </c>
      <c r="W2033" s="38">
        <f t="shared" si="349"/>
        <v>2142.14</v>
      </c>
      <c r="X2033" s="38">
        <f t="shared" si="343"/>
        <v>11879.14</v>
      </c>
    </row>
    <row r="2034" spans="1:24" ht="20.5" customHeight="1" x14ac:dyDescent="0.35">
      <c r="A2034" s="56" t="s">
        <v>4493</v>
      </c>
      <c r="B2034" s="2">
        <v>1905</v>
      </c>
      <c r="C2034" s="74">
        <v>10143622</v>
      </c>
      <c r="D2034" s="59" t="s">
        <v>4193</v>
      </c>
      <c r="E2034" s="59" t="s">
        <v>2167</v>
      </c>
      <c r="F2034" s="197">
        <v>284</v>
      </c>
      <c r="G2034" s="64" t="s">
        <v>0</v>
      </c>
      <c r="H2034" s="88">
        <v>42004</v>
      </c>
      <c r="I2034" s="64" t="s">
        <v>957</v>
      </c>
      <c r="J2034" s="63" t="s">
        <v>1917</v>
      </c>
      <c r="K2034" s="64" t="s">
        <v>961</v>
      </c>
      <c r="L2034" s="64" t="s">
        <v>4477</v>
      </c>
      <c r="M2034" s="174">
        <v>868035.59</v>
      </c>
      <c r="N2034" s="65">
        <v>3056.46</v>
      </c>
      <c r="O2034" s="174">
        <v>868035.59</v>
      </c>
      <c r="P2034" s="65">
        <v>1408370</v>
      </c>
      <c r="Q2034" s="65">
        <f t="shared" si="347"/>
        <v>309841.40000000002</v>
      </c>
      <c r="R2034" s="65">
        <f t="shared" si="348"/>
        <v>1718211.4</v>
      </c>
      <c r="S2034" s="269"/>
      <c r="T2034" s="64">
        <v>126</v>
      </c>
      <c r="U2034" s="274"/>
      <c r="V2034" s="38">
        <v>1573599</v>
      </c>
      <c r="W2034" s="38">
        <f t="shared" si="349"/>
        <v>346191.78</v>
      </c>
      <c r="X2034" s="38">
        <f t="shared" ref="X2034:X2053" si="350">V2034+W2034</f>
        <v>1919790.78</v>
      </c>
    </row>
    <row r="2035" spans="1:24" ht="20.5" customHeight="1" x14ac:dyDescent="0.35">
      <c r="A2035" s="56"/>
      <c r="B2035" s="15"/>
      <c r="C2035" s="74"/>
      <c r="D2035" s="59"/>
      <c r="E2035" s="59"/>
      <c r="F2035" s="197"/>
      <c r="G2035" s="64"/>
      <c r="H2035" s="88"/>
      <c r="I2035" s="64"/>
      <c r="J2035" s="63"/>
      <c r="K2035" s="64"/>
      <c r="L2035" s="64"/>
      <c r="M2035" s="174"/>
      <c r="N2035" s="65"/>
      <c r="O2035" s="195">
        <f>SUM(O2021:O2034)</f>
        <v>1220258.58</v>
      </c>
      <c r="P2035" s="195">
        <f t="shared" ref="P2035:R2035" si="351">SUM(P2021:P2034)</f>
        <v>1898530</v>
      </c>
      <c r="Q2035" s="195">
        <f t="shared" si="351"/>
        <v>417676.6</v>
      </c>
      <c r="R2035" s="195">
        <f t="shared" si="351"/>
        <v>2316206.6</v>
      </c>
      <c r="S2035" s="72">
        <f>R2035/100*10</f>
        <v>231620.66</v>
      </c>
      <c r="T2035" s="73">
        <v>126</v>
      </c>
      <c r="U2035" s="275"/>
      <c r="V2035" s="38"/>
      <c r="W2035" s="38"/>
      <c r="X2035" s="38"/>
    </row>
    <row r="2036" spans="1:24" ht="20.5" customHeight="1" x14ac:dyDescent="0.35">
      <c r="A2036" s="56" t="s">
        <v>4494</v>
      </c>
      <c r="B2036" s="2">
        <v>1906</v>
      </c>
      <c r="C2036" s="74">
        <v>10010023</v>
      </c>
      <c r="D2036" s="59" t="s">
        <v>4194</v>
      </c>
      <c r="E2036" s="59" t="s">
        <v>2167</v>
      </c>
      <c r="F2036" s="197">
        <v>1</v>
      </c>
      <c r="G2036" s="64" t="s">
        <v>0</v>
      </c>
      <c r="H2036" s="88">
        <v>42004</v>
      </c>
      <c r="I2036" s="64" t="s">
        <v>957</v>
      </c>
      <c r="J2036" s="63" t="s">
        <v>1917</v>
      </c>
      <c r="K2036" s="64" t="s">
        <v>961</v>
      </c>
      <c r="L2036" s="64" t="s">
        <v>4477</v>
      </c>
      <c r="M2036" s="174">
        <v>8051.3</v>
      </c>
      <c r="N2036" s="174">
        <v>8051.3</v>
      </c>
      <c r="O2036" s="174">
        <v>8051.3</v>
      </c>
      <c r="P2036" s="65">
        <v>13060</v>
      </c>
      <c r="Q2036" s="65">
        <f t="shared" si="347"/>
        <v>2873.2</v>
      </c>
      <c r="R2036" s="65">
        <f t="shared" si="348"/>
        <v>15933.2</v>
      </c>
      <c r="S2036" s="267"/>
      <c r="T2036" s="64">
        <v>127</v>
      </c>
      <c r="U2036" s="270" t="s">
        <v>4479</v>
      </c>
      <c r="V2036" s="38">
        <v>14596</v>
      </c>
      <c r="W2036" s="38">
        <f t="shared" si="349"/>
        <v>3211.12</v>
      </c>
      <c r="X2036" s="38">
        <f t="shared" si="350"/>
        <v>17807.12</v>
      </c>
    </row>
    <row r="2037" spans="1:24" ht="20.5" customHeight="1" x14ac:dyDescent="0.35">
      <c r="A2037" s="56" t="s">
        <v>4495</v>
      </c>
      <c r="B2037" s="2">
        <v>1907</v>
      </c>
      <c r="C2037" s="74">
        <v>10119260</v>
      </c>
      <c r="D2037" s="59" t="s">
        <v>4195</v>
      </c>
      <c r="E2037" s="59" t="s">
        <v>2167</v>
      </c>
      <c r="F2037" s="197">
        <v>1</v>
      </c>
      <c r="G2037" s="64" t="s">
        <v>0</v>
      </c>
      <c r="H2037" s="88">
        <v>42004</v>
      </c>
      <c r="I2037" s="64" t="s">
        <v>957</v>
      </c>
      <c r="J2037" s="63" t="s">
        <v>1917</v>
      </c>
      <c r="K2037" s="64" t="s">
        <v>961</v>
      </c>
      <c r="L2037" s="64" t="s">
        <v>4477</v>
      </c>
      <c r="M2037" s="174">
        <v>1010</v>
      </c>
      <c r="N2037" s="174">
        <v>1010</v>
      </c>
      <c r="O2037" s="174">
        <v>1010</v>
      </c>
      <c r="P2037" s="65">
        <v>1640</v>
      </c>
      <c r="Q2037" s="65">
        <f t="shared" si="347"/>
        <v>360.8</v>
      </c>
      <c r="R2037" s="65">
        <f t="shared" si="348"/>
        <v>2000.8</v>
      </c>
      <c r="S2037" s="268"/>
      <c r="T2037" s="64">
        <v>127</v>
      </c>
      <c r="U2037" s="274"/>
      <c r="V2037" s="38">
        <v>1831</v>
      </c>
      <c r="W2037" s="38">
        <f t="shared" si="349"/>
        <v>402.82</v>
      </c>
      <c r="X2037" s="38">
        <f t="shared" si="350"/>
        <v>2233.8200000000002</v>
      </c>
    </row>
    <row r="2038" spans="1:24" ht="20.5" customHeight="1" x14ac:dyDescent="0.35">
      <c r="A2038" s="56" t="s">
        <v>4496</v>
      </c>
      <c r="B2038" s="2">
        <v>1908</v>
      </c>
      <c r="C2038" s="74">
        <v>10029757</v>
      </c>
      <c r="D2038" s="59" t="s">
        <v>4196</v>
      </c>
      <c r="E2038" s="59" t="s">
        <v>2167</v>
      </c>
      <c r="F2038" s="197">
        <v>221</v>
      </c>
      <c r="G2038" s="64" t="s">
        <v>0</v>
      </c>
      <c r="H2038" s="88">
        <v>42004</v>
      </c>
      <c r="I2038" s="64" t="s">
        <v>957</v>
      </c>
      <c r="J2038" s="63" t="s">
        <v>1917</v>
      </c>
      <c r="K2038" s="64" t="s">
        <v>961</v>
      </c>
      <c r="L2038" s="64" t="s">
        <v>4477</v>
      </c>
      <c r="M2038" s="174">
        <v>3001.79</v>
      </c>
      <c r="N2038" s="65">
        <v>13.58</v>
      </c>
      <c r="O2038" s="174">
        <v>3001.79</v>
      </c>
      <c r="P2038" s="65">
        <v>4870</v>
      </c>
      <c r="Q2038" s="65">
        <f t="shared" si="347"/>
        <v>1071.4000000000001</v>
      </c>
      <c r="R2038" s="65">
        <f t="shared" si="348"/>
        <v>5941.4</v>
      </c>
      <c r="S2038" s="268"/>
      <c r="T2038" s="64">
        <v>127</v>
      </c>
      <c r="U2038" s="274"/>
      <c r="V2038" s="38">
        <v>5442</v>
      </c>
      <c r="W2038" s="38">
        <f t="shared" si="349"/>
        <v>1197.24</v>
      </c>
      <c r="X2038" s="38">
        <f t="shared" si="350"/>
        <v>6639.24</v>
      </c>
    </row>
    <row r="2039" spans="1:24" ht="20.5" customHeight="1" x14ac:dyDescent="0.35">
      <c r="A2039" s="56" t="s">
        <v>4497</v>
      </c>
      <c r="B2039" s="2">
        <v>1909</v>
      </c>
      <c r="C2039" s="74">
        <v>10149539</v>
      </c>
      <c r="D2039" s="59" t="s">
        <v>4197</v>
      </c>
      <c r="E2039" s="59" t="s">
        <v>2167</v>
      </c>
      <c r="F2039" s="197">
        <v>17</v>
      </c>
      <c r="G2039" s="64" t="s">
        <v>0</v>
      </c>
      <c r="H2039" s="88">
        <v>42004</v>
      </c>
      <c r="I2039" s="64" t="s">
        <v>957</v>
      </c>
      <c r="J2039" s="63" t="s">
        <v>1917</v>
      </c>
      <c r="K2039" s="64" t="s">
        <v>961</v>
      </c>
      <c r="L2039" s="64" t="s">
        <v>4477</v>
      </c>
      <c r="M2039" s="174">
        <v>3570</v>
      </c>
      <c r="N2039" s="65">
        <v>210</v>
      </c>
      <c r="O2039" s="174">
        <v>3570</v>
      </c>
      <c r="P2039" s="65">
        <v>5790</v>
      </c>
      <c r="Q2039" s="65">
        <f t="shared" si="347"/>
        <v>1273.8</v>
      </c>
      <c r="R2039" s="65">
        <f t="shared" si="348"/>
        <v>7063.8</v>
      </c>
      <c r="S2039" s="268"/>
      <c r="T2039" s="64">
        <v>127</v>
      </c>
      <c r="U2039" s="274"/>
      <c r="V2039" s="38">
        <v>6472</v>
      </c>
      <c r="W2039" s="38">
        <f t="shared" si="349"/>
        <v>1423.84</v>
      </c>
      <c r="X2039" s="38">
        <f t="shared" si="350"/>
        <v>7895.84</v>
      </c>
    </row>
    <row r="2040" spans="1:24" ht="20.5" customHeight="1" x14ac:dyDescent="0.35">
      <c r="A2040" s="56" t="s">
        <v>4498</v>
      </c>
      <c r="B2040" s="2">
        <v>1910</v>
      </c>
      <c r="C2040" s="74">
        <v>10008544</v>
      </c>
      <c r="D2040" s="59" t="s">
        <v>4198</v>
      </c>
      <c r="E2040" s="59" t="s">
        <v>2167</v>
      </c>
      <c r="F2040" s="197">
        <v>2</v>
      </c>
      <c r="G2040" s="64" t="s">
        <v>0</v>
      </c>
      <c r="H2040" s="88">
        <v>42004</v>
      </c>
      <c r="I2040" s="64" t="s">
        <v>957</v>
      </c>
      <c r="J2040" s="63" t="s">
        <v>1917</v>
      </c>
      <c r="K2040" s="64" t="s">
        <v>961</v>
      </c>
      <c r="L2040" s="64" t="s">
        <v>4477</v>
      </c>
      <c r="M2040" s="174">
        <v>1288.95</v>
      </c>
      <c r="N2040" s="65">
        <v>644.48</v>
      </c>
      <c r="O2040" s="174">
        <v>1288.95</v>
      </c>
      <c r="P2040" s="65">
        <v>2090</v>
      </c>
      <c r="Q2040" s="65">
        <f t="shared" si="347"/>
        <v>459.8</v>
      </c>
      <c r="R2040" s="65">
        <f t="shared" si="348"/>
        <v>2549.8000000000002</v>
      </c>
      <c r="S2040" s="268"/>
      <c r="T2040" s="64">
        <v>127</v>
      </c>
      <c r="U2040" s="274"/>
      <c r="V2040" s="38">
        <v>2337</v>
      </c>
      <c r="W2040" s="38">
        <f t="shared" si="349"/>
        <v>514.14</v>
      </c>
      <c r="X2040" s="38">
        <f t="shared" si="350"/>
        <v>2851.14</v>
      </c>
    </row>
    <row r="2041" spans="1:24" ht="20.5" customHeight="1" x14ac:dyDescent="0.35">
      <c r="A2041" s="56" t="s">
        <v>4499</v>
      </c>
      <c r="B2041" s="2">
        <v>1911</v>
      </c>
      <c r="C2041" s="74">
        <v>10150255</v>
      </c>
      <c r="D2041" s="59" t="s">
        <v>4199</v>
      </c>
      <c r="E2041" s="59" t="s">
        <v>2167</v>
      </c>
      <c r="F2041" s="197">
        <v>1</v>
      </c>
      <c r="G2041" s="64" t="s">
        <v>0</v>
      </c>
      <c r="H2041" s="88">
        <v>42004</v>
      </c>
      <c r="I2041" s="64" t="s">
        <v>957</v>
      </c>
      <c r="J2041" s="63" t="s">
        <v>1917</v>
      </c>
      <c r="K2041" s="64" t="s">
        <v>961</v>
      </c>
      <c r="L2041" s="64" t="s">
        <v>4477</v>
      </c>
      <c r="M2041" s="174">
        <v>5184</v>
      </c>
      <c r="N2041" s="174">
        <v>5184</v>
      </c>
      <c r="O2041" s="174">
        <v>5184</v>
      </c>
      <c r="P2041" s="65">
        <v>8410</v>
      </c>
      <c r="Q2041" s="65">
        <f t="shared" si="347"/>
        <v>1850.2</v>
      </c>
      <c r="R2041" s="65">
        <f t="shared" si="348"/>
        <v>10260.200000000001</v>
      </c>
      <c r="S2041" s="268"/>
      <c r="T2041" s="64">
        <v>127</v>
      </c>
      <c r="U2041" s="274"/>
      <c r="V2041" s="38">
        <v>9398</v>
      </c>
      <c r="W2041" s="38">
        <f t="shared" si="349"/>
        <v>2067.56</v>
      </c>
      <c r="X2041" s="38">
        <f t="shared" si="350"/>
        <v>11465.56</v>
      </c>
    </row>
    <row r="2042" spans="1:24" ht="20.5" customHeight="1" x14ac:dyDescent="0.35">
      <c r="A2042" s="56" t="s">
        <v>4500</v>
      </c>
      <c r="B2042" s="2">
        <v>1912</v>
      </c>
      <c r="C2042" s="74">
        <v>10106770</v>
      </c>
      <c r="D2042" s="59" t="s">
        <v>4200</v>
      </c>
      <c r="E2042" s="59" t="s">
        <v>2167</v>
      </c>
      <c r="F2042" s="197">
        <v>1</v>
      </c>
      <c r="G2042" s="64" t="s">
        <v>0</v>
      </c>
      <c r="H2042" s="88">
        <v>42004</v>
      </c>
      <c r="I2042" s="64" t="s">
        <v>957</v>
      </c>
      <c r="J2042" s="63" t="s">
        <v>1917</v>
      </c>
      <c r="K2042" s="64" t="s">
        <v>961</v>
      </c>
      <c r="L2042" s="64" t="s">
        <v>4477</v>
      </c>
      <c r="M2042" s="174">
        <v>6045</v>
      </c>
      <c r="N2042" s="174">
        <v>6045</v>
      </c>
      <c r="O2042" s="174">
        <v>6045</v>
      </c>
      <c r="P2042" s="65">
        <v>9810</v>
      </c>
      <c r="Q2042" s="65">
        <f t="shared" si="347"/>
        <v>2158.1999999999998</v>
      </c>
      <c r="R2042" s="65">
        <f t="shared" si="348"/>
        <v>11968.2</v>
      </c>
      <c r="S2042" s="268"/>
      <c r="T2042" s="64">
        <v>127</v>
      </c>
      <c r="U2042" s="274"/>
      <c r="V2042" s="38">
        <v>10959</v>
      </c>
      <c r="W2042" s="38">
        <f t="shared" si="349"/>
        <v>2410.98</v>
      </c>
      <c r="X2042" s="38">
        <f t="shared" si="350"/>
        <v>13369.98</v>
      </c>
    </row>
    <row r="2043" spans="1:24" ht="20.5" customHeight="1" x14ac:dyDescent="0.35">
      <c r="A2043" s="56" t="s">
        <v>4501</v>
      </c>
      <c r="B2043" s="2">
        <v>1913</v>
      </c>
      <c r="C2043" s="74">
        <v>10107869</v>
      </c>
      <c r="D2043" s="59" t="s">
        <v>4201</v>
      </c>
      <c r="E2043" s="59" t="s">
        <v>2167</v>
      </c>
      <c r="F2043" s="197">
        <v>2</v>
      </c>
      <c r="G2043" s="64" t="s">
        <v>0</v>
      </c>
      <c r="H2043" s="88">
        <v>42004</v>
      </c>
      <c r="I2043" s="64" t="s">
        <v>957</v>
      </c>
      <c r="J2043" s="63" t="s">
        <v>1917</v>
      </c>
      <c r="K2043" s="64" t="s">
        <v>961</v>
      </c>
      <c r="L2043" s="64" t="s">
        <v>4477</v>
      </c>
      <c r="M2043" s="174">
        <v>2084.94</v>
      </c>
      <c r="N2043" s="65">
        <v>1042.47</v>
      </c>
      <c r="O2043" s="174">
        <v>2084.94</v>
      </c>
      <c r="P2043" s="65">
        <v>3380</v>
      </c>
      <c r="Q2043" s="65">
        <f t="shared" si="347"/>
        <v>743.6</v>
      </c>
      <c r="R2043" s="65">
        <f t="shared" si="348"/>
        <v>4123.6000000000004</v>
      </c>
      <c r="S2043" s="268"/>
      <c r="T2043" s="64">
        <v>127</v>
      </c>
      <c r="U2043" s="274"/>
      <c r="V2043" s="38">
        <v>3780</v>
      </c>
      <c r="W2043" s="38">
        <f t="shared" si="349"/>
        <v>831.6</v>
      </c>
      <c r="X2043" s="38">
        <f t="shared" si="350"/>
        <v>4611.6000000000004</v>
      </c>
    </row>
    <row r="2044" spans="1:24" ht="20.5" customHeight="1" x14ac:dyDescent="0.35">
      <c r="A2044" s="56" t="s">
        <v>4502</v>
      </c>
      <c r="B2044" s="2">
        <v>1914</v>
      </c>
      <c r="C2044" s="74">
        <v>10029647</v>
      </c>
      <c r="D2044" s="59" t="s">
        <v>4202</v>
      </c>
      <c r="E2044" s="59" t="s">
        <v>2167</v>
      </c>
      <c r="F2044" s="197">
        <v>26</v>
      </c>
      <c r="G2044" s="64" t="s">
        <v>0</v>
      </c>
      <c r="H2044" s="88">
        <v>42004</v>
      </c>
      <c r="I2044" s="64" t="s">
        <v>957</v>
      </c>
      <c r="J2044" s="63" t="s">
        <v>1917</v>
      </c>
      <c r="K2044" s="64" t="s">
        <v>961</v>
      </c>
      <c r="L2044" s="64" t="s">
        <v>4477</v>
      </c>
      <c r="M2044" s="174">
        <v>872.14</v>
      </c>
      <c r="N2044" s="65">
        <v>33.54</v>
      </c>
      <c r="O2044" s="174">
        <v>872.14</v>
      </c>
      <c r="P2044" s="65">
        <v>1420</v>
      </c>
      <c r="Q2044" s="65">
        <f t="shared" si="347"/>
        <v>312.39999999999998</v>
      </c>
      <c r="R2044" s="65">
        <f t="shared" si="348"/>
        <v>1732.4</v>
      </c>
      <c r="S2044" s="268"/>
      <c r="T2044" s="64">
        <v>127</v>
      </c>
      <c r="U2044" s="274"/>
      <c r="V2044" s="38">
        <v>1581</v>
      </c>
      <c r="W2044" s="38">
        <f t="shared" si="349"/>
        <v>347.82</v>
      </c>
      <c r="X2044" s="38">
        <f t="shared" si="350"/>
        <v>1928.82</v>
      </c>
    </row>
    <row r="2045" spans="1:24" ht="20.5" customHeight="1" x14ac:dyDescent="0.35">
      <c r="A2045" s="56" t="s">
        <v>4503</v>
      </c>
      <c r="B2045" s="2">
        <v>1915</v>
      </c>
      <c r="C2045" s="74">
        <v>10042326</v>
      </c>
      <c r="D2045" s="59" t="s">
        <v>4203</v>
      </c>
      <c r="E2045" s="59" t="s">
        <v>2167</v>
      </c>
      <c r="F2045" s="197">
        <v>10</v>
      </c>
      <c r="G2045" s="64" t="s">
        <v>0</v>
      </c>
      <c r="H2045" s="88">
        <v>42004</v>
      </c>
      <c r="I2045" s="64" t="s">
        <v>957</v>
      </c>
      <c r="J2045" s="63" t="s">
        <v>1917</v>
      </c>
      <c r="K2045" s="64" t="s">
        <v>961</v>
      </c>
      <c r="L2045" s="64" t="s">
        <v>4477</v>
      </c>
      <c r="M2045" s="174">
        <v>5920.3</v>
      </c>
      <c r="N2045" s="65">
        <v>592.03</v>
      </c>
      <c r="O2045" s="174">
        <v>5920.3</v>
      </c>
      <c r="P2045" s="65">
        <v>9610</v>
      </c>
      <c r="Q2045" s="65">
        <f t="shared" si="347"/>
        <v>2114.1999999999998</v>
      </c>
      <c r="R2045" s="65">
        <f t="shared" si="348"/>
        <v>11724.2</v>
      </c>
      <c r="S2045" s="268"/>
      <c r="T2045" s="64">
        <v>127</v>
      </c>
      <c r="U2045" s="274"/>
      <c r="V2045" s="38">
        <v>10732</v>
      </c>
      <c r="W2045" s="38">
        <f t="shared" si="349"/>
        <v>2361.04</v>
      </c>
      <c r="X2045" s="38">
        <f t="shared" si="350"/>
        <v>13093.04</v>
      </c>
    </row>
    <row r="2046" spans="1:24" ht="20.5" customHeight="1" x14ac:dyDescent="0.35">
      <c r="A2046" s="56" t="s">
        <v>4504</v>
      </c>
      <c r="B2046" s="2">
        <v>1916</v>
      </c>
      <c r="C2046" s="74">
        <v>10005953</v>
      </c>
      <c r="D2046" s="59" t="s">
        <v>4204</v>
      </c>
      <c r="E2046" s="59" t="s">
        <v>2167</v>
      </c>
      <c r="F2046" s="197">
        <v>3</v>
      </c>
      <c r="G2046" s="64" t="s">
        <v>0</v>
      </c>
      <c r="H2046" s="88">
        <v>42004</v>
      </c>
      <c r="I2046" s="64" t="s">
        <v>957</v>
      </c>
      <c r="J2046" s="63" t="s">
        <v>1917</v>
      </c>
      <c r="K2046" s="64" t="s">
        <v>961</v>
      </c>
      <c r="L2046" s="64" t="s">
        <v>4477</v>
      </c>
      <c r="M2046" s="174">
        <v>1252.1400000000001</v>
      </c>
      <c r="N2046" s="65">
        <v>417.38</v>
      </c>
      <c r="O2046" s="174">
        <v>1252.1400000000001</v>
      </c>
      <c r="P2046" s="65">
        <v>2030</v>
      </c>
      <c r="Q2046" s="65">
        <f t="shared" si="347"/>
        <v>446.6</v>
      </c>
      <c r="R2046" s="65">
        <f t="shared" si="348"/>
        <v>2476.6</v>
      </c>
      <c r="S2046" s="268"/>
      <c r="T2046" s="64">
        <v>127</v>
      </c>
      <c r="U2046" s="274"/>
      <c r="V2046" s="38">
        <v>2270</v>
      </c>
      <c r="W2046" s="38">
        <f t="shared" si="349"/>
        <v>499.4</v>
      </c>
      <c r="X2046" s="38">
        <f t="shared" si="350"/>
        <v>2769.4</v>
      </c>
    </row>
    <row r="2047" spans="1:24" ht="20.5" customHeight="1" x14ac:dyDescent="0.35">
      <c r="A2047" s="56" t="s">
        <v>4505</v>
      </c>
      <c r="B2047" s="2">
        <v>1917</v>
      </c>
      <c r="C2047" s="74">
        <v>10010243</v>
      </c>
      <c r="D2047" s="59" t="s">
        <v>4205</v>
      </c>
      <c r="E2047" s="59" t="s">
        <v>2167</v>
      </c>
      <c r="F2047" s="197">
        <v>11</v>
      </c>
      <c r="G2047" s="64" t="s">
        <v>0</v>
      </c>
      <c r="H2047" s="88">
        <v>42004</v>
      </c>
      <c r="I2047" s="64" t="s">
        <v>957</v>
      </c>
      <c r="J2047" s="63" t="s">
        <v>1917</v>
      </c>
      <c r="K2047" s="64" t="s">
        <v>961</v>
      </c>
      <c r="L2047" s="64" t="s">
        <v>4477</v>
      </c>
      <c r="M2047" s="174">
        <v>1758.6</v>
      </c>
      <c r="N2047" s="65">
        <v>159.87</v>
      </c>
      <c r="O2047" s="174">
        <v>1758.6</v>
      </c>
      <c r="P2047" s="65">
        <v>2850</v>
      </c>
      <c r="Q2047" s="65">
        <f t="shared" si="347"/>
        <v>627</v>
      </c>
      <c r="R2047" s="65">
        <f t="shared" si="348"/>
        <v>3477</v>
      </c>
      <c r="S2047" s="268"/>
      <c r="T2047" s="64">
        <v>127</v>
      </c>
      <c r="U2047" s="274"/>
      <c r="V2047" s="38">
        <v>3188</v>
      </c>
      <c r="W2047" s="38">
        <f t="shared" si="349"/>
        <v>701.36</v>
      </c>
      <c r="X2047" s="38">
        <f t="shared" si="350"/>
        <v>3889.36</v>
      </c>
    </row>
    <row r="2048" spans="1:24" ht="20.5" customHeight="1" x14ac:dyDescent="0.35">
      <c r="A2048" s="56" t="s">
        <v>4506</v>
      </c>
      <c r="B2048" s="2">
        <v>1918</v>
      </c>
      <c r="C2048" s="74">
        <v>10143771</v>
      </c>
      <c r="D2048" s="59" t="s">
        <v>4206</v>
      </c>
      <c r="E2048" s="59" t="s">
        <v>2167</v>
      </c>
      <c r="F2048" s="197">
        <v>0.627</v>
      </c>
      <c r="G2048" s="115" t="s">
        <v>3</v>
      </c>
      <c r="H2048" s="88">
        <v>42004</v>
      </c>
      <c r="I2048" s="64" t="s">
        <v>957</v>
      </c>
      <c r="J2048" s="63" t="s">
        <v>1917</v>
      </c>
      <c r="K2048" s="64" t="s">
        <v>961</v>
      </c>
      <c r="L2048" s="64" t="s">
        <v>4477</v>
      </c>
      <c r="M2048" s="174">
        <v>16119.97</v>
      </c>
      <c r="N2048" s="65">
        <f>M2048/F2048</f>
        <v>25709.68</v>
      </c>
      <c r="O2048" s="174">
        <v>16119.97</v>
      </c>
      <c r="P2048" s="65">
        <v>26150</v>
      </c>
      <c r="Q2048" s="65">
        <f t="shared" si="347"/>
        <v>5753</v>
      </c>
      <c r="R2048" s="65">
        <f t="shared" si="348"/>
        <v>31903</v>
      </c>
      <c r="S2048" s="268"/>
      <c r="T2048" s="64">
        <v>127</v>
      </c>
      <c r="U2048" s="274"/>
      <c r="V2048" s="38">
        <v>29223</v>
      </c>
      <c r="W2048" s="38">
        <f t="shared" si="349"/>
        <v>6429.06</v>
      </c>
      <c r="X2048" s="38">
        <f t="shared" si="350"/>
        <v>35652.06</v>
      </c>
    </row>
    <row r="2049" spans="1:24" ht="20.5" customHeight="1" x14ac:dyDescent="0.35">
      <c r="A2049" s="56" t="s">
        <v>4507</v>
      </c>
      <c r="B2049" s="2">
        <v>1919</v>
      </c>
      <c r="C2049" s="74">
        <v>10143770</v>
      </c>
      <c r="D2049" s="59" t="s">
        <v>4207</v>
      </c>
      <c r="E2049" s="59" t="s">
        <v>2167</v>
      </c>
      <c r="F2049" s="197">
        <v>0.73199999999999998</v>
      </c>
      <c r="G2049" s="115" t="s">
        <v>3</v>
      </c>
      <c r="H2049" s="88">
        <v>42004</v>
      </c>
      <c r="I2049" s="64" t="s">
        <v>957</v>
      </c>
      <c r="J2049" s="63" t="s">
        <v>1917</v>
      </c>
      <c r="K2049" s="64" t="s">
        <v>961</v>
      </c>
      <c r="L2049" s="64" t="s">
        <v>4477</v>
      </c>
      <c r="M2049" s="174">
        <v>18814.509999999998</v>
      </c>
      <c r="N2049" s="65">
        <f>M2049/F2049</f>
        <v>25702.880000000001</v>
      </c>
      <c r="O2049" s="174">
        <v>18814.509999999998</v>
      </c>
      <c r="P2049" s="65">
        <v>30530</v>
      </c>
      <c r="Q2049" s="65">
        <f t="shared" si="347"/>
        <v>6716.6</v>
      </c>
      <c r="R2049" s="65">
        <f t="shared" si="348"/>
        <v>37246.6</v>
      </c>
      <c r="S2049" s="268"/>
      <c r="T2049" s="64">
        <v>127</v>
      </c>
      <c r="U2049" s="274"/>
      <c r="V2049" s="38">
        <v>34107</v>
      </c>
      <c r="W2049" s="38">
        <f t="shared" si="349"/>
        <v>7503.54</v>
      </c>
      <c r="X2049" s="38">
        <f t="shared" si="350"/>
        <v>41610.54</v>
      </c>
    </row>
    <row r="2050" spans="1:24" ht="20.5" customHeight="1" x14ac:dyDescent="0.35">
      <c r="A2050" s="56" t="s">
        <v>4508</v>
      </c>
      <c r="B2050" s="2">
        <v>1920</v>
      </c>
      <c r="C2050" s="74">
        <v>10029657</v>
      </c>
      <c r="D2050" s="59" t="s">
        <v>4208</v>
      </c>
      <c r="E2050" s="59" t="s">
        <v>2167</v>
      </c>
      <c r="F2050" s="197">
        <v>44</v>
      </c>
      <c r="G2050" s="64" t="s">
        <v>0</v>
      </c>
      <c r="H2050" s="88">
        <v>42004</v>
      </c>
      <c r="I2050" s="64" t="s">
        <v>957</v>
      </c>
      <c r="J2050" s="63" t="s">
        <v>1917</v>
      </c>
      <c r="K2050" s="64" t="s">
        <v>961</v>
      </c>
      <c r="L2050" s="64" t="s">
        <v>4477</v>
      </c>
      <c r="M2050" s="174">
        <v>726.35</v>
      </c>
      <c r="N2050" s="65">
        <v>16.510000000000002</v>
      </c>
      <c r="O2050" s="174">
        <v>726.35</v>
      </c>
      <c r="P2050" s="65">
        <v>1180</v>
      </c>
      <c r="Q2050" s="65">
        <f t="shared" si="347"/>
        <v>259.60000000000002</v>
      </c>
      <c r="R2050" s="65">
        <f t="shared" si="348"/>
        <v>1439.6</v>
      </c>
      <c r="S2050" s="268"/>
      <c r="T2050" s="64">
        <v>127</v>
      </c>
      <c r="U2050" s="274"/>
      <c r="V2050" s="38">
        <v>1317</v>
      </c>
      <c r="W2050" s="38">
        <f t="shared" si="349"/>
        <v>289.74</v>
      </c>
      <c r="X2050" s="38">
        <f t="shared" si="350"/>
        <v>1606.74</v>
      </c>
    </row>
    <row r="2051" spans="1:24" ht="20.5" customHeight="1" x14ac:dyDescent="0.35">
      <c r="A2051" s="56" t="s">
        <v>4509</v>
      </c>
      <c r="B2051" s="2">
        <v>1921</v>
      </c>
      <c r="C2051" s="74">
        <v>10029661</v>
      </c>
      <c r="D2051" s="59" t="s">
        <v>4209</v>
      </c>
      <c r="E2051" s="59" t="s">
        <v>2167</v>
      </c>
      <c r="F2051" s="197">
        <v>31</v>
      </c>
      <c r="G2051" s="64" t="s">
        <v>0</v>
      </c>
      <c r="H2051" s="88">
        <v>42004</v>
      </c>
      <c r="I2051" s="64" t="s">
        <v>957</v>
      </c>
      <c r="J2051" s="63" t="s">
        <v>1917</v>
      </c>
      <c r="K2051" s="64" t="s">
        <v>961</v>
      </c>
      <c r="L2051" s="64" t="s">
        <v>4477</v>
      </c>
      <c r="M2051" s="174">
        <v>1054.93</v>
      </c>
      <c r="N2051" s="65">
        <v>34.03</v>
      </c>
      <c r="O2051" s="174">
        <v>1054.93</v>
      </c>
      <c r="P2051" s="65">
        <v>1710</v>
      </c>
      <c r="Q2051" s="65">
        <f t="shared" si="347"/>
        <v>376.2</v>
      </c>
      <c r="R2051" s="65">
        <f t="shared" si="348"/>
        <v>2086.1999999999998</v>
      </c>
      <c r="S2051" s="268"/>
      <c r="T2051" s="64">
        <v>127</v>
      </c>
      <c r="U2051" s="274"/>
      <c r="V2051" s="38">
        <v>1912</v>
      </c>
      <c r="W2051" s="38">
        <f t="shared" si="349"/>
        <v>420.64</v>
      </c>
      <c r="X2051" s="38">
        <f t="shared" si="350"/>
        <v>2332.64</v>
      </c>
    </row>
    <row r="2052" spans="1:24" ht="20.5" customHeight="1" x14ac:dyDescent="0.35">
      <c r="A2052" s="56" t="s">
        <v>4510</v>
      </c>
      <c r="B2052" s="2">
        <v>1922</v>
      </c>
      <c r="C2052" s="74">
        <v>10029663</v>
      </c>
      <c r="D2052" s="59" t="s">
        <v>4210</v>
      </c>
      <c r="E2052" s="59" t="s">
        <v>2167</v>
      </c>
      <c r="F2052" s="197">
        <v>79</v>
      </c>
      <c r="G2052" s="64" t="s">
        <v>0</v>
      </c>
      <c r="H2052" s="88">
        <v>42004</v>
      </c>
      <c r="I2052" s="64" t="s">
        <v>957</v>
      </c>
      <c r="J2052" s="63" t="s">
        <v>1917</v>
      </c>
      <c r="K2052" s="64" t="s">
        <v>961</v>
      </c>
      <c r="L2052" s="64" t="s">
        <v>4477</v>
      </c>
      <c r="M2052" s="174">
        <v>3849.67</v>
      </c>
      <c r="N2052" s="65">
        <v>48.73</v>
      </c>
      <c r="O2052" s="174">
        <v>3849.67</v>
      </c>
      <c r="P2052" s="65">
        <v>6250</v>
      </c>
      <c r="Q2052" s="65">
        <f t="shared" si="347"/>
        <v>1375</v>
      </c>
      <c r="R2052" s="65">
        <f t="shared" si="348"/>
        <v>7625</v>
      </c>
      <c r="S2052" s="268"/>
      <c r="T2052" s="64">
        <v>127</v>
      </c>
      <c r="U2052" s="274"/>
      <c r="V2052" s="38">
        <v>6979</v>
      </c>
      <c r="W2052" s="38">
        <f t="shared" si="349"/>
        <v>1535.38</v>
      </c>
      <c r="X2052" s="38">
        <f t="shared" si="350"/>
        <v>8514.3799999999992</v>
      </c>
    </row>
    <row r="2053" spans="1:24" ht="20.5" customHeight="1" x14ac:dyDescent="0.35">
      <c r="A2053" s="56" t="s">
        <v>4511</v>
      </c>
      <c r="B2053" s="2">
        <v>1923</v>
      </c>
      <c r="C2053" s="74">
        <v>10005765</v>
      </c>
      <c r="D2053" s="59" t="s">
        <v>4211</v>
      </c>
      <c r="E2053" s="59" t="s">
        <v>2167</v>
      </c>
      <c r="F2053" s="197">
        <v>580</v>
      </c>
      <c r="G2053" s="115" t="s">
        <v>17</v>
      </c>
      <c r="H2053" s="88">
        <v>42004</v>
      </c>
      <c r="I2053" s="64" t="s">
        <v>957</v>
      </c>
      <c r="J2053" s="63" t="s">
        <v>1917</v>
      </c>
      <c r="K2053" s="64" t="s">
        <v>961</v>
      </c>
      <c r="L2053" s="64" t="s">
        <v>4477</v>
      </c>
      <c r="M2053" s="174">
        <v>83264.570000000007</v>
      </c>
      <c r="N2053" s="65">
        <v>143.56</v>
      </c>
      <c r="O2053" s="174">
        <v>83264.570000000007</v>
      </c>
      <c r="P2053" s="65">
        <v>135100</v>
      </c>
      <c r="Q2053" s="65">
        <f t="shared" si="347"/>
        <v>29722</v>
      </c>
      <c r="R2053" s="65">
        <f t="shared" si="348"/>
        <v>164822</v>
      </c>
      <c r="S2053" s="269"/>
      <c r="T2053" s="64">
        <v>127</v>
      </c>
      <c r="U2053" s="274"/>
      <c r="V2053" s="38">
        <v>150944</v>
      </c>
      <c r="W2053" s="38">
        <f t="shared" si="349"/>
        <v>33207.68</v>
      </c>
      <c r="X2053" s="38">
        <f t="shared" si="350"/>
        <v>184151.67999999999</v>
      </c>
    </row>
    <row r="2054" spans="1:24" ht="20.5" customHeight="1" x14ac:dyDescent="0.35">
      <c r="A2054" s="56"/>
      <c r="B2054" s="15"/>
      <c r="C2054" s="186"/>
      <c r="D2054" s="105"/>
      <c r="E2054" s="59"/>
      <c r="F2054" s="203"/>
      <c r="G2054" s="256"/>
      <c r="H2054" s="257"/>
      <c r="I2054" s="61"/>
      <c r="J2054" s="63"/>
      <c r="K2054" s="64"/>
      <c r="L2054" s="64"/>
      <c r="M2054" s="174"/>
      <c r="N2054" s="65"/>
      <c r="O2054" s="195">
        <f>SUM(O2036:O2053)</f>
        <v>163869.16</v>
      </c>
      <c r="P2054" s="195">
        <f t="shared" ref="P2054:R2054" si="352">SUM(P2036:P2053)</f>
        <v>265880</v>
      </c>
      <c r="Q2054" s="195">
        <f t="shared" si="352"/>
        <v>58493.599999999999</v>
      </c>
      <c r="R2054" s="195">
        <f t="shared" si="352"/>
        <v>324373.59999999998</v>
      </c>
      <c r="S2054" s="72">
        <f>R2054/100*10</f>
        <v>32437.360000000001</v>
      </c>
      <c r="T2054" s="73">
        <v>127</v>
      </c>
      <c r="U2054" s="275"/>
      <c r="V2054" s="38"/>
      <c r="W2054" s="18"/>
      <c r="X2054" s="18"/>
    </row>
    <row r="2055" spans="1:24" ht="18.75" customHeight="1" x14ac:dyDescent="0.35">
      <c r="A2055" s="286" t="s">
        <v>4037</v>
      </c>
      <c r="B2055" s="287"/>
      <c r="C2055" s="287"/>
      <c r="D2055" s="287"/>
      <c r="E2055" s="287"/>
      <c r="F2055" s="287"/>
      <c r="G2055" s="287"/>
      <c r="H2055" s="287"/>
      <c r="I2055" s="287"/>
      <c r="J2055" s="287"/>
      <c r="K2055" s="287"/>
      <c r="L2055" s="288"/>
      <c r="M2055" s="21"/>
      <c r="N2055" s="21"/>
      <c r="O2055" s="34">
        <f>O55+O61+O65+O85+O110+O117+O121+O123+O133+O136+O146+O164+O168+O171+O267+O316+O320+O327+O330+O336+O342+O366+O457+O459+O480+O487+O489+O493+O519+O526+O528+O537+O672+O755+O878+O976+O978+O990+O996+O1002+O1008+O1021+O1031+O1039+O1048+O1052+O1126+O1149+O1170+O1192+O1195+O1203+O1258+O1297+O1303+O1306+O1310+O1315+O1321+O1339+O1346+O1350+O1354+O1356+O1366+O1369+O1376+O1418+O1421+O1424+O1427+O1438+O1447+O1459+O1465+O1472+O1477+O1492+O1507+O1515+O1518+O1527+O1538+O1540+O1546+O1549+O1555+O1562+O1564+O1566+O1570+O1638+O1646+O1676+O1679+O1681+O1688+O1695+O1710+O1714+O1722+O1734+O1737+O1740+O1744+O1752+O1764+O1766+O1769+O1771+O1776+O1780+O1786+O1789+O1792+O1891+O1903+O1906+O1917+O1919+O1951+O1978+O1987+O2008+O2020+O2035+O2054</f>
        <v>274593811.44</v>
      </c>
      <c r="P2055" s="34">
        <f>P55+P61+P65+P85+P110+P117+P121+P123+P133+P136+P146+P164+P168+P171+P267+P316+P320+P327+P330+P336+P342+P366+P457+P459+P480+P487+P489+P493+P519+P526+P528+P537+P672+P755+P878+P976+P978+P990+P996+P1002+P1008+P1021+P1031+P1039+P1048+P1052+P1126+P1149+P1170+P1192+P1195+P1203+P1258+P1297+P1303+P1306+P1310+P1315+P1321+P1339+P1346+P1350+P1354+P1356+P1366+P1369+P1376+P1418+P1421+P1424+P1427+P1438+P1447+P1459+P1465+P1472+P1477+P1492+P1507+P1515+P1518+P1527+P1538+P1540+P1546+P1549+P1555+P1562+P1564+P1566+P1570+P1638+P1646+P1676+P1679+P1681+P1688+P1695+P1710+P1714+P1722+P1734+P1737+P1740+P1744+P1752+P1764+P1766+P1769+P1771+P1776+P1780+P1786+P1789+P1792+P1891+P1903+P1906+P1917+P1919+P1951+P1978+P1987+P2008+P2020+P2035+P2054</f>
        <v>320120472.32999998</v>
      </c>
      <c r="Q2055" s="37"/>
      <c r="R2055" s="34">
        <f>R55+R61+R65+R85+R110+R117+R121+R123+R133+R136+R146+R164+R168+R171+R267+R316+R320+R327+R330+R336+R342+R366+R457+R459+R480+R487+R489+R493+R519+R526+R528+R537+R672+R755+R878+R976+R978+R990+R996+R1002+R1008+R1021+R1031+R1039+R1048+R1052+R1126+R1149+R1170+R1192+R1195+R1203+R1258+R1297+R1303+R1306+R1310+R1315+R1321+R1339+R1346+R1350+R1354+R1356+R1366+R1369+R1376+R1418+R1421+R1424+R1427+R1438+R1447+R1459+R1465+R1472+R1477+R1492+R1507+R1515+R1518+R1527+R1538+R1540+R1546+R1549+R1555+R1562+R1564+R1566+R1570+R1638+R1646+R1676+R1679+R1681+R1688+R1695+R1710+R1714+R1722+R1734+R1737+R1740+R1744+R1752+R1764+R1766+R1769+R1771+R1776+R1780+R1786+R1789+R1792+R1891+R1903+R1906+R1917+R1919+R1951+R1978+R1987+R2008+R2020+R2035+R2054</f>
        <v>390546976.24000001</v>
      </c>
      <c r="S2055" s="33"/>
      <c r="T2055" s="31"/>
      <c r="U2055" s="18"/>
      <c r="V2055" s="38"/>
      <c r="W2055" s="18"/>
      <c r="X2055" s="18"/>
    </row>
    <row r="2056" spans="1:24" x14ac:dyDescent="0.35">
      <c r="O2056" s="22"/>
      <c r="P2056" s="22"/>
      <c r="Q2056" s="22"/>
      <c r="R2056" s="22"/>
    </row>
    <row r="2057" spans="1:24" x14ac:dyDescent="0.35">
      <c r="O2057" s="22"/>
      <c r="P2057" s="22"/>
      <c r="Q2057" s="22"/>
      <c r="R2057" s="22"/>
    </row>
    <row r="2058" spans="1:24" x14ac:dyDescent="0.35">
      <c r="O2058" s="22"/>
      <c r="P2058" s="22"/>
      <c r="Q2058" s="22"/>
      <c r="R2058" s="22"/>
    </row>
    <row r="2060" spans="1:24" x14ac:dyDescent="0.35">
      <c r="O2060" s="22"/>
    </row>
  </sheetData>
  <autoFilter ref="A4:V2055"/>
  <mergeCells count="242">
    <mergeCell ref="A2055:L2055"/>
    <mergeCell ref="S2009:S2019"/>
    <mergeCell ref="U2009:U2020"/>
    <mergeCell ref="S2021:S2034"/>
    <mergeCell ref="U2021:U2035"/>
    <mergeCell ref="S2036:S2053"/>
    <mergeCell ref="U2036:U2054"/>
    <mergeCell ref="S1952:S1977"/>
    <mergeCell ref="U1952:U1978"/>
    <mergeCell ref="S1979:S1986"/>
    <mergeCell ref="U1979:U1987"/>
    <mergeCell ref="S1988:S2007"/>
    <mergeCell ref="U1988:U2008"/>
    <mergeCell ref="S1904:S1905"/>
    <mergeCell ref="U1904:U1906"/>
    <mergeCell ref="S1907:S1916"/>
    <mergeCell ref="U1907:U1917"/>
    <mergeCell ref="U1918:U1919"/>
    <mergeCell ref="S1920:S1950"/>
    <mergeCell ref="U1920:U1951"/>
    <mergeCell ref="S1790:S1791"/>
    <mergeCell ref="U1790:U1792"/>
    <mergeCell ref="S1793:S1890"/>
    <mergeCell ref="U1793:U1891"/>
    <mergeCell ref="S1892:S1902"/>
    <mergeCell ref="U1892:U1903"/>
    <mergeCell ref="S1777:S1779"/>
    <mergeCell ref="U1777:U1780"/>
    <mergeCell ref="S1781:S1785"/>
    <mergeCell ref="U1781:U1786"/>
    <mergeCell ref="S1787:S1788"/>
    <mergeCell ref="U1787:U1789"/>
    <mergeCell ref="U1765:U1766"/>
    <mergeCell ref="S1767:S1768"/>
    <mergeCell ref="U1767:U1769"/>
    <mergeCell ref="U1770:U1771"/>
    <mergeCell ref="S1772:S1775"/>
    <mergeCell ref="U1772:U1776"/>
    <mergeCell ref="S1741:S1743"/>
    <mergeCell ref="U1741:U1744"/>
    <mergeCell ref="S1745:S1751"/>
    <mergeCell ref="U1745:U1752"/>
    <mergeCell ref="S1753:S1763"/>
    <mergeCell ref="U1753:U1764"/>
    <mergeCell ref="S1723:S1733"/>
    <mergeCell ref="U1723:U1734"/>
    <mergeCell ref="S1735:S1736"/>
    <mergeCell ref="U1735:U1737"/>
    <mergeCell ref="S1738:S1739"/>
    <mergeCell ref="U1738:U1740"/>
    <mergeCell ref="S1696:S1709"/>
    <mergeCell ref="U1696:U1710"/>
    <mergeCell ref="S1711:S1713"/>
    <mergeCell ref="U1711:U1714"/>
    <mergeCell ref="S1715:S1721"/>
    <mergeCell ref="U1715:U1722"/>
    <mergeCell ref="S1677:S1678"/>
    <mergeCell ref="U1677:U1679"/>
    <mergeCell ref="U1680:U1681"/>
    <mergeCell ref="S1682:S1687"/>
    <mergeCell ref="U1682:U1688"/>
    <mergeCell ref="S1689:S1694"/>
    <mergeCell ref="U1689:U1695"/>
    <mergeCell ref="S1571:S1637"/>
    <mergeCell ref="U1571:U1638"/>
    <mergeCell ref="S1639:S1645"/>
    <mergeCell ref="U1639:U1646"/>
    <mergeCell ref="S1647:S1675"/>
    <mergeCell ref="U1647:U1676"/>
    <mergeCell ref="S1556:S1561"/>
    <mergeCell ref="U1556:U1562"/>
    <mergeCell ref="U1563:U1564"/>
    <mergeCell ref="U1565:U1566"/>
    <mergeCell ref="S1567:S1569"/>
    <mergeCell ref="U1567:U1570"/>
    <mergeCell ref="U1539:U1540"/>
    <mergeCell ref="S1541:S1545"/>
    <mergeCell ref="U1541:U1546"/>
    <mergeCell ref="S1547:S1548"/>
    <mergeCell ref="U1547:U1549"/>
    <mergeCell ref="S1550:S1554"/>
    <mergeCell ref="U1550:U1555"/>
    <mergeCell ref="S1516:S1517"/>
    <mergeCell ref="U1516:U1518"/>
    <mergeCell ref="S1519:S1526"/>
    <mergeCell ref="U1519:U1527"/>
    <mergeCell ref="S1528:S1537"/>
    <mergeCell ref="U1528:U1538"/>
    <mergeCell ref="S1478:S1491"/>
    <mergeCell ref="U1478:U1492"/>
    <mergeCell ref="S1493:S1506"/>
    <mergeCell ref="U1493:U1507"/>
    <mergeCell ref="S1508:S1514"/>
    <mergeCell ref="U1508:U1515"/>
    <mergeCell ref="S1460:S1464"/>
    <mergeCell ref="U1460:U1465"/>
    <mergeCell ref="S1466:S1471"/>
    <mergeCell ref="U1466:U1472"/>
    <mergeCell ref="S1473:S1476"/>
    <mergeCell ref="U1473:U1477"/>
    <mergeCell ref="S1428:S1437"/>
    <mergeCell ref="U1428:U1438"/>
    <mergeCell ref="S1439:S1446"/>
    <mergeCell ref="U1439:U1447"/>
    <mergeCell ref="S1448:S1458"/>
    <mergeCell ref="U1448:U1459"/>
    <mergeCell ref="S1419:S1420"/>
    <mergeCell ref="U1419:U1421"/>
    <mergeCell ref="S1422:S1423"/>
    <mergeCell ref="U1422:U1424"/>
    <mergeCell ref="S1425:S1426"/>
    <mergeCell ref="U1425:U1427"/>
    <mergeCell ref="S1367:S1368"/>
    <mergeCell ref="U1367:U1369"/>
    <mergeCell ref="S1370:S1375"/>
    <mergeCell ref="U1370:U1376"/>
    <mergeCell ref="S1377:S1417"/>
    <mergeCell ref="U1377:U1418"/>
    <mergeCell ref="S1347:S1349"/>
    <mergeCell ref="U1347:U1350"/>
    <mergeCell ref="S1351:S1353"/>
    <mergeCell ref="U1351:U1354"/>
    <mergeCell ref="U1355:U1356"/>
    <mergeCell ref="S1357:S1365"/>
    <mergeCell ref="U1357:U1366"/>
    <mergeCell ref="S1316:S1320"/>
    <mergeCell ref="U1316:U1321"/>
    <mergeCell ref="S1322:S1338"/>
    <mergeCell ref="U1322:U1339"/>
    <mergeCell ref="S1340:S1345"/>
    <mergeCell ref="U1340:U1346"/>
    <mergeCell ref="S1304:S1305"/>
    <mergeCell ref="U1304:U1306"/>
    <mergeCell ref="S1307:S1309"/>
    <mergeCell ref="U1307:U1310"/>
    <mergeCell ref="S1311:S1314"/>
    <mergeCell ref="U1311:U1315"/>
    <mergeCell ref="S1204:S1257"/>
    <mergeCell ref="U1204:U1258"/>
    <mergeCell ref="S1259:S1296"/>
    <mergeCell ref="U1259:U1297"/>
    <mergeCell ref="S1298:S1302"/>
    <mergeCell ref="U1298:U1303"/>
    <mergeCell ref="S1171:S1191"/>
    <mergeCell ref="U1171:U1192"/>
    <mergeCell ref="S1193:S1194"/>
    <mergeCell ref="U1193:U1195"/>
    <mergeCell ref="S1196:S1202"/>
    <mergeCell ref="U1196:U1203"/>
    <mergeCell ref="S1053:S1125"/>
    <mergeCell ref="U1053:U1126"/>
    <mergeCell ref="S1127:S1148"/>
    <mergeCell ref="U1127:U1149"/>
    <mergeCell ref="S1150:S1169"/>
    <mergeCell ref="U1150:U1170"/>
    <mergeCell ref="S1032:S1038"/>
    <mergeCell ref="U1032:U1039"/>
    <mergeCell ref="S1040:S1047"/>
    <mergeCell ref="U1040:U1048"/>
    <mergeCell ref="S1049:S1051"/>
    <mergeCell ref="U1049:U1052"/>
    <mergeCell ref="S1003:S1007"/>
    <mergeCell ref="U1003:U1008"/>
    <mergeCell ref="S1009:S1020"/>
    <mergeCell ref="U1009:U1021"/>
    <mergeCell ref="S1022:S1030"/>
    <mergeCell ref="U1022:U1031"/>
    <mergeCell ref="U977:U978"/>
    <mergeCell ref="S979:S989"/>
    <mergeCell ref="U979:U990"/>
    <mergeCell ref="S991:S995"/>
    <mergeCell ref="U991:U996"/>
    <mergeCell ref="S997:S1001"/>
    <mergeCell ref="U997:U1002"/>
    <mergeCell ref="S673:S754"/>
    <mergeCell ref="U673:U755"/>
    <mergeCell ref="S756:S877"/>
    <mergeCell ref="U756:U878"/>
    <mergeCell ref="S879:S975"/>
    <mergeCell ref="U879:U976"/>
    <mergeCell ref="U527:U528"/>
    <mergeCell ref="S529:S536"/>
    <mergeCell ref="U529:U537"/>
    <mergeCell ref="S538:S671"/>
    <mergeCell ref="U538:U672"/>
    <mergeCell ref="S367:S456"/>
    <mergeCell ref="U367:U457"/>
    <mergeCell ref="S331:S335"/>
    <mergeCell ref="U331:U336"/>
    <mergeCell ref="S337:S341"/>
    <mergeCell ref="U337:U342"/>
    <mergeCell ref="S343:S365"/>
    <mergeCell ref="U343:U366"/>
    <mergeCell ref="S328:S329"/>
    <mergeCell ref="U328:U330"/>
    <mergeCell ref="U488:U489"/>
    <mergeCell ref="S490:S492"/>
    <mergeCell ref="U490:U493"/>
    <mergeCell ref="S494:S518"/>
    <mergeCell ref="U494:U519"/>
    <mergeCell ref="S520:S525"/>
    <mergeCell ref="U520:U526"/>
    <mergeCell ref="U458:U459"/>
    <mergeCell ref="S460:S479"/>
    <mergeCell ref="U460:U480"/>
    <mergeCell ref="S481:S486"/>
    <mergeCell ref="U481:U487"/>
    <mergeCell ref="S165:S167"/>
    <mergeCell ref="U165:U168"/>
    <mergeCell ref="S124:S132"/>
    <mergeCell ref="U124:U133"/>
    <mergeCell ref="S134:S135"/>
    <mergeCell ref="U134:U136"/>
    <mergeCell ref="S317:S319"/>
    <mergeCell ref="U317:U320"/>
    <mergeCell ref="S321:S326"/>
    <mergeCell ref="U321:U327"/>
    <mergeCell ref="S169:S170"/>
    <mergeCell ref="U169:U171"/>
    <mergeCell ref="S172:S266"/>
    <mergeCell ref="U172:U267"/>
    <mergeCell ref="S268:S315"/>
    <mergeCell ref="U268:U316"/>
    <mergeCell ref="S5:S54"/>
    <mergeCell ref="U5:U55"/>
    <mergeCell ref="S56:S60"/>
    <mergeCell ref="U56:U61"/>
    <mergeCell ref="U62:U65"/>
    <mergeCell ref="S63:S64"/>
    <mergeCell ref="S137:S145"/>
    <mergeCell ref="U137:U146"/>
    <mergeCell ref="S147:S163"/>
    <mergeCell ref="U147:U164"/>
    <mergeCell ref="S118:S120"/>
    <mergeCell ref="U118:U121"/>
    <mergeCell ref="U122:U123"/>
    <mergeCell ref="S66:S84"/>
    <mergeCell ref="U66:U85"/>
    <mergeCell ref="S86:S109"/>
    <mergeCell ref="U86:U110"/>
    <mergeCell ref="S111:S116"/>
    <mergeCell ref="U111:U117"/>
  </mergeCells>
  <conditionalFormatting sqref="A62">
    <cfRule type="duplicateValues" dxfId="6" priority="2"/>
  </conditionalFormatting>
  <conditionalFormatting sqref="A1905">
    <cfRule type="duplicateValues" dxfId="5" priority="1"/>
  </conditionalFormatting>
  <conditionalFormatting sqref="A1906:A2054 A63:A961 A5:A61 A963:A1904">
    <cfRule type="duplicateValues" dxfId="4" priority="7"/>
  </conditionalFormatting>
  <conditionalFormatting sqref="C1480:C1482">
    <cfRule type="duplicateValues" dxfId="3" priority="5"/>
    <cfRule type="duplicateValues" dxfId="2" priority="6"/>
  </conditionalFormatting>
  <conditionalFormatting sqref="C1483:C1486">
    <cfRule type="duplicateValues" dxfId="1" priority="3"/>
    <cfRule type="duplicateValues" dxfId="0" priority="4"/>
  </conditionalFormatting>
  <pageMargins left="0" right="0.19685039370078741" top="0.19685039370078741" bottom="0.19685039370078741" header="0.19685039370078741" footer="0.19685039370078741"/>
  <pageSetup paperSize="8" scale="46" fitToHeight="0" orientation="landscape" r:id="rId1"/>
  <ignoredErrors>
    <ignoredError sqref="M925 Q976:R976 Q1987:R1987" 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Перечень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2026-08-25T05:00:32Z</dcterms:modified>
</cp:coreProperties>
</file>