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u-filesrvpkb\технологическое присоединение\Документы службы\Сизык Н.С\Отдел регулирования ТП\РАСКРЫТИЕ\ежеквартально\2026\2 кв. 2026\на сайт\"/>
    </mc:Choice>
  </mc:AlternateContent>
  <bookViews>
    <workbookView xWindow="0" yWindow="0" windowWidth="28800" windowHeight="12300" tabRatio="852" firstSheet="40" activeTab="40"/>
  </bookViews>
  <sheets>
    <sheet name="Перечень тарифов" sheetId="5" state="hidden" r:id="rId1"/>
    <sheet name="Дифференциация тариф показатель" sheetId="6" state="hidden" r:id="rId2"/>
    <sheet name="Общая информация об организации" sheetId="7" state="hidden" r:id="rId3"/>
    <sheet name="Общая информация по ВД" sheetId="8" state="hidden" r:id="rId4"/>
    <sheet name="Виды объектов" sheetId="9" state="hidden" r:id="rId5"/>
    <sheet name="Сведения по территориям" sheetId="10" state="hidden" r:id="rId6"/>
    <sheet name="ТС. Т-ТЭ | &gt;=25МВт" sheetId="11" state="hidden" r:id="rId7"/>
    <sheet name="ТС. Т-ТЭ | ТСО" sheetId="12" state="hidden" r:id="rId8"/>
    <sheet name="ТС. Т-ТЭ | предел" sheetId="13" state="hidden" r:id="rId9"/>
    <sheet name="ТС. Т-ТЭ | индикат" sheetId="14" state="hidden" r:id="rId10"/>
    <sheet name="ТС. Резерв мощности" sheetId="15" state="hidden" r:id="rId11"/>
    <sheet name="ТС. Т-ТН" sheetId="16" state="hidden" r:id="rId12"/>
    <sheet name="ТС. Т-передача ТЭ" sheetId="17" state="hidden" r:id="rId13"/>
    <sheet name="ТС. Т-передача ТН" sheetId="18" state="hidden" r:id="rId14"/>
    <sheet name="ТС. Т-гор.вода" sheetId="19" state="hidden" r:id="rId15"/>
    <sheet name="ТС. Т-подкл" sheetId="20" state="hidden" r:id="rId16"/>
    <sheet name="ХВС. Т-пит" sheetId="21" state="hidden" r:id="rId17"/>
    <sheet name="ХВС. Т-тех" sheetId="22" state="hidden" r:id="rId18"/>
    <sheet name="ХВС. Т-транс" sheetId="23" state="hidden" r:id="rId19"/>
    <sheet name="ХВС. Т-подвоз" sheetId="24" state="hidden" r:id="rId20"/>
    <sheet name="ТС. Т-подкл(инд)" sheetId="25" state="hidden" r:id="rId21"/>
    <sheet name="ХВС. Т-подкл" sheetId="26" state="hidden" r:id="rId22"/>
    <sheet name="ВО. Т-во" sheetId="27" state="hidden" r:id="rId23"/>
    <sheet name="ВО. Т-транс" sheetId="28" state="hidden" r:id="rId24"/>
    <sheet name="ВО. Т-подкл" sheetId="29" state="hidden" r:id="rId25"/>
    <sheet name="ГВС. Т-гор.вода" sheetId="30" state="hidden" r:id="rId26"/>
    <sheet name="ГВС. Т-транс" sheetId="31" state="hidden" r:id="rId27"/>
    <sheet name="ГВС. Т-подкл" sheetId="32" state="hidden" r:id="rId28"/>
    <sheet name="Показатели ФХД" sheetId="33" state="hidden" r:id="rId29"/>
    <sheet name="Показатели ФХД &gt;20%" sheetId="34" state="hidden" r:id="rId30"/>
    <sheet name="Показатели ОТЭП" sheetId="35" state="hidden" r:id="rId31"/>
    <sheet name="Стандарты качества" sheetId="36" state="hidden" r:id="rId32"/>
    <sheet name="ТКО. Показатели ФХД" sheetId="37" state="hidden" r:id="rId33"/>
    <sheet name="ТКО. Транс. Показатели ФХД" sheetId="38" state="hidden" r:id="rId34"/>
    <sheet name="Показатели КНЭ" sheetId="39" state="hidden" r:id="rId35"/>
    <sheet name="Ограничения" sheetId="40" state="hidden" r:id="rId36"/>
    <sheet name="ИП" sheetId="41" state="hidden" r:id="rId37"/>
    <sheet name="ИП. Детализация" sheetId="42" state="hidden" r:id="rId38"/>
    <sheet name="ИП. Финансовый план" sheetId="43" state="hidden" r:id="rId39"/>
    <sheet name="ИП. КНЭ" sheetId="44" state="hidden" r:id="rId40"/>
    <sheet name="ТП" sheetId="45" r:id="rId41"/>
    <sheet name="Договоры" sheetId="46" state="hidden" r:id="rId42"/>
    <sheet name="Порядок ТП" sheetId="47" state="hidden" r:id="rId43"/>
    <sheet name="Предложение" sheetId="48" state="hidden" r:id="rId44"/>
    <sheet name="Сведения о закупках" sheetId="49" state="hidden" r:id="rId45"/>
    <sheet name="Потребительские характеристики" sheetId="50" state="hidden" r:id="rId46"/>
    <sheet name="TEHSHEET" sheetId="51" state="hidden" r:id="rId47"/>
    <sheet name="Орган регулирования" sheetId="52" state="hidden" r:id="rId48"/>
    <sheet name="Перечень организаций" sheetId="53" state="hidden" r:id="rId49"/>
    <sheet name="Дела об установлении тарифов" sheetId="54" state="hidden" r:id="rId50"/>
    <sheet name="Дела об утверждении ПУЦ" sheetId="55" state="hidden" r:id="rId51"/>
    <sheet name="Привлечение к ответственности" sheetId="56" state="hidden" r:id="rId52"/>
    <sheet name="ЭД" sheetId="57" state="hidden" r:id="rId53"/>
    <sheet name="Сведения об изменении" sheetId="58" state="hidden" r:id="rId54"/>
    <sheet name="Проверка" sheetId="60" state="hidden" r:id="rId55"/>
    <sheet name="et_union_hor" sheetId="61" state="hidden" r:id="rId56"/>
    <sheet name="DATA_FORMS" sheetId="62" state="hidden" r:id="rId57"/>
    <sheet name="DATA_NPA" sheetId="63" state="hidden" r:id="rId58"/>
    <sheet name="Т-ТЭ | потр" sheetId="64" state="hidden" r:id="rId59"/>
    <sheet name="modMainProcedures" sheetId="65" state="hidden" r:id="rId60"/>
    <sheet name="modB_FHD" sheetId="66" state="hidden" r:id="rId61"/>
    <sheet name="modB_FHD20" sheetId="67" state="hidden" r:id="rId62"/>
    <sheet name="modB_KNE" sheetId="68" state="hidden" r:id="rId63"/>
    <sheet name="modIP_MAIN" sheetId="69" state="hidden" r:id="rId64"/>
    <sheet name="modIP_QRE" sheetId="70" state="hidden" r:id="rId65"/>
    <sheet name="modIP_DETAILED" sheetId="71" state="hidden" r:id="rId66"/>
    <sheet name="et_union_vert" sheetId="72" state="hidden" r:id="rId67"/>
    <sheet name="Легенда" sheetId="73" state="hidden" r:id="rId68"/>
    <sheet name="modfrmListIP" sheetId="74" state="hidden" r:id="rId69"/>
    <sheet name="modfrmActivity" sheetId="75" state="hidden" r:id="rId70"/>
    <sheet name="REESTR_ORG" sheetId="76" state="hidden" r:id="rId71"/>
    <sheet name="REESTR_MO" sheetId="77" state="hidden" r:id="rId72"/>
    <sheet name="REESTR_IP" sheetId="78" state="hidden" r:id="rId73"/>
    <sheet name="REESTR_OBJ_INFR" sheetId="79" state="hidden" r:id="rId74"/>
    <sheet name="REESTR_DS" sheetId="80" state="hidden" r:id="rId75"/>
    <sheet name="REESTR_VT" sheetId="81" state="hidden" r:id="rId76"/>
    <sheet name="REESTR_VED" sheetId="82" state="hidden" r:id="rId77"/>
    <sheet name="REESTR_MO_FILTER" sheetId="83" state="hidden" r:id="rId78"/>
    <sheet name="REESTR_LINK" sheetId="84" state="hidden" r:id="rId79"/>
    <sheet name="modSheetMain" sheetId="85" state="hidden" r:id="rId80"/>
    <sheet name="modfrmReportMode" sheetId="86" state="hidden" r:id="rId81"/>
    <sheet name="modfrmReestrObj" sheetId="87" state="hidden" r:id="rId82"/>
    <sheet name="AllSheetsInThisWorkbook" sheetId="88" state="hidden" r:id="rId83"/>
    <sheet name="modInfo" sheetId="89" state="hidden" r:id="rId84"/>
  </sheets>
  <definedNames>
    <definedName name="_xlnm._FilterDatabase" localSheetId="54">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#REF!</definedName>
    <definedName name="BLOCK_BALANCE_TKO_FLAG_TRANS">#REF!</definedName>
    <definedName name="BLOCK_CONNECTION_STATE">#REF!</definedName>
    <definedName name="BLOCK_DIFF_CS">#REF!</definedName>
    <definedName name="BLOCK_DIFFERENTIATION_NOT_TKO">#REF!</definedName>
    <definedName name="BLOCK_FIRST_TARIFF">#REF!</definedName>
    <definedName name="BLOCK_FIRST_TARIFF_OREG_PUBL">#REF!</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#REF!</definedName>
    <definedName name="BLOCK_PRICE_INDICATORS_LEVEL">#REF!</definedName>
    <definedName name="BLOCK_PRICE_IST_TE">'Перечень тарифов'!$S:$V</definedName>
    <definedName name="BLOCK_PRICE_REQUEST">#REF!</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#REF!</definedName>
    <definedName name="BLOCK_TITLE_ROIV_INFO">#REF!</definedName>
    <definedName name="BLOCK_WARM_ORG_TYPE">#REF!</definedName>
    <definedName name="checkCell_List01">#REF!</definedName>
    <definedName name="checkCell_List07">'Сведения об изменении'!$D$11:$E$13</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#REF!</definedName>
    <definedName name="DIFFERENTIATION_AREA_ID">#REF!</definedName>
    <definedName name="DIFFERENTIATION_CheckC">#REF!</definedName>
    <definedName name="DIFFERENTIATION_fieldMarker">#REF!</definedName>
    <definedName name="DIFFERENTIATION_ID">TEHSHEET!$E$57</definedName>
    <definedName name="DIFFERENTIATION_ID_DIFF">#REF!</definedName>
    <definedName name="DIFFERENTIATION_SYSTEM">#REF!</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#REF!</definedName>
    <definedName name="DIFFERENTIATION_UNMERGE_SYSTEM">#REF!</definedName>
    <definedName name="DIFFERENTIATION_UNMERGE_VD">#REF!</definedName>
    <definedName name="DIFFERENTIATION_VD">#REF!</definedName>
    <definedName name="DIFFERENTIATION_VD_ID">#REF!</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#REF!</definedName>
    <definedName name="f_year">#REF!</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#REF!</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#REF!</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#REF!</definedName>
    <definedName name="pDel_DIFFERENTIATION_SYSTEM">#REF!</definedName>
    <definedName name="pDel_DIFFERENTIATION_VD">#REF!</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#REF!</definedName>
    <definedName name="PeriodIsEmpty">TEHSHEET!$I$45</definedName>
    <definedName name="PeriodIsEmptyList">TEHSHEET!$I$46:$I$53</definedName>
    <definedName name="periodStart">#REF!</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REESTR_IP!$A$2:$I$16</definedName>
    <definedName name="REESTR_LINK_RANGE">REESTR_LINK!$A$2:$C$3</definedName>
    <definedName name="REESTR_VT_RANGE">REESTR_VT!$A$2:$B$11</definedName>
    <definedName name="REGION">TEHSHEET!$A$2:$A$91</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#REF!</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#REF!</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#REF!</definedName>
    <definedName name="TERRITORY_ID">TEHSHEET!$E$56</definedName>
    <definedName name="TERRITORY_LIST_ID">#REF!</definedName>
    <definedName name="TERRITORY_MO_LIST">#REF!</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#REF!</definedName>
    <definedName name="TITLE_DATE_FIL">#REF!</definedName>
    <definedName name="TITLE_DATE_PARKING">#REF!</definedName>
    <definedName name="TITLE_DATE_PR">#REF!</definedName>
    <definedName name="TITLE_DATE_PR_CHANGE">#REF!</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TEHSHEET!$AZ$15:$AZ$17</definedName>
    <definedName name="TITLE_IST_PUB">#REF!</definedName>
    <definedName name="TITLE_IST_PUB_CHANGE">#REF!</definedName>
    <definedName name="TITLE_NAME_OR_PR">#REF!</definedName>
    <definedName name="TITLE_NAME_OR_PR_CHANGE">#REF!</definedName>
    <definedName name="TITLE_NUMBER_PR">#REF!</definedName>
    <definedName name="TITLE_NUMBER_PR_CHANGE">#REF!</definedName>
    <definedName name="TITLE_PERIOD_END">#REF!</definedName>
    <definedName name="TITLE_PERIOD_START">#REF!</definedName>
    <definedName name="TITLE_PRICE_INDICATORS_GRAPH">#REF!</definedName>
    <definedName name="TITLE_PRICE_INDICATORS_LEVEL">#REF!</definedName>
    <definedName name="TITLE_STRUCTURE_INFO_ROIV">#REF!</definedName>
    <definedName name="TITLE_TYPE_ORG">#REF!</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#REF!</definedName>
    <definedName name="Y_N_DIFFERENTIATION_SYSTEM">#REF!</definedName>
    <definedName name="YEAR_IP_LIST">TEHSHEET!$BE$2:$BE$72</definedName>
    <definedName name="year_list">TEHSHEET!$C$2:$C$6</definedName>
    <definedName name="year_list1">TEHSHEET!$B$2:$B$27</definedName>
  </definedNames>
  <calcPr calcId="162913" calcMode="manual"/>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O18" i="64"/>
  <c r="N18" i="64"/>
  <c r="O11" i="64"/>
  <c r="O10" i="64"/>
  <c r="O9" i="64"/>
  <c r="O8" i="64"/>
  <c r="L6" i="64"/>
  <c r="L101" i="63"/>
  <c r="K101" i="63"/>
  <c r="N101" i="63" s="1"/>
  <c r="J101" i="63"/>
  <c r="M101" i="63" s="1"/>
  <c r="I101" i="63"/>
  <c r="N100" i="63"/>
  <c r="M100" i="63"/>
  <c r="K100" i="63"/>
  <c r="J100" i="63"/>
  <c r="I100" i="63"/>
  <c r="L100" i="63" s="1"/>
  <c r="L99" i="63"/>
  <c r="K99" i="63"/>
  <c r="N99" i="63" s="1"/>
  <c r="J99" i="63"/>
  <c r="M99" i="63" s="1"/>
  <c r="I99" i="63"/>
  <c r="N98" i="63"/>
  <c r="M98" i="63"/>
  <c r="K98" i="63"/>
  <c r="J98" i="63"/>
  <c r="I98" i="63"/>
  <c r="L98" i="63" s="1"/>
  <c r="M97" i="63"/>
  <c r="L97" i="63"/>
  <c r="K97" i="63"/>
  <c r="N97" i="63" s="1"/>
  <c r="J97" i="63"/>
  <c r="I97" i="63"/>
  <c r="N96" i="63"/>
  <c r="K96" i="63"/>
  <c r="J96" i="63"/>
  <c r="M96" i="63" s="1"/>
  <c r="I96" i="63"/>
  <c r="L96" i="63" s="1"/>
  <c r="M95" i="63"/>
  <c r="L95" i="63"/>
  <c r="K95" i="63"/>
  <c r="N95" i="63" s="1"/>
  <c r="J95" i="63"/>
  <c r="I95" i="63"/>
  <c r="N94" i="63"/>
  <c r="M94" i="63"/>
  <c r="K94" i="63"/>
  <c r="J94" i="63"/>
  <c r="I94" i="63"/>
  <c r="L94" i="63" s="1"/>
  <c r="M93" i="63"/>
  <c r="L93" i="63"/>
  <c r="K93" i="63"/>
  <c r="N93" i="63" s="1"/>
  <c r="J93" i="63"/>
  <c r="I93" i="63"/>
  <c r="N92" i="63"/>
  <c r="K92" i="63"/>
  <c r="J92" i="63"/>
  <c r="M92" i="63" s="1"/>
  <c r="I92" i="63"/>
  <c r="L92" i="63" s="1"/>
  <c r="M91" i="63"/>
  <c r="L91" i="63"/>
  <c r="K91" i="63"/>
  <c r="N91" i="63" s="1"/>
  <c r="J91" i="63"/>
  <c r="I91" i="63"/>
  <c r="N90" i="63"/>
  <c r="M90" i="63"/>
  <c r="K90" i="63"/>
  <c r="J90" i="63"/>
  <c r="I90" i="63"/>
  <c r="L90" i="63" s="1"/>
  <c r="M89" i="63"/>
  <c r="L89" i="63"/>
  <c r="K89" i="63"/>
  <c r="N89" i="63" s="1"/>
  <c r="J89" i="63"/>
  <c r="I89" i="63"/>
  <c r="N88" i="63"/>
  <c r="K88" i="63"/>
  <c r="J88" i="63"/>
  <c r="M88" i="63" s="1"/>
  <c r="I88" i="63"/>
  <c r="L88" i="63" s="1"/>
  <c r="M87" i="63"/>
  <c r="L87" i="63"/>
  <c r="K87" i="63"/>
  <c r="N87" i="63" s="1"/>
  <c r="J87" i="63"/>
  <c r="I87" i="63"/>
  <c r="N86" i="63"/>
  <c r="M86" i="63"/>
  <c r="K86" i="63"/>
  <c r="J86" i="63"/>
  <c r="I86" i="63"/>
  <c r="L86" i="63" s="1"/>
  <c r="M85" i="63"/>
  <c r="L85" i="63"/>
  <c r="K85" i="63"/>
  <c r="N85" i="63" s="1"/>
  <c r="J85" i="63"/>
  <c r="I85" i="63"/>
  <c r="N84" i="63"/>
  <c r="K84" i="63"/>
  <c r="J84" i="63"/>
  <c r="M84" i="63" s="1"/>
  <c r="F107" i="33" s="1"/>
  <c r="I84" i="63"/>
  <c r="L84" i="63" s="1"/>
  <c r="M83" i="63"/>
  <c r="L83" i="63"/>
  <c r="K83" i="63"/>
  <c r="N83" i="63" s="1"/>
  <c r="J83" i="63"/>
  <c r="I83" i="63"/>
  <c r="N82" i="63"/>
  <c r="M82" i="63"/>
  <c r="K82" i="63"/>
  <c r="J82" i="63"/>
  <c r="I82" i="63"/>
  <c r="L82" i="63" s="1"/>
  <c r="M81" i="63"/>
  <c r="L81" i="63"/>
  <c r="K81" i="63"/>
  <c r="N81" i="63" s="1"/>
  <c r="J81" i="63"/>
  <c r="I81" i="63"/>
  <c r="N80" i="63"/>
  <c r="K80" i="63"/>
  <c r="J80" i="63"/>
  <c r="M80" i="63" s="1"/>
  <c r="I80" i="63"/>
  <c r="L80" i="63" s="1"/>
  <c r="M79" i="63"/>
  <c r="L79" i="63"/>
  <c r="K79" i="63"/>
  <c r="N79" i="63" s="1"/>
  <c r="J79" i="63"/>
  <c r="I79" i="63"/>
  <c r="N78" i="63"/>
  <c r="M78" i="63"/>
  <c r="K78" i="63"/>
  <c r="J78" i="63"/>
  <c r="I78" i="63"/>
  <c r="L78" i="63" s="1"/>
  <c r="M77" i="63"/>
  <c r="L77" i="63"/>
  <c r="K77" i="63"/>
  <c r="N77" i="63" s="1"/>
  <c r="J77" i="63"/>
  <c r="I77" i="63"/>
  <c r="N76" i="63"/>
  <c r="K76" i="63"/>
  <c r="J76" i="63"/>
  <c r="M76" i="63" s="1"/>
  <c r="I76" i="63"/>
  <c r="L76" i="63" s="1"/>
  <c r="M75" i="63"/>
  <c r="L75" i="63"/>
  <c r="K75" i="63"/>
  <c r="N75" i="63" s="1"/>
  <c r="J75" i="63"/>
  <c r="I75" i="63"/>
  <c r="N74" i="63"/>
  <c r="M74" i="63"/>
  <c r="K74" i="63"/>
  <c r="J74" i="63"/>
  <c r="I74" i="63"/>
  <c r="L74" i="63" s="1"/>
  <c r="M73" i="63"/>
  <c r="L73" i="63"/>
  <c r="K73" i="63"/>
  <c r="N73" i="63" s="1"/>
  <c r="J73" i="63"/>
  <c r="I73" i="63"/>
  <c r="N72" i="63"/>
  <c r="K72" i="63"/>
  <c r="J72" i="63"/>
  <c r="M72" i="63" s="1"/>
  <c r="I72" i="63"/>
  <c r="L72" i="63" s="1"/>
  <c r="M71" i="63"/>
  <c r="L71" i="63"/>
  <c r="K71" i="63"/>
  <c r="N71" i="63" s="1"/>
  <c r="J71" i="63"/>
  <c r="I71" i="63"/>
  <c r="N70" i="63"/>
  <c r="M70" i="63"/>
  <c r="K70" i="63"/>
  <c r="J70" i="63"/>
  <c r="I70" i="63"/>
  <c r="L70" i="63" s="1"/>
  <c r="M69" i="63"/>
  <c r="L69" i="63"/>
  <c r="K69" i="63"/>
  <c r="N69" i="63" s="1"/>
  <c r="J69" i="63"/>
  <c r="I69" i="63"/>
  <c r="N68" i="63"/>
  <c r="K68" i="63"/>
  <c r="J68" i="63"/>
  <c r="M68" i="63" s="1"/>
  <c r="I68" i="63"/>
  <c r="L68" i="63" s="1"/>
  <c r="M67" i="63"/>
  <c r="L67" i="63"/>
  <c r="K67" i="63"/>
  <c r="N67" i="63" s="1"/>
  <c r="J67" i="63"/>
  <c r="I67" i="63"/>
  <c r="N66" i="63"/>
  <c r="M66" i="63"/>
  <c r="K66" i="63"/>
  <c r="J66" i="63"/>
  <c r="I66" i="63"/>
  <c r="L66" i="63" s="1"/>
  <c r="M65" i="63"/>
  <c r="L65" i="63"/>
  <c r="K65" i="63"/>
  <c r="N65" i="63" s="1"/>
  <c r="J65" i="63"/>
  <c r="I65" i="63"/>
  <c r="N64" i="63"/>
  <c r="K64" i="63"/>
  <c r="J64" i="63"/>
  <c r="M64" i="63" s="1"/>
  <c r="I64" i="63"/>
  <c r="L64" i="63" s="1"/>
  <c r="M63" i="63"/>
  <c r="L63" i="63"/>
  <c r="K63" i="63"/>
  <c r="N63" i="63" s="1"/>
  <c r="J63" i="63"/>
  <c r="I63" i="63"/>
  <c r="N62" i="63"/>
  <c r="M62" i="63"/>
  <c r="K62" i="63"/>
  <c r="J62" i="63"/>
  <c r="I62" i="63"/>
  <c r="L62" i="63" s="1"/>
  <c r="M61" i="63"/>
  <c r="L61" i="63"/>
  <c r="K61" i="63"/>
  <c r="N61" i="63" s="1"/>
  <c r="J61" i="63"/>
  <c r="I61" i="63"/>
  <c r="N60" i="63"/>
  <c r="K60" i="63"/>
  <c r="J60" i="63"/>
  <c r="M60" i="63" s="1"/>
  <c r="I60" i="63"/>
  <c r="L60" i="63" s="1"/>
  <c r="M59" i="63"/>
  <c r="L59" i="63"/>
  <c r="K59" i="63"/>
  <c r="N59" i="63" s="1"/>
  <c r="J59" i="63"/>
  <c r="I59" i="63"/>
  <c r="T58" i="63"/>
  <c r="N58" i="63"/>
  <c r="L58" i="63"/>
  <c r="K58" i="63"/>
  <c r="J58" i="63"/>
  <c r="M58" i="63" s="1"/>
  <c r="I58" i="63"/>
  <c r="T57" i="63"/>
  <c r="K57" i="63"/>
  <c r="N57" i="63" s="1"/>
  <c r="J57" i="63"/>
  <c r="M57" i="63" s="1"/>
  <c r="I57" i="63"/>
  <c r="L57" i="63" s="1"/>
  <c r="T56" i="63"/>
  <c r="N56" i="63"/>
  <c r="M56" i="63"/>
  <c r="K56" i="63"/>
  <c r="J56" i="63"/>
  <c r="I56" i="63"/>
  <c r="L56" i="63" s="1"/>
  <c r="E77" i="33" s="1"/>
  <c r="T55" i="63"/>
  <c r="M55" i="63"/>
  <c r="L55" i="63"/>
  <c r="K55" i="63"/>
  <c r="N55" i="63" s="1"/>
  <c r="J55" i="63"/>
  <c r="I55" i="63"/>
  <c r="N54" i="63"/>
  <c r="M54" i="63"/>
  <c r="K54" i="63"/>
  <c r="J54" i="63"/>
  <c r="I54" i="63"/>
  <c r="L54" i="63" s="1"/>
  <c r="M53" i="63"/>
  <c r="K53" i="63"/>
  <c r="N53" i="63" s="1"/>
  <c r="J53" i="63"/>
  <c r="I53" i="63"/>
  <c r="L53" i="63" s="1"/>
  <c r="K52" i="63"/>
  <c r="N52" i="63" s="1"/>
  <c r="J52" i="63"/>
  <c r="M52" i="63" s="1"/>
  <c r="I52" i="63"/>
  <c r="L52" i="63" s="1"/>
  <c r="M51" i="63"/>
  <c r="L51" i="63"/>
  <c r="K51" i="63"/>
  <c r="N51" i="63" s="1"/>
  <c r="J51" i="63"/>
  <c r="I51" i="63"/>
  <c r="N50" i="63"/>
  <c r="M50" i="63"/>
  <c r="K50" i="63"/>
  <c r="J50" i="63"/>
  <c r="I50" i="63"/>
  <c r="L50" i="63" s="1"/>
  <c r="M49" i="63"/>
  <c r="K49" i="63"/>
  <c r="N49" i="63" s="1"/>
  <c r="J49" i="63"/>
  <c r="I49" i="63"/>
  <c r="L49" i="63" s="1"/>
  <c r="K48" i="63"/>
  <c r="N48" i="63" s="1"/>
  <c r="J48" i="63"/>
  <c r="M48" i="63" s="1"/>
  <c r="I48" i="63"/>
  <c r="L48" i="63" s="1"/>
  <c r="M47" i="63"/>
  <c r="L47" i="63"/>
  <c r="K47" i="63"/>
  <c r="N47" i="63" s="1"/>
  <c r="J47" i="63"/>
  <c r="I47" i="63"/>
  <c r="T46" i="63"/>
  <c r="N46" i="63"/>
  <c r="L46" i="63"/>
  <c r="K46" i="63"/>
  <c r="J46" i="63"/>
  <c r="M46" i="63" s="1"/>
  <c r="I46" i="63"/>
  <c r="N45" i="63"/>
  <c r="M45" i="63"/>
  <c r="L45" i="63"/>
  <c r="K45" i="63"/>
  <c r="J45" i="63"/>
  <c r="I45" i="63"/>
  <c r="N44" i="63"/>
  <c r="L44" i="63"/>
  <c r="K44" i="63"/>
  <c r="J44" i="63"/>
  <c r="M44" i="63" s="1"/>
  <c r="I44" i="63"/>
  <c r="N43" i="63"/>
  <c r="L43" i="63"/>
  <c r="K43" i="63"/>
  <c r="J43" i="63"/>
  <c r="M43" i="63" s="1"/>
  <c r="I43" i="63"/>
  <c r="L42" i="63"/>
  <c r="K42" i="63"/>
  <c r="N42" i="63" s="1"/>
  <c r="J42" i="63"/>
  <c r="M42" i="63" s="1"/>
  <c r="I42" i="63"/>
  <c r="N41" i="63"/>
  <c r="M41" i="63"/>
  <c r="K41" i="63"/>
  <c r="J41" i="63"/>
  <c r="I41" i="63"/>
  <c r="L41" i="63" s="1"/>
  <c r="L40" i="63"/>
  <c r="K40" i="63"/>
  <c r="N40" i="63" s="1"/>
  <c r="J40" i="63"/>
  <c r="M40" i="63" s="1"/>
  <c r="I40" i="63"/>
  <c r="N39" i="63"/>
  <c r="M39" i="63"/>
  <c r="L39" i="63"/>
  <c r="K39" i="63"/>
  <c r="J39" i="63"/>
  <c r="I39" i="63"/>
  <c r="N38" i="63"/>
  <c r="L38" i="63"/>
  <c r="K38" i="63"/>
  <c r="J38" i="63"/>
  <c r="M38" i="63" s="1"/>
  <c r="I38" i="63"/>
  <c r="N37" i="63"/>
  <c r="M37" i="63"/>
  <c r="L37" i="63"/>
  <c r="K37" i="63"/>
  <c r="J37" i="63"/>
  <c r="I37" i="63"/>
  <c r="N36" i="63"/>
  <c r="L36" i="63"/>
  <c r="K36" i="63"/>
  <c r="J36" i="63"/>
  <c r="M36" i="63" s="1"/>
  <c r="I36" i="63"/>
  <c r="T35" i="63"/>
  <c r="K35" i="63"/>
  <c r="N35" i="63" s="1"/>
  <c r="J35" i="63"/>
  <c r="M35" i="63" s="1"/>
  <c r="I35" i="63"/>
  <c r="L35" i="63" s="1"/>
  <c r="M34" i="63"/>
  <c r="L34" i="63"/>
  <c r="K34" i="63"/>
  <c r="N34" i="63" s="1"/>
  <c r="J34" i="63"/>
  <c r="I34" i="63"/>
  <c r="T33" i="63"/>
  <c r="N33" i="63"/>
  <c r="L33" i="63"/>
  <c r="K33" i="63"/>
  <c r="J33" i="63"/>
  <c r="M33" i="63" s="1"/>
  <c r="I33" i="63"/>
  <c r="T32" i="63"/>
  <c r="M32" i="63"/>
  <c r="K32" i="63"/>
  <c r="N32" i="63" s="1"/>
  <c r="J32" i="63"/>
  <c r="I32" i="63"/>
  <c r="L32" i="63" s="1"/>
  <c r="M31" i="63"/>
  <c r="L31" i="63"/>
  <c r="K31" i="63"/>
  <c r="N31" i="63" s="1"/>
  <c r="J31" i="63"/>
  <c r="I31" i="63"/>
  <c r="N30" i="63"/>
  <c r="K30" i="63"/>
  <c r="J30" i="63"/>
  <c r="M30" i="63" s="1"/>
  <c r="I30" i="63"/>
  <c r="L30" i="63" s="1"/>
  <c r="T29" i="63"/>
  <c r="N29" i="63"/>
  <c r="M29" i="63"/>
  <c r="L29" i="63"/>
  <c r="K29" i="63"/>
  <c r="J29" i="63"/>
  <c r="I29" i="63"/>
  <c r="N28" i="63"/>
  <c r="L28" i="63"/>
  <c r="K28" i="63"/>
  <c r="J28" i="63"/>
  <c r="M28" i="63" s="1"/>
  <c r="I28" i="63"/>
  <c r="N27" i="63"/>
  <c r="M27" i="63"/>
  <c r="L27" i="63"/>
  <c r="K27" i="63"/>
  <c r="J27" i="63"/>
  <c r="I27" i="63"/>
  <c r="T26" i="63"/>
  <c r="M26" i="63"/>
  <c r="K26" i="63"/>
  <c r="N26" i="63" s="1"/>
  <c r="J26" i="63"/>
  <c r="I26" i="63"/>
  <c r="L26" i="63" s="1"/>
  <c r="K25" i="63"/>
  <c r="N25" i="63" s="1"/>
  <c r="J25" i="63"/>
  <c r="M25" i="63" s="1"/>
  <c r="I25" i="63"/>
  <c r="L25" i="63" s="1"/>
  <c r="M24" i="63"/>
  <c r="L24" i="63"/>
  <c r="K24" i="63"/>
  <c r="N24" i="63" s="1"/>
  <c r="J24" i="63"/>
  <c r="I24" i="63"/>
  <c r="N23" i="63"/>
  <c r="M23" i="63"/>
  <c r="K23" i="63"/>
  <c r="J23" i="63"/>
  <c r="I23" i="63"/>
  <c r="L23" i="63" s="1"/>
  <c r="M22" i="63"/>
  <c r="K22" i="63"/>
  <c r="N22" i="63" s="1"/>
  <c r="J22" i="63"/>
  <c r="I22" i="63"/>
  <c r="L22" i="63" s="1"/>
  <c r="K21" i="63"/>
  <c r="N21" i="63" s="1"/>
  <c r="J21" i="63"/>
  <c r="M21" i="63" s="1"/>
  <c r="I21" i="63"/>
  <c r="L21" i="63" s="1"/>
  <c r="M20" i="63"/>
  <c r="L20" i="63"/>
  <c r="K20" i="63"/>
  <c r="N20" i="63" s="1"/>
  <c r="J20" i="63"/>
  <c r="I20" i="63"/>
  <c r="N19" i="63"/>
  <c r="M19" i="63"/>
  <c r="K19" i="63"/>
  <c r="J19" i="63"/>
  <c r="I19" i="63"/>
  <c r="L19" i="63" s="1"/>
  <c r="M18" i="63"/>
  <c r="K18" i="63"/>
  <c r="N18" i="63" s="1"/>
  <c r="J18" i="63"/>
  <c r="I18" i="63"/>
  <c r="L18" i="63" s="1"/>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7" i="61"/>
  <c r="D48" i="61" s="1"/>
  <c r="I29" i="61"/>
  <c r="I23" i="61"/>
  <c r="O19" i="61"/>
  <c r="M19" i="61" a="1"/>
  <c r="M19" i="61" s="1"/>
  <c r="F19" i="61"/>
  <c r="O14" i="61"/>
  <c r="M14" i="61" a="1"/>
  <c r="M14" i="61" s="1"/>
  <c r="F14" i="61"/>
  <c r="E14" i="61"/>
  <c r="G13" i="61"/>
  <c r="E13" i="61"/>
  <c r="F13" i="56"/>
  <c r="E7" i="56"/>
  <c r="F2" i="56"/>
  <c r="P10" i="55" a="1"/>
  <c r="P10" i="55" s="1"/>
  <c r="F10" i="55"/>
  <c r="K8" i="55"/>
  <c r="L10" i="55" s="1"/>
  <c r="R10" i="55" s="1"/>
  <c r="R2" i="55"/>
  <c r="P2" i="55" a="1"/>
  <c r="P2" i="55" s="1"/>
  <c r="P10" i="54" a="1"/>
  <c r="P10" i="54"/>
  <c r="F10" i="54"/>
  <c r="K8" i="54"/>
  <c r="J8" i="54"/>
  <c r="G8" i="54"/>
  <c r="F8" i="54"/>
  <c r="L10" i="54" s="1"/>
  <c r="R10" i="54" s="1"/>
  <c r="E5" i="54"/>
  <c r="R2" i="54"/>
  <c r="P2" i="54" a="1"/>
  <c r="P2" i="54" s="1"/>
  <c r="P9" i="53"/>
  <c r="N9" i="53" a="1"/>
  <c r="N9" i="53" s="1"/>
  <c r="J9" i="53"/>
  <c r="E5" i="53"/>
  <c r="P2" i="53"/>
  <c r="N2" i="53" a="1"/>
  <c r="N2" i="53" s="1"/>
  <c r="G24" i="52"/>
  <c r="E24" i="52"/>
  <c r="G12" i="52"/>
  <c r="F12" i="52"/>
  <c r="F2" i="55" s="1"/>
  <c r="E12" i="52"/>
  <c r="D6" i="52"/>
  <c r="D5" i="52"/>
  <c r="BA115" i="51"/>
  <c r="BA114" i="51"/>
  <c r="BA113" i="51"/>
  <c r="BA102" i="51"/>
  <c r="BA100" i="51"/>
  <c r="BA99" i="51"/>
  <c r="I53" i="51"/>
  <c r="H53" i="51"/>
  <c r="I52" i="51"/>
  <c r="H52" i="51"/>
  <c r="I51" i="51"/>
  <c r="H51" i="51"/>
  <c r="I50" i="51"/>
  <c r="J49" i="51"/>
  <c r="I49" i="51"/>
  <c r="H49" i="51"/>
  <c r="I48" i="51"/>
  <c r="H48" i="51"/>
  <c r="G48" i="51"/>
  <c r="I47" i="51"/>
  <c r="G47" i="51"/>
  <c r="E32" i="51" s="1"/>
  <c r="I46" i="51"/>
  <c r="H46" i="51"/>
  <c r="K45" i="51"/>
  <c r="I45" i="51"/>
  <c r="G44" i="51"/>
  <c r="G36" i="51"/>
  <c r="E4" i="62" s="1"/>
  <c r="C4" i="62" s="1"/>
  <c r="F36" i="51"/>
  <c r="J51" i="51" s="1"/>
  <c r="E29" i="51"/>
  <c r="L5" i="51"/>
  <c r="L4" i="51"/>
  <c r="L3" i="51"/>
  <c r="L6" i="51" s="1"/>
  <c r="I14" i="50"/>
  <c r="G14" i="50"/>
  <c r="I11" i="50"/>
  <c r="G11" i="50"/>
  <c r="I10" i="50"/>
  <c r="G10" i="50"/>
  <c r="I9" i="50"/>
  <c r="G9" i="50"/>
  <c r="D6" i="50"/>
  <c r="E13" i="49"/>
  <c r="H12" i="49"/>
  <c r="E12" i="49"/>
  <c r="E11" i="49"/>
  <c r="E10" i="49"/>
  <c r="D6" i="49"/>
  <c r="F269" i="48"/>
  <c r="M209" i="48"/>
  <c r="F208" i="48"/>
  <c r="F147" i="48"/>
  <c r="M87" i="48"/>
  <c r="F84" i="48"/>
  <c r="F23" i="48"/>
  <c r="G17" i="48"/>
  <c r="F17" i="48"/>
  <c r="G16" i="48"/>
  <c r="F16" i="48"/>
  <c r="N7" i="48"/>
  <c r="N4" i="48"/>
  <c r="N1" i="48"/>
  <c r="E42" i="47"/>
  <c r="E38" i="47"/>
  <c r="E32" i="47"/>
  <c r="E31" i="47"/>
  <c r="E28" i="47"/>
  <c r="E24" i="47"/>
  <c r="D15" i="47"/>
  <c r="E16" i="46"/>
  <c r="G14" i="46"/>
  <c r="E13" i="46"/>
  <c r="D6" i="46"/>
  <c r="F6" i="44"/>
  <c r="H57" i="43"/>
  <c r="H56" i="43"/>
  <c r="H55" i="43"/>
  <c r="I54" i="43"/>
  <c r="H54" i="43"/>
  <c r="H53" i="43"/>
  <c r="H52" i="43"/>
  <c r="H51" i="43"/>
  <c r="H50" i="43"/>
  <c r="I49" i="43"/>
  <c r="H49" i="43"/>
  <c r="I48" i="43"/>
  <c r="H48" i="43"/>
  <c r="H47" i="43"/>
  <c r="H46" i="43"/>
  <c r="H45" i="43"/>
  <c r="I44" i="43"/>
  <c r="H44" i="43" s="1"/>
  <c r="H43" i="43"/>
  <c r="H42" i="43"/>
  <c r="H41" i="43"/>
  <c r="H40" i="43"/>
  <c r="I39" i="43"/>
  <c r="H39" i="43" s="1"/>
  <c r="H35" i="43"/>
  <c r="H34" i="43"/>
  <c r="H33" i="43"/>
  <c r="I32" i="43"/>
  <c r="H32" i="43" s="1"/>
  <c r="H31" i="43"/>
  <c r="H30" i="43"/>
  <c r="H29" i="43"/>
  <c r="I28" i="43"/>
  <c r="H28" i="43" s="1"/>
  <c r="H27" i="43"/>
  <c r="H26" i="43"/>
  <c r="H25" i="43"/>
  <c r="H24" i="43"/>
  <c r="H23" i="43"/>
  <c r="H22" i="43"/>
  <c r="H21" i="43"/>
  <c r="H20" i="43"/>
  <c r="H19" i="43"/>
  <c r="H18" i="43"/>
  <c r="H17" i="43"/>
  <c r="H16" i="43"/>
  <c r="I15" i="43"/>
  <c r="I36" i="43" s="1"/>
  <c r="H36" i="43" s="1"/>
  <c r="H15" i="43"/>
  <c r="H11" i="43"/>
  <c r="F6" i="43"/>
  <c r="F6" i="42"/>
  <c r="H15" i="41"/>
  <c r="F6" i="41"/>
  <c r="I28" i="40"/>
  <c r="G28" i="40"/>
  <c r="I27" i="40"/>
  <c r="G27" i="40"/>
  <c r="I26" i="40"/>
  <c r="G26" i="40"/>
  <c r="D23" i="40"/>
  <c r="D22" i="40"/>
  <c r="D14" i="40"/>
  <c r="D13" i="40"/>
  <c r="D11" i="40"/>
  <c r="D10" i="40"/>
  <c r="D9" i="40"/>
  <c r="D7" i="40"/>
  <c r="D6" i="40"/>
  <c r="D4" i="40"/>
  <c r="D3" i="40"/>
  <c r="J12" i="39"/>
  <c r="I12" i="39"/>
  <c r="H12" i="39"/>
  <c r="G12" i="39"/>
  <c r="I9" i="39"/>
  <c r="G9" i="39"/>
  <c r="I8" i="39"/>
  <c r="G8" i="39"/>
  <c r="I7" i="39"/>
  <c r="G7" i="39"/>
  <c r="D4" i="39"/>
  <c r="D3" i="39"/>
  <c r="E28" i="38"/>
  <c r="I27" i="38"/>
  <c r="I16" i="38" s="1"/>
  <c r="H27" i="38"/>
  <c r="H16" i="38" s="1"/>
  <c r="I12" i="38"/>
  <c r="H12" i="38"/>
  <c r="I11" i="38"/>
  <c r="H11" i="38"/>
  <c r="I10" i="38"/>
  <c r="H10" i="38"/>
  <c r="E7" i="38"/>
  <c r="E33" i="37"/>
  <c r="I32" i="37"/>
  <c r="I16" i="37" s="1"/>
  <c r="H32" i="37"/>
  <c r="H16" i="37" s="1"/>
  <c r="I12" i="37"/>
  <c r="H12" i="37"/>
  <c r="I11" i="37"/>
  <c r="H11" i="37"/>
  <c r="I10" i="37"/>
  <c r="H10" i="37"/>
  <c r="E7" i="37"/>
  <c r="I6" i="36"/>
  <c r="F2" i="36"/>
  <c r="E2" i="36"/>
  <c r="M12" i="35"/>
  <c r="L12" i="35"/>
  <c r="M11" i="35"/>
  <c r="L11" i="35"/>
  <c r="M10" i="35"/>
  <c r="L10" i="35"/>
  <c r="I7" i="35"/>
  <c r="L3" i="35"/>
  <c r="F2" i="35"/>
  <c r="E2" i="35"/>
  <c r="V20" i="34"/>
  <c r="Q20" i="34"/>
  <c r="V17" i="34"/>
  <c r="Q17" i="34"/>
  <c r="H16" i="34"/>
  <c r="H15" i="34"/>
  <c r="H14"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J76" i="33"/>
  <c r="F76" i="33"/>
  <c r="E76" i="33"/>
  <c r="J75" i="33"/>
  <c r="F75" i="33"/>
  <c r="E75" i="33"/>
  <c r="J74" i="33"/>
  <c r="F74" i="33"/>
  <c r="E74" i="33"/>
  <c r="J73" i="33"/>
  <c r="F73" i="33"/>
  <c r="E73" i="33"/>
  <c r="J72" i="33"/>
  <c r="F72" i="33"/>
  <c r="E72" i="33"/>
  <c r="E70" i="33"/>
  <c r="K70" i="33" s="1"/>
  <c r="J69" i="33"/>
  <c r="I69" i="33"/>
  <c r="H69" i="33"/>
  <c r="F69" i="33"/>
  <c r="E69" i="33"/>
  <c r="K69" i="33" s="1"/>
  <c r="K68" i="33"/>
  <c r="J68" i="33"/>
  <c r="L68" i="33" s="1"/>
  <c r="F68" i="33"/>
  <c r="E68" i="33"/>
  <c r="K67" i="33"/>
  <c r="J67" i="33"/>
  <c r="F67" i="33"/>
  <c r="E67" i="33"/>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I31" i="33" s="1"/>
  <c r="I136" i="33" s="1"/>
  <c r="J42" i="33"/>
  <c r="F42" i="33"/>
  <c r="E42" i="33"/>
  <c r="K42" i="33" s="1"/>
  <c r="J41" i="33"/>
  <c r="F41" i="33"/>
  <c r="E41" i="33"/>
  <c r="K41" i="33" s="1"/>
  <c r="K40" i="33"/>
  <c r="K39" i="33"/>
  <c r="K38" i="33"/>
  <c r="K37" i="33"/>
  <c r="K36" i="33"/>
  <c r="K35" i="33"/>
  <c r="K34" i="33"/>
  <c r="B34" i="33"/>
  <c r="K33" i="33"/>
  <c r="J33" i="33"/>
  <c r="I33" i="33"/>
  <c r="H33" i="33"/>
  <c r="F33" i="33"/>
  <c r="E33" i="33"/>
  <c r="K32" i="33"/>
  <c r="J32" i="33"/>
  <c r="F32" i="33"/>
  <c r="E32" i="33"/>
  <c r="J31" i="33"/>
  <c r="F31" i="33"/>
  <c r="E31" i="33"/>
  <c r="J30" i="33"/>
  <c r="F30" i="33"/>
  <c r="E30" i="33"/>
  <c r="I27" i="33"/>
  <c r="H27" i="33"/>
  <c r="I26" i="33"/>
  <c r="H26" i="33"/>
  <c r="I25"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Y45" i="32"/>
  <c r="BA45" i="32" s="1"/>
  <c r="BB45" i="32" s="1"/>
  <c r="BC45" i="32" s="1"/>
  <c r="AX45" i="32"/>
  <c r="AW45" i="32"/>
  <c r="AC45" i="32"/>
  <c r="AD45" i="32" s="1"/>
  <c r="X45" i="32"/>
  <c r="Y45" i="32" s="1"/>
  <c r="Z45" i="32" s="1"/>
  <c r="AA45" i="32" s="1"/>
  <c r="U45" i="32"/>
  <c r="V45" i="32" s="1"/>
  <c r="W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Q41" i="31"/>
  <c r="AR41" i="31" s="1"/>
  <c r="AS41" i="31" s="1"/>
  <c r="AM41" i="31"/>
  <c r="AN41" i="31" s="1"/>
  <c r="AO41" i="31" s="1"/>
  <c r="AB41" i="31"/>
  <c r="AC41" i="31" s="1"/>
  <c r="AD41" i="31" s="1"/>
  <c r="AF41" i="31" s="1"/>
  <c r="AG41" i="31" s="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S5" i="31"/>
  <c r="AV4" i="31"/>
  <c r="AG4" i="31"/>
  <c r="S4" i="31"/>
  <c r="I5" i="31" s="1"/>
  <c r="J6" i="31" s="1"/>
  <c r="AV3" i="31"/>
  <c r="AG3" i="31"/>
  <c r="S3" i="31"/>
  <c r="AV2" i="31"/>
  <c r="AS2" i="31"/>
  <c r="AG2" i="31"/>
  <c r="S2" i="31"/>
  <c r="AV54" i="30"/>
  <c r="AV53" i="30"/>
  <c r="AV52" i="30"/>
  <c r="AV51" i="30"/>
  <c r="AV50" i="30"/>
  <c r="AV49" i="30"/>
  <c r="AV48" i="30"/>
  <c r="AV47" i="30"/>
  <c r="AS47" i="30"/>
  <c r="AV46" i="30"/>
  <c r="AV45" i="30"/>
  <c r="AV44" i="30"/>
  <c r="AV43" i="30"/>
  <c r="AV42" i="30"/>
  <c r="AS42" i="30"/>
  <c r="AS41" i="30"/>
  <c r="AN41" i="30"/>
  <c r="AO41" i="30" s="1"/>
  <c r="AQ41" i="30" s="1"/>
  <c r="AR41" i="30" s="1"/>
  <c r="AM41" i="30"/>
  <c r="AD41" i="30"/>
  <c r="AF41" i="30" s="1"/>
  <c r="AG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S7" i="30"/>
  <c r="K7" i="30"/>
  <c r="S7" i="30" s="1"/>
  <c r="AV6" i="30"/>
  <c r="AV5" i="30"/>
  <c r="S5" i="30"/>
  <c r="AV4" i="30"/>
  <c r="AG4" i="30"/>
  <c r="S4" i="30"/>
  <c r="I5" i="30" s="1"/>
  <c r="J6" i="30" s="1"/>
  <c r="S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W45" i="29"/>
  <c r="X45" i="29" s="1"/>
  <c r="Y45" i="29" s="1"/>
  <c r="Z45" i="29" s="1"/>
  <c r="AA45" i="29" s="1"/>
  <c r="AC45" i="29" s="1"/>
  <c r="AD45" i="29" s="1"/>
  <c r="V45" i="29"/>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AC40" i="28"/>
  <c r="AD40" i="28" s="1"/>
  <c r="AE40" i="28" s="1"/>
  <c r="AF40" i="28" s="1"/>
  <c r="AG40" i="28" s="1"/>
  <c r="AI40" i="28" s="1"/>
  <c r="AJ40" i="28" s="1"/>
  <c r="AK40" i="28" s="1"/>
  <c r="X40" i="28"/>
  <c r="Y40" i="28" s="1"/>
  <c r="Z40" i="28" s="1"/>
  <c r="AB40" i="28" s="1"/>
  <c r="W40" i="28"/>
  <c r="V40" i="28"/>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S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Y45" i="26"/>
  <c r="BA45" i="26" s="1"/>
  <c r="BB45" i="26" s="1"/>
  <c r="BC45" i="26" s="1"/>
  <c r="AW45" i="26"/>
  <c r="AX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G41" i="25"/>
  <c r="AI41" i="25" s="1"/>
  <c r="AJ41" i="25" s="1"/>
  <c r="AK41" i="25" s="1"/>
  <c r="AE41" i="25"/>
  <c r="AF41" i="25" s="1"/>
  <c r="AD41" i="25"/>
  <c r="V41" i="25"/>
  <c r="W41" i="25" s="1"/>
  <c r="X41" i="25" s="1"/>
  <c r="Y41" i="25" s="1"/>
  <c r="AA41" i="25" s="1"/>
  <c r="U41" i="25"/>
  <c r="V39" i="25"/>
  <c r="V33" i="25"/>
  <c r="V32" i="25"/>
  <c r="V30" i="25"/>
  <c r="V29" i="25"/>
  <c r="V28" i="25"/>
  <c r="V27" i="25"/>
  <c r="S25" i="25"/>
  <c r="S24" i="25"/>
  <c r="AN14" i="25"/>
  <c r="AN13" i="25"/>
  <c r="AN12" i="25"/>
  <c r="AN11" i="25"/>
  <c r="AN10" i="25"/>
  <c r="AN9" i="25"/>
  <c r="AN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Z40" i="24"/>
  <c r="AB40" i="24" s="1"/>
  <c r="AC40" i="24" s="1"/>
  <c r="AD40" i="24" s="1"/>
  <c r="AE40" i="24" s="1"/>
  <c r="AF40" i="24" s="1"/>
  <c r="AG40" i="24" s="1"/>
  <c r="AI40" i="24" s="1"/>
  <c r="AJ40" i="24" s="1"/>
  <c r="AK40" i="24" s="1"/>
  <c r="V40" i="24"/>
  <c r="W40" i="24" s="1"/>
  <c r="X40" i="24" s="1"/>
  <c r="Y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S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S5" i="22"/>
  <c r="AN4" i="22"/>
  <c r="AC4" i="22"/>
  <c r="S4" i="22"/>
  <c r="I5" i="22" s="1"/>
  <c r="J6"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Y40" i="21"/>
  <c r="Z40" i="21" s="1"/>
  <c r="AB40" i="21" s="1"/>
  <c r="AC40" i="21" s="1"/>
  <c r="AD40" i="21" s="1"/>
  <c r="AE40" i="21" s="1"/>
  <c r="AF40" i="21" s="1"/>
  <c r="AG40" i="21" s="1"/>
  <c r="AI40" i="21" s="1"/>
  <c r="AJ40" i="21" s="1"/>
  <c r="AK40" i="21" s="1"/>
  <c r="U40" i="21"/>
  <c r="V40" i="21" s="1"/>
  <c r="W40" i="21" s="1"/>
  <c r="X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Q44" i="20"/>
  <c r="AS44" i="20" s="1"/>
  <c r="AT44" i="20" s="1"/>
  <c r="AU44" i="20" s="1"/>
  <c r="AN44" i="20"/>
  <c r="AO44" i="20" s="1"/>
  <c r="AP44" i="20" s="1"/>
  <c r="W44" i="20"/>
  <c r="X44" i="20" s="1"/>
  <c r="Y44" i="20" s="1"/>
  <c r="AA44" i="20" s="1"/>
  <c r="AB44" i="20" s="1"/>
  <c r="U44" i="20"/>
  <c r="V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L48" i="19"/>
  <c r="AM48" i="19" s="1"/>
  <c r="AO48" i="19" s="1"/>
  <c r="AP48" i="19" s="1"/>
  <c r="AQ48" i="19" s="1"/>
  <c r="AJ48" i="19"/>
  <c r="AK48" i="19" s="1"/>
  <c r="AB48" i="19"/>
  <c r="AC48" i="19" s="1"/>
  <c r="AD48" i="19" s="1"/>
  <c r="AF48" i="19" s="1"/>
  <c r="AG48" i="19" s="1"/>
  <c r="AA48" i="19"/>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X42" i="18"/>
  <c r="Y42" i="18" s="1"/>
  <c r="Z42" i="18" s="1"/>
  <c r="AA42" i="18" s="1"/>
  <c r="AC42" i="18" s="1"/>
  <c r="AD42" i="18" s="1"/>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G42" i="17"/>
  <c r="AH42" i="17" s="1"/>
  <c r="AI42" i="17" s="1"/>
  <c r="AK42" i="17" s="1"/>
  <c r="AL42" i="17" s="1"/>
  <c r="AM42" i="17" s="1"/>
  <c r="AF42" i="17"/>
  <c r="Z42" i="17"/>
  <c r="AA42" i="17" s="1"/>
  <c r="AC42" i="17" s="1"/>
  <c r="AD42" i="17" s="1"/>
  <c r="X42" i="17"/>
  <c r="Y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S46" i="16"/>
  <c r="I47" i="16" s="1"/>
  <c r="AP45" i="16"/>
  <c r="AP44" i="16"/>
  <c r="AP43" i="16"/>
  <c r="AM43" i="16"/>
  <c r="AG42" i="16"/>
  <c r="AH42" i="16" s="1"/>
  <c r="AI42" i="16" s="1"/>
  <c r="AK42" i="16" s="1"/>
  <c r="AL42" i="16" s="1"/>
  <c r="AM42" i="16" s="1"/>
  <c r="AF42" i="16"/>
  <c r="AA42" i="16"/>
  <c r="AC42" i="16" s="1"/>
  <c r="AD42" i="16" s="1"/>
  <c r="Z42" i="16"/>
  <c r="Y42" i="16"/>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D46" i="15"/>
  <c r="AP45" i="15"/>
  <c r="S45" i="15"/>
  <c r="AP44" i="15"/>
  <c r="AP43" i="15"/>
  <c r="AM43" i="15"/>
  <c r="AH42" i="15"/>
  <c r="AI42" i="15" s="1"/>
  <c r="AK42" i="15" s="1"/>
  <c r="AL42" i="15" s="1"/>
  <c r="AM42" i="15" s="1"/>
  <c r="AG42" i="15"/>
  <c r="AF42" i="15"/>
  <c r="X42" i="15"/>
  <c r="Y42" i="15" s="1"/>
  <c r="Z42" i="15" s="1"/>
  <c r="AA42" i="15" s="1"/>
  <c r="AC42" i="15" s="1"/>
  <c r="AD42" i="15" s="1"/>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D44" i="14"/>
  <c r="AP43" i="14"/>
  <c r="AM43" i="14"/>
  <c r="AD43" i="14"/>
  <c r="AF42" i="14"/>
  <c r="AG42" i="14" s="1"/>
  <c r="AH42" i="14" s="1"/>
  <c r="AI42" i="14" s="1"/>
  <c r="AK42" i="14" s="1"/>
  <c r="AL42" i="14" s="1"/>
  <c r="AM42" i="14" s="1"/>
  <c r="Z42" i="14"/>
  <c r="AA42" i="14" s="1"/>
  <c r="AC42" i="14" s="1"/>
  <c r="AD42" i="14" s="1"/>
  <c r="Y42" i="14"/>
  <c r="X42" i="14"/>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S44" i="13"/>
  <c r="AP43" i="13"/>
  <c r="AM43" i="13"/>
  <c r="S43" i="13"/>
  <c r="AH42" i="13"/>
  <c r="AI42" i="13" s="1"/>
  <c r="AK42" i="13" s="1"/>
  <c r="AL42" i="13" s="1"/>
  <c r="AM42" i="13" s="1"/>
  <c r="AG42" i="13"/>
  <c r="AF42" i="13"/>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I47" i="12"/>
  <c r="J48" i="12" s="1"/>
  <c r="AP46" i="12"/>
  <c r="S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D46" i="11"/>
  <c r="AP45" i="11"/>
  <c r="AP44" i="11"/>
  <c r="S44" i="11"/>
  <c r="AP43" i="11"/>
  <c r="AM43" i="11"/>
  <c r="S43" i="11"/>
  <c r="AH42" i="11"/>
  <c r="AI42" i="11" s="1"/>
  <c r="AK42" i="11" s="1"/>
  <c r="AL42" i="11" s="1"/>
  <c r="AM42" i="11" s="1"/>
  <c r="AG42" i="11"/>
  <c r="AF42" i="1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J7" i="11" s="1"/>
  <c r="AP5" i="11"/>
  <c r="AD5" i="11"/>
  <c r="S5" i="1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D35" i="7"/>
  <c r="G34" i="7"/>
  <c r="E34" i="7"/>
  <c r="D34" i="7"/>
  <c r="E33" i="7"/>
  <c r="D33" i="7"/>
  <c r="D36"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J45"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S44" i="21" s="1"/>
  <c r="AO79" i="5"/>
  <c r="S42" i="21" s="1"/>
  <c r="AN79" i="5"/>
  <c r="S41" i="21" s="1"/>
  <c r="AM79" i="5"/>
  <c r="AL79" i="5"/>
  <c r="AC43" i="21" s="1"/>
  <c r="AK79" i="5"/>
  <c r="AC42" i="21" s="1"/>
  <c r="AJ79" i="5"/>
  <c r="AI79" i="5"/>
  <c r="AH79" i="5"/>
  <c r="AQ63" i="5"/>
  <c r="S46" i="13" s="1"/>
  <c r="I47" i="13" s="1"/>
  <c r="AP63" i="5"/>
  <c r="S45" i="14" s="1"/>
  <c r="AO63" i="5"/>
  <c r="S44" i="14" s="1"/>
  <c r="AN63" i="5"/>
  <c r="S43" i="14" s="1"/>
  <c r="AM63" i="5"/>
  <c r="AD46" i="14" s="1"/>
  <c r="AL63" i="5"/>
  <c r="AD45" i="14"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B45" i="20" s="1"/>
  <c r="AI53" i="5"/>
  <c r="AH53" i="5"/>
  <c r="AQ48" i="5"/>
  <c r="S46" i="15" s="1"/>
  <c r="I47" i="15" s="1"/>
  <c r="AP48" i="5"/>
  <c r="AO48" i="5"/>
  <c r="S44" i="15" s="1"/>
  <c r="AN48" i="5"/>
  <c r="S43" i="15" s="1"/>
  <c r="AM48" i="5"/>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D43" i="17" s="1"/>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AP18" i="5"/>
  <c r="S45" i="12" s="1"/>
  <c r="AO18" i="5"/>
  <c r="S44" i="12" s="1"/>
  <c r="AN18" i="5"/>
  <c r="S43" i="12" s="1"/>
  <c r="AM18" i="5"/>
  <c r="AD46" i="12" s="1"/>
  <c r="AL18" i="5"/>
  <c r="AD45" i="12" s="1"/>
  <c r="AK18" i="5"/>
  <c r="AD44" i="12" s="1"/>
  <c r="AJ18" i="5"/>
  <c r="AD43" i="12" s="1"/>
  <c r="AI18" i="5"/>
  <c r="AH18" i="5"/>
  <c r="AQ13" i="5"/>
  <c r="S46" i="11" s="1"/>
  <c r="I47" i="11" s="1"/>
  <c r="AP13" i="5"/>
  <c r="S45" i="11" s="1"/>
  <c r="AO13" i="5"/>
  <c r="AN13" i="5"/>
  <c r="AM13" i="5"/>
  <c r="AL13" i="5"/>
  <c r="AD45" i="11" s="1"/>
  <c r="AK13" i="5"/>
  <c r="AD44" i="11" s="1"/>
  <c r="AJ13" i="5"/>
  <c r="AI13" i="5"/>
  <c r="AH13" i="5"/>
  <c r="D6" i="5"/>
  <c r="D5" i="5"/>
  <c r="M10" i="54"/>
  <c r="Y25" i="64"/>
  <c r="M2" i="55"/>
  <c r="AL46" i="27"/>
  <c r="M10" i="55"/>
  <c r="M2" i="54"/>
  <c r="AT47" i="31"/>
  <c r="AT7" i="30"/>
  <c r="AL48" i="25"/>
  <c r="AL46" i="22"/>
  <c r="AL7" i="21"/>
  <c r="AV51" i="20"/>
  <c r="AN49" i="18"/>
  <c r="AN49" i="17"/>
  <c r="AL7" i="28"/>
  <c r="AL8" i="25"/>
  <c r="AL7" i="24"/>
  <c r="AL46" i="21"/>
  <c r="AR8" i="19"/>
  <c r="AN8" i="18"/>
  <c r="AT7" i="31"/>
  <c r="AL46" i="28"/>
  <c r="AL7" i="27"/>
  <c r="AL46" i="24"/>
  <c r="AL7" i="23"/>
  <c r="AV8" i="20"/>
  <c r="AN8" i="11"/>
  <c r="AL46" i="23"/>
  <c r="AL7" i="22"/>
  <c r="AR55" i="19"/>
  <c r="AN49" i="16"/>
  <c r="AN49" i="15"/>
  <c r="AN8" i="14"/>
  <c r="AN49" i="13"/>
  <c r="AN8" i="12"/>
  <c r="AN49" i="11"/>
  <c r="AT47" i="30"/>
  <c r="AR56" i="19"/>
  <c r="AN8" i="17"/>
  <c r="AN8" i="16"/>
  <c r="AN8" i="15"/>
  <c r="AN49" i="14"/>
  <c r="AN8" i="13"/>
  <c r="AN49" i="12"/>
  <c r="J48" i="17" l="1"/>
  <c r="I47" i="17"/>
  <c r="S6" i="12"/>
  <c r="J7" i="12"/>
  <c r="J45" i="24"/>
  <c r="S44" i="24"/>
  <c r="J46" i="30"/>
  <c r="S45" i="30"/>
  <c r="K8" i="11"/>
  <c r="S8" i="11" s="1"/>
  <c r="S7" i="11"/>
  <c r="K8" i="13"/>
  <c r="S8" i="13" s="1"/>
  <c r="S7" i="13"/>
  <c r="K8" i="16"/>
  <c r="S8" i="16" s="1"/>
  <c r="S7" i="16"/>
  <c r="S47" i="15"/>
  <c r="J48" i="15"/>
  <c r="S47" i="13"/>
  <c r="J48" i="13"/>
  <c r="K8" i="15"/>
  <c r="S8" i="15" s="1"/>
  <c r="S7" i="15"/>
  <c r="S7" i="18"/>
  <c r="K8" i="18"/>
  <c r="S8" i="18" s="1"/>
  <c r="U7" i="19"/>
  <c r="K8" i="19"/>
  <c r="S47" i="11"/>
  <c r="J48" i="11"/>
  <c r="K55" i="19"/>
  <c r="U54" i="19"/>
  <c r="J48" i="18"/>
  <c r="I47" i="18"/>
  <c r="J45" i="23"/>
  <c r="S44" i="23"/>
  <c r="S45" i="31"/>
  <c r="J46" i="31"/>
  <c r="K49" i="12"/>
  <c r="S49" i="12" s="1"/>
  <c r="S48" i="12"/>
  <c r="S6" i="14"/>
  <c r="J7" i="14"/>
  <c r="K8" i="17"/>
  <c r="S8" i="17" s="1"/>
  <c r="S7" i="17"/>
  <c r="F102" i="48"/>
  <c r="F39" i="48"/>
  <c r="F224" i="48"/>
  <c r="F163" i="48"/>
  <c r="F285" i="48"/>
  <c r="S44" i="22"/>
  <c r="J45" i="22"/>
  <c r="F312" i="48"/>
  <c r="F251" i="48"/>
  <c r="F66" i="48"/>
  <c r="F190" i="48"/>
  <c r="F129" i="48"/>
  <c r="G260" i="48"/>
  <c r="G138" i="48"/>
  <c r="G75" i="48"/>
  <c r="G199" i="48"/>
  <c r="G321" i="48"/>
  <c r="AC41" i="27"/>
  <c r="G266" i="48"/>
  <c r="G144" i="48"/>
  <c r="G327" i="48"/>
  <c r="G81" i="48"/>
  <c r="AD46" i="29"/>
  <c r="G205" i="48"/>
  <c r="S45" i="13"/>
  <c r="AD46" i="13"/>
  <c r="J6" i="24"/>
  <c r="J6" i="28"/>
  <c r="S5" i="28"/>
  <c r="S46" i="14"/>
  <c r="I47" i="14" s="1"/>
  <c r="S6" i="15"/>
  <c r="S45" i="16"/>
  <c r="AD46" i="16"/>
  <c r="J48" i="16"/>
  <c r="J6" i="27"/>
  <c r="K7" i="31"/>
  <c r="S7" i="31" s="1"/>
  <c r="S6" i="31"/>
  <c r="G212" i="48"/>
  <c r="G90" i="48"/>
  <c r="G27" i="48"/>
  <c r="G151" i="48"/>
  <c r="G273" i="48"/>
  <c r="F218" i="48"/>
  <c r="F157" i="48"/>
  <c r="F279" i="48"/>
  <c r="F96" i="48"/>
  <c r="F33" i="48"/>
  <c r="G282" i="48"/>
  <c r="G160" i="48"/>
  <c r="G36" i="48"/>
  <c r="G99" i="48"/>
  <c r="G221" i="48"/>
  <c r="G288" i="48"/>
  <c r="G166" i="48"/>
  <c r="G42" i="48"/>
  <c r="G105" i="48"/>
  <c r="G227" i="48"/>
  <c r="F60" i="48"/>
  <c r="F184" i="48"/>
  <c r="F123" i="48"/>
  <c r="F306" i="48"/>
  <c r="F245" i="48"/>
  <c r="G254" i="48"/>
  <c r="G132" i="48"/>
  <c r="G69" i="48"/>
  <c r="G193" i="48"/>
  <c r="G315" i="48"/>
  <c r="AG42" i="31"/>
  <c r="S45" i="28"/>
  <c r="K46" i="28"/>
  <c r="S46" i="28" s="1"/>
  <c r="S6" i="11"/>
  <c r="S6" i="13"/>
  <c r="AD45" i="13"/>
  <c r="G2" i="48"/>
  <c r="G148" i="48"/>
  <c r="G87" i="48"/>
  <c r="G270" i="48"/>
  <c r="G209" i="48"/>
  <c r="G24" i="48"/>
  <c r="G5" i="48"/>
  <c r="F273" i="48"/>
  <c r="F90" i="48"/>
  <c r="F27" i="48"/>
  <c r="F212" i="48"/>
  <c r="F151" i="48"/>
  <c r="F30" i="48"/>
  <c r="F154" i="48"/>
  <c r="F93" i="48"/>
  <c r="F276" i="48"/>
  <c r="F215" i="48"/>
  <c r="G218" i="48"/>
  <c r="G96" i="48"/>
  <c r="G279" i="48"/>
  <c r="G33" i="48"/>
  <c r="G157" i="48"/>
  <c r="AG49" i="19"/>
  <c r="F36" i="48"/>
  <c r="F160" i="48"/>
  <c r="F99" i="48"/>
  <c r="F282" i="48"/>
  <c r="F221" i="48"/>
  <c r="G224" i="48"/>
  <c r="G102" i="48"/>
  <c r="G163" i="48"/>
  <c r="G285" i="48"/>
  <c r="G39" i="48"/>
  <c r="F288" i="48"/>
  <c r="F227" i="48"/>
  <c r="F42" i="48"/>
  <c r="F166" i="48"/>
  <c r="F105" i="48"/>
  <c r="G230" i="48"/>
  <c r="G108" i="48"/>
  <c r="G45" i="48"/>
  <c r="G169" i="48"/>
  <c r="G291" i="48"/>
  <c r="F172" i="48"/>
  <c r="F111" i="48"/>
  <c r="F294" i="48"/>
  <c r="F233" i="48"/>
  <c r="F48" i="48"/>
  <c r="F297" i="48"/>
  <c r="F114" i="48"/>
  <c r="F51" i="48"/>
  <c r="F236" i="48"/>
  <c r="F175" i="48"/>
  <c r="G300" i="48"/>
  <c r="G178" i="48"/>
  <c r="G54" i="48"/>
  <c r="G117" i="48"/>
  <c r="G239" i="48"/>
  <c r="AC41" i="22"/>
  <c r="F242" i="48"/>
  <c r="F181" i="48"/>
  <c r="F303" i="48"/>
  <c r="F120" i="48"/>
  <c r="F57" i="48"/>
  <c r="G306" i="48"/>
  <c r="G184" i="48"/>
  <c r="G60" i="48"/>
  <c r="G123" i="48"/>
  <c r="G245" i="48"/>
  <c r="AC41" i="24"/>
  <c r="F126" i="48"/>
  <c r="F63" i="48"/>
  <c r="F248" i="48"/>
  <c r="F187" i="48"/>
  <c r="F309" i="48"/>
  <c r="G312" i="48"/>
  <c r="G190" i="48"/>
  <c r="G66" i="48"/>
  <c r="G129" i="48"/>
  <c r="AG42" i="30"/>
  <c r="G251" i="48"/>
  <c r="F132" i="48"/>
  <c r="F69" i="48"/>
  <c r="F254" i="48"/>
  <c r="F193" i="48"/>
  <c r="F315" i="48"/>
  <c r="G318" i="48"/>
  <c r="G196" i="48"/>
  <c r="G72" i="48"/>
  <c r="G257" i="48"/>
  <c r="G135" i="48"/>
  <c r="AD46" i="32"/>
  <c r="F321" i="48"/>
  <c r="F138" i="48"/>
  <c r="F75" i="48"/>
  <c r="F260" i="48"/>
  <c r="F199" i="48"/>
  <c r="S44" i="27"/>
  <c r="J45" i="27"/>
  <c r="G324" i="48"/>
  <c r="G202" i="48"/>
  <c r="G78" i="48"/>
  <c r="G141" i="48"/>
  <c r="G263" i="48"/>
  <c r="AC41" i="28"/>
  <c r="F266" i="48"/>
  <c r="F205" i="48"/>
  <c r="F327" i="48"/>
  <c r="F144" i="48"/>
  <c r="F81" i="48"/>
  <c r="D37" i="7"/>
  <c r="D38" i="7" s="1"/>
  <c r="D39" i="7" s="1"/>
  <c r="AD43" i="11"/>
  <c r="AD43" i="15"/>
  <c r="S43" i="16"/>
  <c r="S44" i="16"/>
  <c r="AD45" i="16"/>
  <c r="J45" i="21"/>
  <c r="S44" i="28"/>
  <c r="F209" i="48"/>
  <c r="F87" i="48"/>
  <c r="F24" i="48"/>
  <c r="F148" i="48"/>
  <c r="F270" i="48"/>
  <c r="O19" i="64"/>
  <c r="G276" i="48"/>
  <c r="G154" i="48"/>
  <c r="G30" i="48"/>
  <c r="G93" i="48"/>
  <c r="G215" i="48"/>
  <c r="F108" i="48"/>
  <c r="F45" i="48"/>
  <c r="F230" i="48"/>
  <c r="F169" i="48"/>
  <c r="F291" i="48"/>
  <c r="G294" i="48"/>
  <c r="G172" i="48"/>
  <c r="G48" i="48"/>
  <c r="G233" i="48"/>
  <c r="G111" i="48"/>
  <c r="AC42" i="25"/>
  <c r="G236" i="48"/>
  <c r="G114" i="48"/>
  <c r="G51" i="48"/>
  <c r="G175" i="48"/>
  <c r="G297" i="48"/>
  <c r="F54" i="48"/>
  <c r="F178" i="48"/>
  <c r="F117" i="48"/>
  <c r="F300" i="48"/>
  <c r="F239" i="48"/>
  <c r="G242" i="48"/>
  <c r="G120" i="48"/>
  <c r="G303" i="48"/>
  <c r="G57" i="48"/>
  <c r="G181" i="48"/>
  <c r="AC41" i="23"/>
  <c r="G248" i="48"/>
  <c r="G126" i="48"/>
  <c r="G187" i="48"/>
  <c r="G309" i="48"/>
  <c r="G63" i="48"/>
  <c r="AD46" i="26"/>
  <c r="F196" i="48"/>
  <c r="F135" i="48"/>
  <c r="F318" i="48"/>
  <c r="F257" i="48"/>
  <c r="F72" i="48"/>
  <c r="F78" i="48"/>
  <c r="F202" i="48"/>
  <c r="F141" i="48"/>
  <c r="F324" i="48"/>
  <c r="F263" i="48"/>
  <c r="J50" i="20"/>
  <c r="K51" i="20"/>
  <c r="S51" i="20" s="1"/>
  <c r="I49" i="20"/>
  <c r="S47" i="12"/>
  <c r="G24" i="64"/>
  <c r="L23" i="64"/>
  <c r="J47" i="25"/>
  <c r="K48" i="25"/>
  <c r="S48" i="25" s="1"/>
  <c r="I46" i="25"/>
  <c r="AD43" i="16"/>
  <c r="AD44" i="16"/>
  <c r="AD43" i="18"/>
  <c r="AC41" i="21"/>
  <c r="S6" i="22"/>
  <c r="K7" i="22"/>
  <c r="S7" i="22" s="1"/>
  <c r="J6" i="23"/>
  <c r="S5" i="23"/>
  <c r="J6" i="21"/>
  <c r="H31" i="33"/>
  <c r="H136" i="33" s="1"/>
  <c r="G53" i="51"/>
  <c r="G52" i="51"/>
  <c r="G51" i="51"/>
  <c r="G50" i="51"/>
  <c r="G49" i="51"/>
  <c r="G46" i="51"/>
  <c r="H47" i="51"/>
  <c r="H50" i="51"/>
  <c r="J52" i="51"/>
  <c r="E5" i="55"/>
  <c r="I38" i="43"/>
  <c r="AA15" i="63"/>
  <c r="N15" i="63" s="1"/>
  <c r="U14" i="63"/>
  <c r="M14" i="63" s="1"/>
  <c r="U148" i="63"/>
  <c r="M148" i="63" s="1"/>
  <c r="E12" i="46" s="1"/>
  <c r="AA16" i="63"/>
  <c r="N16" i="63" s="1"/>
  <c r="AA11" i="63"/>
  <c r="N11" i="63" s="1"/>
  <c r="AA12" i="63"/>
  <c r="N12" i="63" s="1"/>
  <c r="E32" i="62"/>
  <c r="C32" i="62" s="1"/>
  <c r="E30" i="62"/>
  <c r="C30" i="62" s="1"/>
  <c r="D14" i="47" s="1"/>
  <c r="U15" i="63"/>
  <c r="M15" i="63" s="1"/>
  <c r="E5" i="62"/>
  <c r="C5" i="62" s="1"/>
  <c r="D5" i="46" s="1"/>
  <c r="E3" i="62"/>
  <c r="C3" i="62" s="1"/>
  <c r="J47" i="51"/>
  <c r="J45" i="51" s="1"/>
  <c r="J46" i="51"/>
  <c r="M270" i="48"/>
  <c r="M148" i="48"/>
  <c r="M24" i="48"/>
  <c r="E14" i="48"/>
  <c r="E35" i="47"/>
  <c r="E25" i="47"/>
  <c r="G17" i="46"/>
  <c r="AA13" i="63"/>
  <c r="N13" i="63" s="1"/>
  <c r="E29" i="62"/>
  <c r="C29" i="62" s="1"/>
  <c r="D5" i="49" s="1"/>
  <c r="E6" i="62"/>
  <c r="C6" i="62" s="1"/>
  <c r="E21" i="33" s="1"/>
  <c r="J50" i="51"/>
  <c r="E31" i="62"/>
  <c r="C31" i="62" s="1"/>
  <c r="D4" i="8" s="1"/>
  <c r="F2" i="54"/>
  <c r="D51" i="61"/>
  <c r="D43" i="7" l="1"/>
  <c r="D44" i="7" s="1"/>
  <c r="D45" i="7" s="1"/>
  <c r="D40" i="7"/>
  <c r="D41" i="7"/>
  <c r="K7" i="28"/>
  <c r="S7" i="28" s="1"/>
  <c r="S6" i="28"/>
  <c r="H38" i="43"/>
  <c r="I58" i="43"/>
  <c r="H58" i="43" s="1"/>
  <c r="K7" i="27"/>
  <c r="S7" i="27" s="1"/>
  <c r="S6" i="27"/>
  <c r="K7" i="24"/>
  <c r="S7" i="24" s="1"/>
  <c r="S6" i="24"/>
  <c r="S45" i="22"/>
  <c r="K46" i="22"/>
  <c r="S46" i="22" s="1"/>
  <c r="S45" i="23"/>
  <c r="K46" i="23"/>
  <c r="S46" i="23" s="1"/>
  <c r="L56" i="19"/>
  <c r="U56" i="19" s="1"/>
  <c r="U55" i="19"/>
  <c r="K47" i="30"/>
  <c r="S47" i="30" s="1"/>
  <c r="S46" i="30"/>
  <c r="F5" i="44"/>
  <c r="F5" i="42"/>
  <c r="F5" i="43"/>
  <c r="F5" i="41"/>
  <c r="H25" i="64"/>
  <c r="L25" i="64" s="1"/>
  <c r="L24" i="64"/>
  <c r="K46" i="21"/>
  <c r="S46" i="21" s="1"/>
  <c r="S45" i="21"/>
  <c r="S48" i="16"/>
  <c r="K49" i="16"/>
  <c r="S49" i="16" s="1"/>
  <c r="J48" i="14"/>
  <c r="S47" i="14"/>
  <c r="S7" i="14"/>
  <c r="K8" i="14"/>
  <c r="S8" i="14" s="1"/>
  <c r="K47" i="31"/>
  <c r="S47" i="31" s="1"/>
  <c r="S46" i="31"/>
  <c r="S48" i="11"/>
  <c r="K49" i="11"/>
  <c r="S49" i="11" s="1"/>
  <c r="S48" i="13"/>
  <c r="K49" i="13"/>
  <c r="S49" i="13" s="1"/>
  <c r="S45" i="27"/>
  <c r="K46" i="27"/>
  <c r="S46" i="27" s="1"/>
  <c r="U8" i="19"/>
  <c r="L9" i="19"/>
  <c r="U9" i="19" s="1"/>
  <c r="S48" i="15"/>
  <c r="K49" i="15"/>
  <c r="S49" i="15" s="1"/>
  <c r="S7" i="12"/>
  <c r="K8" i="12"/>
  <c r="S8" i="12" s="1"/>
  <c r="F29" i="51"/>
  <c r="F32" i="51"/>
  <c r="S6" i="21"/>
  <c r="K7" i="21"/>
  <c r="S7" i="21" s="1"/>
  <c r="K7" i="23"/>
  <c r="S7" i="23" s="1"/>
  <c r="S6" i="23"/>
  <c r="S48" i="18"/>
  <c r="K49" i="18"/>
  <c r="S49" i="18" s="1"/>
  <c r="K46" i="24"/>
  <c r="S46" i="24" s="1"/>
  <c r="S45" i="24"/>
  <c r="S48" i="17"/>
  <c r="K49" i="17"/>
  <c r="S49" i="17" s="1"/>
  <c r="K49" i="14" l="1"/>
  <c r="S49" i="14" s="1"/>
  <c r="S48" i="14"/>
  <c r="D51" i="7"/>
  <c r="D49" i="7"/>
  <c r="D46" i="7"/>
  <c r="D48" i="7"/>
  <c r="D47" i="7"/>
</calcChain>
</file>

<file path=xl/comments1.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<sst xmlns="http://schemas.openxmlformats.org/spreadsheetml/2006/main" count="14592" uniqueCount="3634">
  <si>
    <t>26324387</t>
  </si>
  <si>
    <t>Flag_Row_Size</t>
  </si>
  <si>
    <t>г. Москва</t>
  </si>
  <si>
    <t>нет</t>
  </si>
  <si>
    <t/>
  </si>
  <si>
    <t>ORG</t>
  </si>
  <si>
    <t>QUARTER</t>
  </si>
  <si>
    <t>II квартал</t>
  </si>
  <si>
    <t>первичное раскрытие информации</t>
  </si>
  <si>
    <t>Наименование органа регулирования, принявшего решение об утверждении тарифов</t>
  </si>
  <si>
    <t>Источник официального опубликования решения</t>
  </si>
  <si>
    <t>ПАО "МОЭК"</t>
  </si>
  <si>
    <t>ИНН</t>
  </si>
  <si>
    <t>7720518494</t>
  </si>
  <si>
    <t>КПП</t>
  </si>
  <si>
    <t>772901001</t>
  </si>
  <si>
    <t>ОСН</t>
  </si>
  <si>
    <t>да</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</si>
  <si>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</si>
  <si>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</si>
  <si>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</si>
  <si>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</si>
  <si>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</si>
  <si>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</si>
  <si>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</si>
  <si>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</si>
  <si>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</si>
  <si>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</si>
  <si>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</si>
  <si>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</si>
  <si>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</si>
  <si>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1</t>
  </si>
  <si>
    <t>город Москва</t>
  </si>
  <si>
    <t>45000000</t>
  </si>
  <si>
    <t>Добавить МО</t>
  </si>
  <si>
    <t>Добавить территорию оказания услуг</t>
  </si>
  <si>
    <t>Добавить территорию действия тарифа</t>
  </si>
  <si>
    <t>Вид деятельности</t>
  </si>
  <si>
    <t>да/нет</t>
  </si>
  <si>
    <t>2</t>
  </si>
  <si>
    <t>5</t>
  </si>
  <si>
    <t>8</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</si>
  <si>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</si>
  <si>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</si>
  <si>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</si>
  <si>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</si>
  <si>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</si>
  <si>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</si>
  <si>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</si>
  <si>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</si>
  <si>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</si>
  <si>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</si>
  <si>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</si>
  <si>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</si>
  <si>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</si>
  <si>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</si>
  <si>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</si>
  <si>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</si>
  <si>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</si>
  <si>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</si>
  <si>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</si>
  <si>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</si>
  <si>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</si>
  <si>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</si>
  <si>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</si>
  <si>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</si>
  <si>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</si>
  <si>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</si>
  <si>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</si>
  <si>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</si>
  <si>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</si>
  <si>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</si>
  <si>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</si>
  <si>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</si>
  <si>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</si>
  <si>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</si>
  <si>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</si>
  <si>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</si>
  <si>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</si>
  <si>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</si>
  <si>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</si>
  <si>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</si>
  <si>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</si>
  <si>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</si>
  <si>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</si>
  <si>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</si>
  <si>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</si>
  <si>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</si>
  <si>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</si>
  <si>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</si>
  <si>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</si>
  <si>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</si>
  <si>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</si>
  <si>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</si>
  <si>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</si>
  <si>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</si>
  <si>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</si>
  <si>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</si>
  <si>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</si>
  <si>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</si>
  <si>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</si>
  <si>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</si>
  <si>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</si>
  <si>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</si>
  <si>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</si>
  <si>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</si>
  <si>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</si>
  <si>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</si>
  <si>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</si>
  <si>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</si>
  <si>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</si>
  <si>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</si>
  <si>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</si>
  <si>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</si>
  <si>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</si>
  <si>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</si>
  <si>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</si>
  <si>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</si>
  <si>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</si>
  <si>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</si>
  <si>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</si>
  <si>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</si>
  <si>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</si>
  <si>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</si>
  <si>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</si>
  <si>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</si>
  <si>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</si>
  <si>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</si>
  <si>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</si>
  <si>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</si>
  <si>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</si>
  <si>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</si>
  <si>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</si>
  <si>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</si>
  <si>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</si>
  <si>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</si>
  <si>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</si>
  <si>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</si>
  <si>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</si>
  <si>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</si>
  <si>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</si>
  <si>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</si>
  <si>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</si>
  <si>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</si>
  <si>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</si>
  <si>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</si>
  <si>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</si>
  <si>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</si>
  <si>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</si>
  <si>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</si>
  <si>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</si>
  <si>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</si>
  <si>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</si>
  <si>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</si>
  <si>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</si>
  <si>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</si>
  <si>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</si>
  <si>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</si>
  <si>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</si>
  <si>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</si>
  <si>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</si>
  <si>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</si>
  <si>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</si>
  <si>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</si>
  <si>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</si>
  <si>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</si>
  <si>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</si>
  <si>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</si>
  <si>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</si>
  <si>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</si>
  <si>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</si>
  <si>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</si>
  <si>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</si>
  <si>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</si>
  <si>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</si>
  <si>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</si>
  <si>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</si>
  <si>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</si>
  <si>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</si>
  <si>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</si>
  <si>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</si>
  <si>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</si>
  <si>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</si>
  <si>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</si>
  <si>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</si>
  <si>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</si>
  <si>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</si>
  <si>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</si>
  <si>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</si>
  <si>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</si>
  <si>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</si>
  <si>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</si>
  <si>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</si>
  <si>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</si>
  <si>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</si>
  <si>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</si>
  <si>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</si>
  <si>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</si>
  <si>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</si>
  <si>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</si>
  <si>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</si>
  <si>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</si>
  <si>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</si>
  <si>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</si>
  <si>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</si>
  <si>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</si>
  <si>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</si>
  <si>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</si>
  <si>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</si>
  <si>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</si>
  <si>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</si>
  <si>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</si>
  <si>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</si>
  <si>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</si>
  <si>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</si>
  <si>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</si>
  <si>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</si>
  <si>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</si>
  <si>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</si>
  <si>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</si>
  <si>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</si>
  <si>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</si>
  <si>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</si>
  <si>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</si>
  <si>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</si>
  <si>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</si>
  <si>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</si>
  <si>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</si>
  <si>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</si>
  <si>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</si>
  <si>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</si>
  <si>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</si>
  <si>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</si>
  <si>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</si>
  <si>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</si>
  <si>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</si>
  <si>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</si>
  <si>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</si>
  <si>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</si>
  <si>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</si>
  <si>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</si>
  <si>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</si>
  <si>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</si>
  <si>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</si>
  <si>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</si>
  <si>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</si>
  <si>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</si>
  <si>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</si>
  <si>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</si>
  <si>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</si>
  <si>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</si>
  <si>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</si>
  <si>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</si>
  <si>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</si>
  <si>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</si>
  <si>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</si>
  <si>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</si>
  <si>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</si>
  <si>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</si>
  <si>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</si>
  <si>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</si>
  <si>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</si>
  <si>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</si>
  <si>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</si>
  <si>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</si>
  <si>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</si>
  <si>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</si>
  <si>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</si>
  <si>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</si>
  <si>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</si>
  <si>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</si>
  <si>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</si>
  <si>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</si>
  <si>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</si>
  <si>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</si>
  <si>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</si>
  <si>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</si>
  <si>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</si>
  <si>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</si>
  <si>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</si>
  <si>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</si>
  <si>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</si>
  <si>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</si>
  <si>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</si>
  <si>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</si>
  <si>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</si>
  <si>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</si>
  <si>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</si>
  <si>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</si>
  <si>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</si>
  <si>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</si>
  <si>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</si>
  <si>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</si>
  <si>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</si>
  <si>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</si>
  <si>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</si>
  <si>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</si>
  <si>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</si>
  <si>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</si>
  <si>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</si>
  <si>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</si>
  <si>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</si>
  <si>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</si>
  <si>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</si>
  <si>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</si>
  <si>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</si>
  <si>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</si>
  <si>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</si>
  <si>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</si>
  <si>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</si>
  <si>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</si>
  <si>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</si>
  <si>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</si>
  <si>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</si>
  <si>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</si>
  <si>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</si>
  <si>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</si>
  <si>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</si>
  <si>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</si>
  <si>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</si>
  <si>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</si>
  <si>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</si>
  <si>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</si>
  <si>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</si>
  <si>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</si>
  <si>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</si>
  <si>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</si>
  <si>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</si>
  <si>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</si>
  <si>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</si>
  <si>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</si>
  <si>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</si>
  <si>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</si>
  <si>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</si>
  <si>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</si>
  <si>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</si>
  <si>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</si>
  <si>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</si>
  <si>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</si>
  <si>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</si>
  <si>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</si>
  <si>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</si>
  <si>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</si>
  <si>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</si>
  <si>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</si>
  <si>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</si>
  <si>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</si>
  <si>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</si>
  <si>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</si>
  <si>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</si>
  <si>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</si>
  <si>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</si>
  <si>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</si>
  <si>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</si>
  <si>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</si>
  <si>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</si>
  <si>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</si>
  <si>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</si>
  <si>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</si>
  <si>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</si>
  <si>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</si>
  <si>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</si>
  <si>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</si>
  <si>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</si>
  <si>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</si>
  <si>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</si>
  <si>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</si>
  <si>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</si>
  <si>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</si>
  <si>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</si>
  <si>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</si>
  <si>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</si>
  <si>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</si>
  <si>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</si>
  <si>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</si>
  <si>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</si>
  <si>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</si>
  <si>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</si>
  <si>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</si>
  <si>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</si>
  <si>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</si>
  <si>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</si>
  <si>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</si>
  <si>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</si>
  <si>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</si>
  <si>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</si>
  <si>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</si>
  <si>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</si>
  <si>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</si>
  <si>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</si>
  <si>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</si>
  <si>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</si>
  <si>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</si>
  <si>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</si>
  <si>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</si>
  <si>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</si>
  <si>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</si>
  <si>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</si>
  <si>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</si>
  <si>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</si>
  <si>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</si>
  <si>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</si>
  <si>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</si>
  <si>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</si>
  <si>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</si>
  <si>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</si>
  <si>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</si>
  <si>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</si>
  <si>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</si>
  <si>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</si>
  <si>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</si>
  <si>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</si>
  <si>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</si>
  <si>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</si>
  <si>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</si>
  <si>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</si>
  <si>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</si>
  <si>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</si>
  <si>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</si>
  <si>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</si>
  <si>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</si>
  <si>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</si>
  <si>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</si>
  <si>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</si>
  <si>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</si>
  <si>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</si>
  <si>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</si>
  <si>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</si>
  <si>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</si>
  <si>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</si>
  <si>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</si>
  <si>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</si>
  <si>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</si>
  <si>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</si>
  <si>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</si>
  <si>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</si>
  <si>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</si>
  <si>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</si>
  <si>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</si>
  <si>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</si>
  <si>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</si>
  <si>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</si>
  <si>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</si>
  <si>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</si>
  <si>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</si>
  <si>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</si>
  <si>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</si>
  <si>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</si>
  <si>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</si>
  <si>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</si>
  <si>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</si>
  <si>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</si>
  <si>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</si>
  <si>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</si>
  <si>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</si>
  <si>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</si>
  <si>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</si>
  <si>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</si>
  <si>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</si>
  <si>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</si>
  <si>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</si>
  <si>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</si>
  <si>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</si>
  <si>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</si>
  <si>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</si>
  <si>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</si>
  <si>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</si>
  <si>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</si>
  <si>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</si>
  <si>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</si>
  <si>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</si>
  <si>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</si>
  <si>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</si>
  <si>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</si>
  <si>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</si>
  <si>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</si>
  <si>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</si>
  <si>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</si>
  <si>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</si>
  <si>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</si>
  <si>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</si>
  <si>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</si>
  <si>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</si>
  <si>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</si>
  <si>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</si>
  <si>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</si>
  <si>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</si>
  <si>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</si>
  <si>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</si>
  <si>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</si>
  <si>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</si>
  <si>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</si>
  <si>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</si>
  <si>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</si>
  <si>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</si>
  <si>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</si>
  <si>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</si>
  <si>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</si>
  <si>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</si>
  <si>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</si>
  <si>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</si>
  <si>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</si>
  <si>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</si>
  <si>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</si>
  <si>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</si>
  <si>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</si>
  <si>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</si>
  <si>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</si>
  <si>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</si>
  <si>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</si>
  <si>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</si>
  <si>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</si>
  <si>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</si>
  <si>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</si>
  <si>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</si>
  <si>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</si>
  <si>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</si>
  <si>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</si>
  <si>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</si>
  <si>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</si>
  <si>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</si>
  <si>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</si>
  <si>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</si>
  <si>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</si>
  <si>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</si>
  <si>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</si>
  <si>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</si>
  <si>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</si>
  <si>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</si>
  <si>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</si>
  <si>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</si>
  <si>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</si>
  <si>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</si>
  <si>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</si>
  <si>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</si>
  <si>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</si>
  <si>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</si>
  <si>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</si>
  <si>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</si>
  <si>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</si>
  <si>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</si>
  <si>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</si>
  <si>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</si>
  <si>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</si>
  <si>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</si>
  <si>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</si>
  <si>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</si>
  <si>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</si>
  <si>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</si>
  <si>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</si>
  <si>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</si>
  <si>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</si>
  <si>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</si>
  <si>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</si>
  <si>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</si>
  <si>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</si>
  <si>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</si>
  <si>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</si>
  <si>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</si>
  <si>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</si>
  <si>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</si>
  <si>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</si>
  <si>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</si>
  <si>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</si>
  <si>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</si>
  <si>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</si>
  <si>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</si>
  <si>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</si>
  <si>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</si>
  <si>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</si>
  <si>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</si>
  <si>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</si>
  <si>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</si>
  <si>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</si>
  <si>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</si>
  <si>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</si>
  <si>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</si>
  <si>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</si>
  <si>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</si>
  <si>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</si>
  <si>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</si>
  <si>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</si>
  <si>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</si>
  <si>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</si>
  <si>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</si>
  <si>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</si>
  <si>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</si>
  <si>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</si>
  <si>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</si>
  <si>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</si>
  <si>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</si>
  <si>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</si>
  <si>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</si>
  <si>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</si>
  <si>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</si>
  <si>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</si>
  <si>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</si>
  <si>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</si>
  <si>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</si>
  <si>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</si>
  <si>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</si>
  <si>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</si>
  <si>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</si>
  <si>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</si>
  <si>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</si>
  <si>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</si>
  <si>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</si>
  <si>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</si>
  <si>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</si>
  <si>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</si>
  <si>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</si>
  <si>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</si>
  <si>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</si>
  <si>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</si>
  <si>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</si>
  <si>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</si>
  <si>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</si>
  <si>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</si>
  <si>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</si>
  <si>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</si>
  <si>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</si>
  <si>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</si>
  <si>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</si>
  <si>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</si>
  <si>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</si>
  <si>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</si>
  <si>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</si>
  <si>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</si>
  <si>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</si>
  <si>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</si>
  <si>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</si>
  <si>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</si>
  <si>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</si>
  <si>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</si>
  <si>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</si>
  <si>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</si>
  <si>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</si>
  <si>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</si>
  <si>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</si>
  <si>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</si>
  <si>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</si>
  <si>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</si>
  <si>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</si>
  <si>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</si>
  <si>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</si>
  <si>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</si>
  <si>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</si>
  <si>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</si>
  <si>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</si>
  <si>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</si>
  <si>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</si>
  <si>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</si>
  <si>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</si>
  <si>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</si>
  <si>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</si>
  <si>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</si>
  <si>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</si>
  <si>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</si>
  <si>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</si>
  <si>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</si>
  <si>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</si>
  <si>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</si>
  <si>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</si>
  <si>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</si>
  <si>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</si>
  <si>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</si>
  <si>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</si>
  <si>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</si>
  <si>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</si>
  <si>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</si>
  <si>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</si>
  <si>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</si>
  <si>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</si>
  <si>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</si>
  <si>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</si>
  <si>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</si>
  <si>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</si>
  <si>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</si>
  <si>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</si>
  <si>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</si>
  <si>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</si>
  <si>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</si>
  <si>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</si>
  <si>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</si>
  <si>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</si>
  <si>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</si>
  <si>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</si>
  <si>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</si>
  <si>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</si>
  <si>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</si>
  <si>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</si>
  <si>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</si>
  <si>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</si>
  <si>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</si>
  <si>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</si>
  <si>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</si>
  <si>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</si>
  <si>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</si>
  <si>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</si>
  <si>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</si>
  <si>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</si>
  <si>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</si>
  <si>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</si>
  <si>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</si>
  <si>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</si>
  <si>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</si>
  <si>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</si>
  <si>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</si>
  <si>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</si>
  <si>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</si>
  <si>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</si>
  <si>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</si>
  <si>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</si>
  <si>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</si>
  <si>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</si>
  <si>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</si>
  <si>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</si>
  <si>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</si>
  <si>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</si>
  <si>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</si>
  <si>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</si>
  <si>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</si>
  <si>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</si>
  <si>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</si>
  <si>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</si>
  <si>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</si>
  <si>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</si>
  <si>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</si>
  <si>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</si>
  <si>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</si>
  <si>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</si>
  <si>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</si>
  <si>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</si>
  <si>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</si>
  <si>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</si>
  <si>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</si>
  <si>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</si>
  <si>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</si>
  <si>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</si>
  <si>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</si>
  <si>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</si>
  <si>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</si>
  <si>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</si>
  <si>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</si>
  <si>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</si>
  <si>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</si>
  <si>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</si>
  <si>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</si>
  <si>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</si>
  <si>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</si>
  <si>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</si>
  <si>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</si>
  <si>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</si>
  <si>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</si>
  <si>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</si>
  <si>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</si>
  <si>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</si>
  <si>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</si>
  <si>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</si>
  <si>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</si>
  <si>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</si>
  <si>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</si>
  <si>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</si>
  <si>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</si>
  <si>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</si>
  <si>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</si>
  <si>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</si>
  <si>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</si>
  <si>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</si>
  <si>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</si>
  <si>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</si>
  <si>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</si>
  <si>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</si>
  <si>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</si>
  <si>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</si>
  <si>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</si>
  <si>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</si>
  <si>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</si>
  <si>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</si>
  <si>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</si>
  <si>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</si>
  <si>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</si>
  <si>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</si>
  <si>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</si>
  <si>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</si>
  <si>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</si>
  <si>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</si>
  <si>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</si>
  <si>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</si>
  <si>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</si>
  <si>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</si>
  <si>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</si>
  <si>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</si>
  <si>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</si>
  <si>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</si>
  <si>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</si>
  <si>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</si>
  <si>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</si>
  <si>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</si>
  <si>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</si>
  <si>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</si>
  <si>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</si>
  <si>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</si>
  <si>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</si>
  <si>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</si>
  <si>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</si>
  <si>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</si>
  <si>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</si>
  <si>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</si>
  <si>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</si>
  <si>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</si>
  <si>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</si>
  <si>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</si>
  <si>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</si>
  <si>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</si>
  <si>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</si>
  <si>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</si>
  <si>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</si>
  <si>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</si>
  <si>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</si>
  <si>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</si>
  <si>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</si>
  <si>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</si>
  <si>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</si>
  <si>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</si>
  <si>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</si>
  <si>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</si>
  <si>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</si>
  <si>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</si>
  <si>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</si>
  <si>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</si>
  <si>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</si>
  <si>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</si>
  <si>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</si>
  <si>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</si>
  <si>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</si>
  <si>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</si>
  <si>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</si>
  <si>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</si>
  <si>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</si>
  <si>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</si>
  <si>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</si>
  <si>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</si>
  <si>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</si>
  <si>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</si>
  <si>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</si>
  <si>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</si>
  <si>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</si>
  <si>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</si>
  <si>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</si>
  <si>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</si>
  <si>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</si>
  <si>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</si>
  <si>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</si>
  <si>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</si>
  <si>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</si>
  <si>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</si>
  <si>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</si>
  <si>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</si>
  <si>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</si>
  <si>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</si>
  <si>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</si>
  <si>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</si>
  <si>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</si>
  <si>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</si>
  <si>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</si>
  <si>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</si>
  <si>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</si>
  <si>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</si>
  <si>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</si>
  <si>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</si>
  <si>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</si>
  <si>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</si>
  <si>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</si>
  <si>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</si>
  <si>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</si>
  <si>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</si>
  <si>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</si>
  <si>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</si>
  <si>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</si>
  <si>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</si>
  <si>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</si>
  <si>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</si>
  <si>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</si>
  <si>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</si>
  <si>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</si>
  <si>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</si>
  <si>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</si>
  <si>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</si>
  <si>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</si>
  <si>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</si>
  <si>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</si>
  <si>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</si>
  <si>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</si>
  <si>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</si>
  <si>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</si>
  <si>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</si>
  <si>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</si>
  <si>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</si>
  <si>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</si>
  <si>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</si>
  <si>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</si>
  <si>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</si>
  <si>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</si>
  <si>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</si>
  <si>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</si>
  <si>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</si>
  <si>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</si>
  <si>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</si>
  <si>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</si>
  <si>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</si>
  <si>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</si>
  <si>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</si>
  <si>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</si>
  <si>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</si>
  <si>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</si>
  <si>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</si>
  <si>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</si>
  <si>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</si>
  <si>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</si>
  <si>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</si>
  <si>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</si>
  <si>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</si>
  <si>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</si>
  <si>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</si>
  <si>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</si>
  <si>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</si>
  <si>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</si>
  <si>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</si>
  <si>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</si>
  <si>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</si>
  <si>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</si>
  <si>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</si>
  <si>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</si>
  <si>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</si>
  <si>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</si>
  <si>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</si>
  <si>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</si>
  <si>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</si>
  <si>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</si>
  <si>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</si>
  <si>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</si>
  <si>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</si>
  <si>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</si>
  <si>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</si>
  <si>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</si>
  <si>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</si>
  <si>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</si>
  <si>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</si>
  <si>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</si>
  <si>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</si>
  <si>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</si>
  <si>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</si>
  <si>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</si>
  <si>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</si>
  <si>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</si>
  <si>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</si>
  <si>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</si>
  <si>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</si>
  <si>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</si>
  <si>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</si>
  <si>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</si>
  <si>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</si>
  <si>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</si>
  <si>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</si>
  <si>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</si>
  <si>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</si>
  <si>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</si>
  <si>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</si>
  <si>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</si>
  <si>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</si>
  <si>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</si>
  <si>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</si>
  <si>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</si>
  <si>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</si>
  <si>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</si>
  <si>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</si>
  <si>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</si>
  <si>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</si>
  <si>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</si>
  <si>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</si>
  <si>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</si>
  <si>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</si>
  <si>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</si>
  <si>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</si>
  <si>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</si>
  <si>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</si>
  <si>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</si>
  <si>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</si>
  <si>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</si>
  <si>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</si>
  <si>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</si>
  <si>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</si>
  <si>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</si>
  <si>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</si>
  <si>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</si>
  <si>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</si>
  <si>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</si>
  <si>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</si>
  <si>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</si>
  <si>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</si>
  <si>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</si>
  <si>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</si>
  <si>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</si>
  <si>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</si>
  <si>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</si>
  <si>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</si>
  <si>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</si>
  <si>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</si>
  <si>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</si>
  <si>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</si>
  <si>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</si>
  <si>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</si>
  <si>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</si>
  <si>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</si>
  <si>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</si>
  <si>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</si>
  <si>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</si>
  <si>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</si>
  <si>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</si>
  <si>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</si>
  <si>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</si>
  <si>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</si>
  <si>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</si>
  <si>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</si>
  <si>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</si>
  <si>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</si>
  <si>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</si>
  <si>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</si>
  <si>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</si>
  <si>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</si>
  <si>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</si>
  <si>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</si>
  <si>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</si>
  <si>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</si>
  <si>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</si>
  <si>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</si>
  <si>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</si>
  <si>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</si>
  <si>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 xml:space="preserve">а) в связи с обращением заявителя об аннулировании заявки,  в связи с истечением срока подписания договора (45 дней) либо в связи с истечением срока предоставления сведений с даты уведомления (3 месяца);
б) в связи с заключением Соглашения о расторжении договора </t>
  </si>
  <si>
    <t>5.0</t>
  </si>
  <si>
    <t>резерв мощности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</si>
  <si>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</si>
  <si>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</si>
  <si>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</si>
  <si>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</si>
  <si>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</si>
  <si>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</si>
  <si>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</si>
  <si>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</si>
  <si>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</si>
  <si>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</si>
  <si>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</si>
  <si>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</si>
  <si>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</si>
  <si>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</si>
  <si>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</si>
  <si>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</si>
  <si>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</si>
  <si>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</si>
  <si>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</si>
  <si>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</si>
  <si>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</si>
  <si>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</si>
  <si>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</si>
  <si>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</si>
  <si>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</si>
  <si>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</si>
  <si>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</si>
  <si>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</si>
  <si>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</si>
  <si>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</si>
  <si>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</si>
  <si>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</si>
  <si>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</si>
  <si>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</si>
  <si>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</si>
  <si>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</si>
  <si>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</si>
  <si>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</si>
  <si>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</si>
  <si>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</si>
  <si>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</si>
  <si>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</si>
  <si>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</si>
  <si>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</si>
  <si>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</si>
  <si>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</si>
  <si>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</si>
  <si>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</si>
  <si>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</si>
  <si>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</si>
  <si>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</si>
  <si>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</si>
  <si>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</si>
  <si>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</si>
  <si>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</si>
  <si>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</si>
  <si>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</si>
  <si>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</si>
  <si>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</si>
  <si>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</si>
  <si>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</si>
  <si>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</si>
  <si>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</si>
  <si>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</si>
  <si>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</si>
  <si>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</si>
  <si>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</si>
  <si>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</si>
  <si>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</si>
  <si>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</si>
  <si>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</si>
  <si>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</si>
  <si>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</si>
  <si>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</si>
  <si>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</si>
  <si>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</si>
  <si>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</si>
  <si>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</si>
  <si>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</si>
  <si>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</si>
  <si>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</si>
  <si>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</si>
  <si>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</si>
  <si>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</si>
  <si>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</si>
  <si>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</si>
  <si>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</si>
  <si>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</si>
  <si>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</si>
  <si>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</si>
  <si>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</si>
  <si>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</si>
  <si>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</si>
  <si>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</si>
  <si>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</si>
  <si>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</si>
  <si>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</si>
  <si>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</si>
  <si>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</si>
  <si>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</si>
  <si>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</si>
  <si>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</si>
  <si>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</si>
  <si>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</si>
  <si>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</si>
  <si>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</si>
  <si>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</si>
  <si>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</si>
  <si>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</si>
  <si>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</si>
  <si>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</si>
  <si>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</si>
  <si>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</si>
  <si>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</si>
  <si>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</si>
  <si>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</si>
  <si>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</si>
  <si>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</si>
  <si>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</si>
  <si>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</si>
  <si>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</si>
  <si>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</si>
  <si>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</si>
  <si>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</si>
  <si>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</si>
  <si>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</si>
  <si>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</si>
  <si>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</si>
  <si>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</si>
  <si>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</si>
  <si>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</si>
  <si>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</si>
  <si>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</si>
  <si>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</si>
  <si>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</si>
  <si>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</si>
  <si>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</si>
  <si>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</si>
  <si>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</si>
  <si>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</si>
  <si>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</si>
  <si>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</si>
  <si>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</si>
  <si>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</si>
  <si>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</si>
  <si>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</si>
  <si>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</si>
  <si>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</si>
  <si>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</si>
  <si>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</si>
  <si>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</si>
  <si>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</si>
  <si>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</si>
  <si>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</si>
  <si>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</si>
  <si>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</si>
  <si>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</si>
  <si>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</si>
  <si>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</si>
  <si>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</si>
  <si>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</si>
  <si>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</si>
  <si>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</si>
  <si>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</si>
  <si>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</si>
  <si>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</si>
  <si>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</si>
  <si>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</si>
  <si>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</si>
  <si>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</si>
  <si>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</si>
  <si>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</si>
  <si>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</si>
  <si>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</si>
  <si>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</si>
  <si>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</si>
  <si>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</si>
  <si>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</si>
  <si>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</si>
  <si>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</si>
  <si>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</si>
  <si>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</si>
  <si>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</si>
  <si>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</si>
  <si>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</si>
  <si>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</si>
  <si>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</si>
  <si>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</si>
  <si>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</si>
  <si>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</si>
  <si>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</si>
  <si>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</si>
  <si>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</si>
  <si>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</si>
  <si>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</si>
  <si>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</si>
  <si>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</si>
  <si>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</si>
  <si>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</si>
  <si>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</si>
  <si>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</si>
  <si>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</si>
  <si>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</si>
  <si>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</si>
  <si>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</si>
  <si>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</si>
  <si>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</si>
  <si>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</si>
  <si>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</si>
  <si>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</si>
  <si>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</si>
  <si>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</si>
  <si>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</si>
  <si>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</si>
  <si>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</si>
  <si>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</si>
  <si>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</si>
  <si>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</si>
  <si>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</si>
  <si>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</si>
  <si>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</si>
  <si>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</si>
  <si>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</si>
  <si>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</si>
  <si>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</si>
  <si>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</si>
  <si>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</si>
  <si>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</si>
  <si>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</si>
  <si>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</si>
  <si>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</si>
  <si>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</si>
  <si>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</si>
  <si>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</si>
  <si>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</si>
  <si>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</si>
  <si>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</si>
  <si>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</si>
  <si>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</si>
  <si>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</si>
  <si>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</si>
  <si>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</si>
  <si>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</si>
  <si>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</si>
  <si>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</si>
  <si>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</si>
  <si>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</si>
  <si>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</si>
  <si>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</si>
  <si>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</si>
  <si>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</si>
  <si>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</si>
  <si>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</si>
  <si>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</si>
  <si>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</si>
  <si>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</si>
  <si>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</si>
  <si>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</si>
  <si>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</si>
  <si>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</si>
  <si>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</si>
  <si>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</si>
  <si>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</si>
  <si>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</si>
  <si>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</si>
  <si>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</si>
  <si>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</si>
  <si>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</si>
  <si>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</si>
  <si>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</si>
  <si>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</si>
  <si>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</si>
  <si>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</si>
  <si>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</si>
  <si>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</si>
  <si>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</si>
  <si>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</si>
  <si>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</si>
  <si>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</si>
  <si>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</si>
  <si>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</si>
  <si>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</si>
  <si>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</si>
  <si>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</si>
  <si>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</si>
  <si>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</si>
  <si>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</si>
  <si>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</si>
  <si>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</si>
  <si>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</si>
  <si>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</si>
  <si>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</si>
  <si>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</si>
  <si>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</si>
  <si>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</si>
  <si>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</si>
  <si>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</si>
  <si>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</si>
  <si>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</si>
  <si>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</si>
  <si>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</si>
  <si>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</si>
  <si>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</si>
  <si>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</si>
  <si>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</si>
  <si>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</si>
  <si>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</si>
  <si>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</si>
  <si>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</si>
  <si>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</si>
  <si>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</si>
  <si>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</si>
  <si>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</si>
  <si>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</si>
  <si>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</si>
  <si>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</si>
  <si>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</si>
  <si>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</si>
  <si>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</si>
  <si>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</si>
  <si>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</si>
  <si>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</si>
  <si>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</si>
  <si>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</si>
  <si>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</si>
  <si>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</si>
  <si>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</si>
  <si>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</si>
  <si>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</si>
  <si>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</si>
  <si>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</si>
  <si>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</si>
  <si>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</si>
  <si>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</si>
  <si>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</si>
  <si>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</si>
  <si>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</si>
  <si>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</si>
  <si>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</si>
  <si>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</si>
  <si>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</si>
  <si>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</si>
  <si>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</si>
  <si>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</si>
  <si>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</si>
  <si>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</si>
  <si>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</si>
  <si>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</si>
  <si>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</si>
  <si>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</si>
  <si>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</si>
  <si>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</si>
  <si>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</si>
  <si>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</si>
  <si>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</si>
  <si>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</si>
  <si>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</si>
  <si>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</si>
  <si>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</si>
  <si>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</si>
  <si>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</si>
  <si>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</si>
  <si>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</si>
  <si>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</si>
  <si>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</si>
  <si>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</si>
  <si>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</si>
  <si>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</si>
  <si>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</si>
  <si>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</si>
  <si>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</si>
  <si>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</si>
  <si>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</si>
  <si>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</si>
  <si>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</si>
  <si>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</si>
  <si>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</si>
  <si>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</si>
  <si>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</si>
  <si>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</si>
  <si>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</si>
  <si>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</si>
  <si>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</si>
  <si>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</si>
  <si>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</si>
  <si>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</si>
  <si>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</si>
  <si>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</si>
  <si>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</si>
  <si>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</si>
  <si>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</si>
  <si>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</si>
  <si>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</si>
  <si>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</si>
  <si>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</si>
  <si>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</si>
  <si>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</si>
  <si>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</si>
  <si>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</si>
  <si>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</si>
  <si>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</si>
  <si>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</si>
  <si>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</si>
  <si>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</si>
  <si>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</si>
  <si>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</si>
  <si>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</si>
  <si>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</si>
  <si>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</si>
  <si>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</si>
  <si>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</si>
  <si>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</si>
  <si>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</si>
  <si>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</si>
  <si>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</si>
  <si>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</si>
  <si>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</si>
  <si>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</si>
  <si>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</si>
  <si>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</si>
  <si>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</si>
  <si>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</si>
  <si>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</si>
  <si>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</si>
  <si>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</si>
  <si>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</si>
  <si>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</si>
  <si>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</si>
  <si>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</si>
  <si>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</si>
  <si>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</si>
  <si>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</si>
  <si>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</si>
  <si>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</si>
  <si>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</si>
  <si>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</si>
  <si>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</si>
  <si>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</si>
  <si>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</si>
  <si>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</si>
  <si>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</si>
  <si>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</si>
  <si>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</si>
  <si>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</si>
  <si>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</si>
  <si>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</si>
  <si>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</si>
  <si>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</si>
  <si>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</si>
  <si>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</si>
  <si>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</si>
  <si>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</si>
  <si>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</si>
  <si>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</si>
  <si>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</si>
  <si>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</si>
  <si>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</si>
  <si>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</si>
  <si>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</si>
  <si>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</si>
  <si>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</si>
  <si>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</si>
  <si>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</si>
  <si>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</si>
  <si>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</si>
  <si>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</si>
  <si>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</si>
  <si>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</si>
  <si>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</si>
  <si>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</si>
  <si>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</si>
  <si>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</si>
  <si>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</si>
  <si>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</si>
  <si>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</si>
  <si>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</si>
  <si>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</si>
  <si>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</si>
  <si>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</si>
  <si>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</si>
  <si>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</si>
  <si>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</si>
  <si>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</si>
  <si>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</si>
  <si>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</si>
  <si>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</si>
  <si>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</si>
  <si>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</si>
  <si>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</si>
  <si>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</si>
  <si>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</si>
  <si>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</si>
  <si>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</si>
  <si>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</si>
  <si>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</si>
  <si>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</si>
  <si>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</si>
  <si>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</si>
  <si>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</si>
  <si>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</si>
  <si>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</si>
  <si>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</si>
  <si>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</si>
  <si>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</si>
  <si>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</si>
  <si>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</si>
  <si>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</si>
  <si>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</si>
  <si>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</si>
  <si>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</si>
  <si>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</si>
  <si>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</si>
  <si>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</si>
  <si>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</si>
  <si>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</si>
  <si>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</si>
  <si>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</si>
  <si>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</si>
  <si>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</si>
  <si>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</si>
  <si>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</si>
  <si>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</si>
  <si>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</si>
  <si>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</si>
  <si>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</si>
  <si>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</si>
  <si>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</si>
  <si>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</si>
  <si>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</si>
  <si>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</si>
  <si>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</si>
  <si>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</si>
  <si>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</si>
  <si>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</si>
  <si>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</si>
  <si>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</si>
  <si>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</si>
  <si>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</si>
  <si>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</si>
  <si>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</si>
  <si>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</si>
  <si>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</si>
  <si>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</si>
  <si>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</si>
  <si>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</si>
  <si>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</si>
  <si>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</si>
  <si>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</si>
  <si>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</si>
  <si>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</si>
  <si>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</si>
  <si>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</si>
  <si>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</si>
  <si>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</si>
  <si>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</si>
  <si>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</si>
  <si>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</si>
  <si>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</si>
  <si>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</si>
  <si>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</si>
  <si>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</si>
  <si>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</si>
  <si>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</si>
  <si>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</si>
  <si>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</si>
  <si>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</si>
  <si>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</si>
  <si>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</si>
  <si>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</si>
  <si>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</si>
  <si>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</si>
  <si>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</si>
  <si>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</si>
  <si>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</si>
  <si>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</si>
  <si>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</si>
  <si>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</si>
  <si>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</si>
  <si>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</si>
  <si>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</si>
  <si>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</si>
  <si>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</si>
  <si>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</si>
  <si>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</si>
  <si>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</si>
  <si>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</si>
  <si>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</si>
  <si>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</si>
  <si>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</si>
  <si>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</si>
  <si>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</si>
  <si>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</si>
  <si>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</si>
  <si>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</si>
  <si>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</si>
  <si>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</si>
  <si>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</si>
  <si>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</si>
  <si>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</si>
  <si>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</si>
  <si>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</si>
  <si>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</si>
  <si>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</si>
  <si>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</si>
  <si>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</si>
  <si>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</si>
  <si>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</si>
  <si>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</si>
  <si>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</si>
  <si>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</si>
  <si>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</si>
  <si>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</si>
  <si>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</si>
  <si>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</si>
  <si>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</si>
  <si>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</si>
  <si>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</si>
  <si>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</si>
  <si>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</si>
  <si>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</si>
  <si>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</si>
  <si>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</si>
  <si>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</si>
  <si>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</si>
  <si>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</si>
  <si>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</si>
  <si>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</si>
  <si>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</si>
  <si>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</si>
  <si>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</si>
  <si>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</si>
  <si>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</si>
  <si>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</si>
  <si>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</si>
  <si>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</si>
  <si>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</si>
  <si>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</si>
  <si>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</si>
  <si>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</si>
  <si>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</si>
  <si>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</si>
  <si>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</si>
  <si>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</si>
  <si>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</si>
  <si>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</si>
  <si>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</si>
  <si>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</si>
  <si>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</si>
  <si>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</si>
  <si>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</si>
  <si>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</si>
  <si>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</si>
  <si>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</si>
  <si>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</si>
  <si>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</si>
  <si>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</si>
  <si>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</si>
  <si>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</si>
  <si>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</si>
  <si>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</si>
  <si>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</si>
  <si>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</si>
  <si>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</si>
  <si>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</si>
  <si>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</si>
  <si>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</si>
  <si>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</si>
  <si>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</si>
  <si>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</si>
  <si>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</si>
  <si>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</si>
  <si>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</si>
  <si>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</si>
  <si>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</si>
  <si>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</si>
  <si>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</si>
  <si>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</si>
  <si>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</si>
  <si>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</si>
  <si>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</si>
  <si>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</si>
  <si>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</si>
  <si>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</si>
  <si>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</si>
  <si>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</si>
  <si>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</si>
  <si>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</si>
  <si>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</si>
  <si>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</si>
  <si>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</si>
  <si>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</si>
  <si>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</si>
  <si>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</si>
  <si>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</si>
  <si>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</si>
  <si>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</si>
  <si>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</si>
  <si>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</si>
  <si>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</si>
  <si>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</si>
  <si>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</si>
  <si>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</si>
  <si>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</si>
  <si>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</si>
  <si>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</si>
  <si>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</si>
  <si>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</si>
  <si>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</si>
  <si>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</si>
  <si>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</si>
  <si>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</si>
  <si>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</si>
  <si>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</si>
  <si>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</si>
  <si>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</si>
  <si>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</si>
  <si>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</si>
  <si>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</si>
  <si>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</si>
  <si>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</si>
  <si>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</si>
  <si>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</si>
  <si>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</si>
  <si>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</si>
  <si>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</si>
  <si>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</si>
  <si>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</si>
  <si>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</si>
  <si>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</si>
  <si>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</si>
  <si>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</si>
  <si>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</si>
  <si>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</si>
  <si>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</si>
  <si>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</si>
  <si>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</si>
  <si>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</si>
  <si>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</si>
  <si>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</si>
  <si>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</si>
  <si>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</si>
  <si>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</si>
  <si>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</si>
  <si>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</si>
  <si>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</si>
  <si>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</si>
  <si>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</si>
  <si>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</si>
  <si>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</si>
  <si>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</si>
  <si>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</si>
  <si>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</si>
  <si>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</si>
  <si>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</si>
  <si>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</si>
  <si>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</si>
  <si>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</si>
  <si>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</si>
  <si>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</si>
  <si>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</si>
  <si>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</si>
  <si>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</si>
  <si>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</si>
  <si>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</si>
  <si>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</si>
  <si>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</si>
  <si>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</si>
  <si>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</si>
  <si>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</si>
  <si>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</si>
  <si>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</si>
  <si>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</si>
  <si>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</si>
  <si>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</si>
  <si>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</si>
  <si>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</si>
  <si>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</si>
  <si>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</si>
  <si>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</si>
  <si>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</si>
  <si>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</si>
  <si>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</si>
  <si>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</si>
  <si>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</si>
  <si>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</si>
  <si>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</si>
  <si>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</si>
  <si>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</si>
  <si>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</si>
  <si>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</si>
  <si>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</si>
  <si>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</si>
  <si>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</si>
  <si>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</si>
  <si>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</si>
  <si>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</si>
  <si>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</si>
  <si>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</si>
  <si>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</si>
  <si>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</si>
  <si>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</si>
  <si>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</si>
  <si>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</si>
  <si>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</si>
  <si>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</si>
  <si>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</si>
  <si>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</si>
  <si>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</si>
  <si>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</si>
  <si>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</si>
  <si>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</si>
  <si>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</si>
  <si>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</si>
  <si>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</si>
  <si>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</si>
  <si>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</si>
  <si>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</si>
  <si>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</si>
  <si>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</si>
  <si>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</si>
  <si>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</si>
  <si>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</si>
  <si>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</si>
  <si>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</si>
  <si>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</si>
  <si>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</si>
  <si>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</si>
  <si>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</si>
  <si>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</si>
  <si>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</si>
  <si>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</si>
  <si>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</si>
  <si>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</si>
  <si>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</si>
  <si>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</si>
  <si>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</si>
  <si>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</si>
  <si>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</si>
  <si>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</si>
  <si>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</si>
  <si>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</si>
  <si>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</si>
  <si>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</si>
  <si>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</si>
  <si>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</si>
  <si>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</si>
  <si>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</si>
  <si>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</si>
  <si>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</si>
  <si>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</si>
  <si>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</si>
  <si>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</si>
  <si>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</si>
  <si>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</si>
  <si>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</si>
  <si>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</si>
  <si>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</si>
  <si>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</si>
  <si>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</si>
  <si>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</si>
  <si>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</si>
  <si>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</si>
  <si>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</si>
  <si>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</si>
  <si>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</si>
  <si>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</si>
  <si>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</si>
  <si>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</si>
  <si>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</si>
  <si>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</si>
  <si>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</si>
  <si>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</si>
  <si>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</si>
  <si>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</si>
  <si>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</si>
  <si>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</si>
  <si>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</si>
  <si>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</si>
  <si>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</si>
  <si>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</si>
  <si>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</si>
  <si>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</si>
  <si>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</si>
  <si>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</si>
  <si>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</si>
  <si>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</si>
  <si>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</si>
  <si>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</si>
  <si>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</si>
  <si>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</si>
  <si>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</si>
  <si>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</si>
  <si>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</si>
  <si>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</si>
  <si>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</si>
  <si>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</si>
  <si>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</si>
  <si>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</si>
  <si>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</si>
  <si>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</si>
  <si>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</si>
  <si>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</si>
  <si>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</si>
  <si>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</si>
  <si>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</si>
  <si>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</si>
  <si>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</si>
  <si>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</si>
  <si>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</si>
  <si>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</si>
  <si>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</si>
  <si>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</si>
  <si>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</si>
  <si>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</si>
  <si>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</si>
  <si>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</si>
  <si>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</si>
  <si>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</si>
  <si>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</si>
  <si>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</si>
  <si>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</si>
  <si>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</si>
  <si>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</si>
  <si>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</si>
  <si>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</si>
  <si>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</si>
  <si>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</si>
  <si>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</si>
  <si>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</si>
  <si>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</si>
  <si>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</si>
  <si>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</si>
  <si>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</si>
  <si>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</si>
  <si>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</si>
  <si>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</si>
  <si>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</si>
  <si>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</si>
  <si>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</si>
  <si>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</si>
  <si>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</si>
  <si>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</si>
  <si>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</si>
  <si>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</si>
  <si>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</si>
  <si>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</si>
  <si>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</si>
  <si>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</si>
  <si>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</si>
  <si>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</si>
  <si>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</si>
  <si>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</si>
  <si>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</si>
  <si>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</si>
  <si>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</si>
  <si>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</si>
  <si>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</si>
  <si>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</si>
  <si>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</si>
  <si>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</si>
  <si>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</si>
  <si>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</si>
  <si>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</si>
  <si>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</si>
  <si>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</si>
  <si>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</si>
  <si>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</si>
  <si>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</si>
  <si>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</si>
  <si>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</si>
  <si>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</si>
  <si>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</si>
  <si>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</si>
  <si>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</si>
  <si>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</si>
  <si>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</si>
  <si>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</si>
  <si>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</si>
  <si>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</si>
  <si>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</si>
  <si>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</si>
  <si>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</si>
  <si>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</si>
  <si>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</si>
  <si>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</si>
  <si>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</si>
  <si>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</si>
  <si>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</si>
  <si>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</si>
  <si>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</si>
  <si>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</si>
  <si>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</si>
  <si>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</si>
  <si>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</si>
  <si>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</si>
  <si>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</si>
  <si>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</si>
  <si>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</si>
  <si>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</si>
  <si>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</si>
  <si>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</si>
  <si>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</si>
  <si>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</si>
  <si>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</si>
  <si>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</si>
  <si>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</si>
  <si>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</si>
  <si>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</si>
  <si>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</si>
  <si>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</si>
  <si>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</si>
  <si>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</si>
  <si>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</si>
  <si>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</si>
  <si>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</si>
  <si>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</si>
  <si>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</si>
  <si>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</si>
  <si>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</si>
  <si>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</si>
  <si>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</si>
  <si>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</si>
  <si>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</si>
  <si>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</si>
  <si>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</si>
  <si>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</si>
  <si>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</si>
  <si>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</si>
  <si>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</si>
  <si>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</si>
  <si>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</si>
  <si>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</si>
  <si>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</si>
  <si>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</si>
  <si>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</si>
  <si>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</si>
  <si>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</si>
  <si>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</si>
  <si>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</si>
  <si>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</si>
  <si>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</si>
  <si>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</si>
  <si>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</si>
  <si>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</si>
  <si>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</si>
  <si>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</si>
  <si>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</si>
  <si>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</si>
  <si>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</si>
  <si>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</si>
  <si>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</si>
  <si>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</si>
  <si>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</si>
  <si>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</si>
  <si>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</si>
  <si>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</si>
  <si>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</si>
  <si>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</si>
  <si>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</si>
  <si>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</si>
  <si>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</si>
  <si>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</si>
  <si>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</si>
  <si>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</si>
  <si>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</si>
  <si>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</si>
  <si>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</si>
  <si>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</si>
  <si>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</si>
  <si>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</si>
  <si>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</si>
  <si>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</si>
  <si>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</si>
  <si>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</si>
  <si>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</si>
  <si>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</si>
  <si>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</si>
  <si>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</si>
  <si>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</si>
  <si>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</si>
  <si>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</si>
  <si>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</si>
  <si>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</si>
  <si>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</si>
  <si>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</si>
  <si>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</si>
  <si>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</si>
  <si>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</si>
  <si>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</si>
  <si>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</si>
  <si>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</si>
  <si>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</si>
  <si>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</si>
  <si>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</si>
  <si>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</si>
  <si>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</si>
  <si>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</si>
  <si>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</si>
  <si>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</si>
  <si>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</si>
  <si>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</si>
  <si>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</si>
  <si>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</si>
  <si>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</si>
  <si>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</si>
  <si>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</si>
  <si>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</si>
  <si>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</si>
  <si>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</si>
  <si>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</si>
  <si>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</si>
  <si>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</si>
  <si>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</si>
  <si>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</si>
  <si>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</si>
  <si>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</si>
  <si>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</si>
  <si>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</si>
  <si>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</si>
  <si>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</si>
  <si>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</si>
  <si>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</si>
  <si>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</si>
  <si>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</si>
  <si>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</si>
  <si>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</si>
  <si>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</si>
  <si>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</si>
  <si>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2604</t>
  </si>
  <si>
    <t>26409896</t>
  </si>
  <si>
    <t>АМО ЗИЛ</t>
  </si>
  <si>
    <t>7725043886</t>
  </si>
  <si>
    <t>774801001</t>
  </si>
  <si>
    <t>26442818</t>
  </si>
  <si>
    <t>774850001</t>
  </si>
  <si>
    <t>31922293</t>
  </si>
  <si>
    <t>АНО "Дом творчества писателей в Переделкино"</t>
  </si>
  <si>
    <t>9705146848</t>
  </si>
  <si>
    <t>775101001</t>
  </si>
  <si>
    <t>31465833</t>
  </si>
  <si>
    <t>АО "99 ЗАТО"</t>
  </si>
  <si>
    <t>7751520180</t>
  </si>
  <si>
    <t>08-04-2014 00:00:00</t>
  </si>
  <si>
    <t>31039988</t>
  </si>
  <si>
    <t>АО "ГКНПЦ им. М.В.Хруничева"</t>
  </si>
  <si>
    <t>7730239877</t>
  </si>
  <si>
    <t>773001001</t>
  </si>
  <si>
    <t>01-01-2018 00:00:00</t>
  </si>
  <si>
    <t>26322055</t>
  </si>
  <si>
    <t>АО "Газпромнефть - МНПЗ"</t>
  </si>
  <si>
    <t>7723006328</t>
  </si>
  <si>
    <t>772301001</t>
  </si>
  <si>
    <t>25-10-2011 00:00:00</t>
  </si>
  <si>
    <t>30872564</t>
  </si>
  <si>
    <t>АО "Главное управление обустройства войск"</t>
  </si>
  <si>
    <t>7703702341</t>
  </si>
  <si>
    <t>770401001</t>
  </si>
  <si>
    <t>23-01-2017 00:00:00</t>
  </si>
  <si>
    <t>26409890</t>
  </si>
  <si>
    <t>АО "Гостиничная фирма Ярославская"</t>
  </si>
  <si>
    <t>7717026284</t>
  </si>
  <si>
    <t>771701001</t>
  </si>
  <si>
    <t>26436371</t>
  </si>
  <si>
    <t>АО "ДУКС"</t>
  </si>
  <si>
    <t>7714077682</t>
  </si>
  <si>
    <t>771401001</t>
  </si>
  <si>
    <t>31001739</t>
  </si>
  <si>
    <t>АО "Жировой комбинат" филиал "Московский жировой комбинат"</t>
  </si>
  <si>
    <t>6453110490</t>
  </si>
  <si>
    <t>772243001</t>
  </si>
  <si>
    <t>26409908</t>
  </si>
  <si>
    <t>АО "Завод строительных красок и мастик"</t>
  </si>
  <si>
    <t>7724011641</t>
  </si>
  <si>
    <t>772401001</t>
  </si>
  <si>
    <t>30929619</t>
  </si>
  <si>
    <t>АО "Инвесттраст"</t>
  </si>
  <si>
    <t>7751048224</t>
  </si>
  <si>
    <t>31-05-2017 00:00:00</t>
  </si>
  <si>
    <t>26409882</t>
  </si>
  <si>
    <t>АО "Киностудия им. М.Горького"</t>
  </si>
  <si>
    <t>7717149198</t>
  </si>
  <si>
    <t>26548291</t>
  </si>
  <si>
    <t>АО "Клинический санаторий "Валуево"</t>
  </si>
  <si>
    <t>7710013582</t>
  </si>
  <si>
    <t>26358045</t>
  </si>
  <si>
    <t>АО "МАНП"</t>
  </si>
  <si>
    <t>5074002308</t>
  </si>
  <si>
    <t>26504840</t>
  </si>
  <si>
    <t>АО "МСК Энерго"</t>
  </si>
  <si>
    <t>5018054863</t>
  </si>
  <si>
    <t>501801001</t>
  </si>
  <si>
    <t>26322071</t>
  </si>
  <si>
    <t>АО "Машиностроительный завод "Маяк"</t>
  </si>
  <si>
    <t>7719024042</t>
  </si>
  <si>
    <t>771901001</t>
  </si>
  <si>
    <t>26769803</t>
  </si>
  <si>
    <t>АО "Мобильные ГТЭС"</t>
  </si>
  <si>
    <t>7706627050</t>
  </si>
  <si>
    <t>770601001</t>
  </si>
  <si>
    <t>26381508</t>
  </si>
  <si>
    <t>АО "Мосводоканал"</t>
  </si>
  <si>
    <t>7701984274</t>
  </si>
  <si>
    <t>770101001</t>
  </si>
  <si>
    <t>26409900</t>
  </si>
  <si>
    <t>АО "НИИР"</t>
  </si>
  <si>
    <t>7718606827</t>
  </si>
  <si>
    <t>771801001</t>
  </si>
  <si>
    <t>30944778</t>
  </si>
  <si>
    <t>АО "НИИТФА"</t>
  </si>
  <si>
    <t>7726606316</t>
  </si>
  <si>
    <t>772601001</t>
  </si>
  <si>
    <t>26381542</t>
  </si>
  <si>
    <t>АО "НИУИФ"</t>
  </si>
  <si>
    <t>7736032036</t>
  </si>
  <si>
    <t>352801001</t>
  </si>
  <si>
    <t>26639480</t>
  </si>
  <si>
    <t>АО "НПП "Волна"</t>
  </si>
  <si>
    <t>7726534774</t>
  </si>
  <si>
    <t>31442692</t>
  </si>
  <si>
    <t>АО "НТЦ "Атлас"</t>
  </si>
  <si>
    <t>9715389053</t>
  </si>
  <si>
    <t>771501001</t>
  </si>
  <si>
    <t>07-09-2020 00:00:00</t>
  </si>
  <si>
    <t>26322057</t>
  </si>
  <si>
    <t>АО "Научно-исследовательский центр электронной вычислительной техники"</t>
  </si>
  <si>
    <t>7726019325</t>
  </si>
  <si>
    <t>26322056</t>
  </si>
  <si>
    <t>АО "Научно-производственное объединение "Московский радиотехнический завод"</t>
  </si>
  <si>
    <t>7731018133</t>
  </si>
  <si>
    <t>773101001</t>
  </si>
  <si>
    <t>31391061</t>
  </si>
  <si>
    <t>АО "ОЭЗ" "Технополис Москва"</t>
  </si>
  <si>
    <t>7735143008</t>
  </si>
  <si>
    <t>770201001</t>
  </si>
  <si>
    <t>27671430</t>
  </si>
  <si>
    <t>АО "РЭУ"</t>
  </si>
  <si>
    <t>7714783092</t>
  </si>
  <si>
    <t>503243003</t>
  </si>
  <si>
    <t>26838066</t>
  </si>
  <si>
    <t>31205892</t>
  </si>
  <si>
    <t>АО "СОЦИУМ-ЭНЕРГОСИСТЕМЫ"</t>
  </si>
  <si>
    <t>7743211526</t>
  </si>
  <si>
    <t>774301001</t>
  </si>
  <si>
    <t>26322052</t>
  </si>
  <si>
    <t>АО "Северная Московская акционерная компания "СМАК"</t>
  </si>
  <si>
    <t>7716014889</t>
  </si>
  <si>
    <t>31368173</t>
  </si>
  <si>
    <t>АО "Специализированный застройщик "МБИ"</t>
  </si>
  <si>
    <t>7725237240</t>
  </si>
  <si>
    <t>772501001</t>
  </si>
  <si>
    <t>26409968</t>
  </si>
  <si>
    <t>АО "Специализированный застройщик "Пресненский Вал 27""</t>
  </si>
  <si>
    <t>7703071061</t>
  </si>
  <si>
    <t>770301001</t>
  </si>
  <si>
    <t>26509227</t>
  </si>
  <si>
    <t>АО "ТЭИК"</t>
  </si>
  <si>
    <t>5036064448</t>
  </si>
  <si>
    <t>503601001</t>
  </si>
  <si>
    <t>24-02-2005 00:00:00</t>
  </si>
  <si>
    <t>31880836</t>
  </si>
  <si>
    <t>АО "ТЭК-24"</t>
  </si>
  <si>
    <t>9704237228</t>
  </si>
  <si>
    <t>30839292</t>
  </si>
  <si>
    <t>АО "ТЭП"</t>
  </si>
  <si>
    <t>5029191766</t>
  </si>
  <si>
    <t>502901001</t>
  </si>
  <si>
    <t>20-11-2014 00:00:00</t>
  </si>
  <si>
    <t>26357980</t>
  </si>
  <si>
    <t>АО "Троицкая камвольная фабрика"</t>
  </si>
  <si>
    <t>5046005770</t>
  </si>
  <si>
    <t>682901001</t>
  </si>
  <si>
    <t>26409948</t>
  </si>
  <si>
    <t>АО "УТЭ ВДНХ"</t>
  </si>
  <si>
    <t>7717082419</t>
  </si>
  <si>
    <t>26572663</t>
  </si>
  <si>
    <t>АО "ФПК"</t>
  </si>
  <si>
    <t>7708709686</t>
  </si>
  <si>
    <t>997650001</t>
  </si>
  <si>
    <t>03-12-2009 00:00:00</t>
  </si>
  <si>
    <t>30371822</t>
  </si>
  <si>
    <t>АО «ГУ ЖКХ»</t>
  </si>
  <si>
    <t>5116000922</t>
  </si>
  <si>
    <t>770545001</t>
  </si>
  <si>
    <t>28878578</t>
  </si>
  <si>
    <t>АО «Курорт «Михайловское»</t>
  </si>
  <si>
    <t>5074005348</t>
  </si>
  <si>
    <t>26357556</t>
  </si>
  <si>
    <t>АО Агрокомбинат "Московский"</t>
  </si>
  <si>
    <t>5003003432</t>
  </si>
  <si>
    <t>26409912</t>
  </si>
  <si>
    <t>Академия ГПС МЧС России</t>
  </si>
  <si>
    <t>7717035419</t>
  </si>
  <si>
    <t>26-06-2013 00:00:00</t>
  </si>
  <si>
    <t>31680417</t>
  </si>
  <si>
    <t>ГБУ "Аналитический центр"</t>
  </si>
  <si>
    <t>7704835834</t>
  </si>
  <si>
    <t>31890954</t>
  </si>
  <si>
    <t>ГБУ "ЭВАЖД ЦАО"</t>
  </si>
  <si>
    <t>9703205375</t>
  </si>
  <si>
    <t>26409898</t>
  </si>
  <si>
    <t>ГБУ "ЭВАЖД"</t>
  </si>
  <si>
    <t>7704010270</t>
  </si>
  <si>
    <t>31277456</t>
  </si>
  <si>
    <t>7730199840</t>
  </si>
  <si>
    <t>26631434</t>
  </si>
  <si>
    <t>ГБУ СО МО "Центр социально-медицинской реабилитации инвалидов и ветеранов боевых действий "Ясенки"</t>
  </si>
  <si>
    <t>5074035310</t>
  </si>
  <si>
    <t>507401001</t>
  </si>
  <si>
    <t>26647766</t>
  </si>
  <si>
    <t>ГБУ ЦРИ "Красная Пахра"</t>
  </si>
  <si>
    <t>5046021524</t>
  </si>
  <si>
    <t>26548116</t>
  </si>
  <si>
    <t>ГБУ г. Москвы дом социального обслуживания "Филимонки" г. Москвы</t>
  </si>
  <si>
    <t>5003009280</t>
  </si>
  <si>
    <t>26322066</t>
  </si>
  <si>
    <t>ГУП "Московский метрополитен"</t>
  </si>
  <si>
    <t>7702038150</t>
  </si>
  <si>
    <t>26357981</t>
  </si>
  <si>
    <t>ГУП "Троицктеплоэнерго"</t>
  </si>
  <si>
    <t>5046049865</t>
  </si>
  <si>
    <t>ДЕПАРТАМЕНТ ЭКОНОМИЧЕСКОЙ ПОЛИТИКИ И РАЗВИТИЯ ГОРОДА МОСКВЫ</t>
  </si>
  <si>
    <t>7710168515</t>
  </si>
  <si>
    <t>771001001</t>
  </si>
  <si>
    <t>26409884</t>
  </si>
  <si>
    <t>ЖСК "Измайловский"</t>
  </si>
  <si>
    <t>7719049061</t>
  </si>
  <si>
    <t>26409894</t>
  </si>
  <si>
    <t>ЖСК "Коллективный строитель"</t>
  </si>
  <si>
    <t>7714031430</t>
  </si>
  <si>
    <t>28263470</t>
  </si>
  <si>
    <t>ЖСК "Работников Мосгосфилармонии"</t>
  </si>
  <si>
    <t>7730010100</t>
  </si>
  <si>
    <t>26358051</t>
  </si>
  <si>
    <t>ЗАО " Санаторий "Ерино"</t>
  </si>
  <si>
    <t>5074017181</t>
  </si>
  <si>
    <t>26322040</t>
  </si>
  <si>
    <t>ЗАО "Москабельмет"</t>
  </si>
  <si>
    <t>7722015841</t>
  </si>
  <si>
    <t>01-01-0001 00:00:00</t>
  </si>
  <si>
    <t>31-12-9999 23:59:59</t>
  </si>
  <si>
    <t>28149815</t>
  </si>
  <si>
    <t>ЗАО "РИСТОКА"</t>
  </si>
  <si>
    <t>7722201848</t>
  </si>
  <si>
    <t>772201001</t>
  </si>
  <si>
    <t>11-06-2013 00:00:00</t>
  </si>
  <si>
    <t>26409974</t>
  </si>
  <si>
    <t>ЗАО "Реформа Р.В.С."</t>
  </si>
  <si>
    <t>7731566725</t>
  </si>
  <si>
    <t>27819330</t>
  </si>
  <si>
    <t>ЗАО "Технопромэнерго"</t>
  </si>
  <si>
    <t>7721677514</t>
  </si>
  <si>
    <t>772801001</t>
  </si>
  <si>
    <t>30803536</t>
  </si>
  <si>
    <t>Зеленоградский филиал ООО «ТСК Мосэнерго»</t>
  </si>
  <si>
    <t>7729698690</t>
  </si>
  <si>
    <t>773543001</t>
  </si>
  <si>
    <t>17-06-2016 00:00:00</t>
  </si>
  <si>
    <t>31460576</t>
  </si>
  <si>
    <t>ИП Озеров А.В.</t>
  </si>
  <si>
    <t>500305583706</t>
  </si>
  <si>
    <t>23-05-2011 00:00:00</t>
  </si>
  <si>
    <t>31591099</t>
  </si>
  <si>
    <t>ИП Пустовой Д.И.</t>
  </si>
  <si>
    <t>615520681990</t>
  </si>
  <si>
    <t>01-06-2022 00:00:00</t>
  </si>
  <si>
    <t>26808293</t>
  </si>
  <si>
    <t>КП "МЭД"</t>
  </si>
  <si>
    <t>7719034354</t>
  </si>
  <si>
    <t>26434768</t>
  </si>
  <si>
    <t>Компания с ограниченной ответственностью "Вэйнетт Трэдинг Компани Лимитэд"</t>
  </si>
  <si>
    <t>9909008998</t>
  </si>
  <si>
    <t>773851001</t>
  </si>
  <si>
    <t>28284369</t>
  </si>
  <si>
    <t>МРФ "Центр" ПАО "Ростелеком"</t>
  </si>
  <si>
    <t>7707049388</t>
  </si>
  <si>
    <t>504743001</t>
  </si>
  <si>
    <t>27569468</t>
  </si>
  <si>
    <t>МТГ - филиал АО «Гознак»</t>
  </si>
  <si>
    <t>7813252159</t>
  </si>
  <si>
    <t>771743001</t>
  </si>
  <si>
    <t>26360982</t>
  </si>
  <si>
    <t>Московская дирекция по тепловодоснабжению - структурное подразделение Центральной дирекции по тепловодоснабжению - филиала ОАО "РЖД"</t>
  </si>
  <si>
    <t>7708503727</t>
  </si>
  <si>
    <t>770845068</t>
  </si>
  <si>
    <t>26357598</t>
  </si>
  <si>
    <t>НИТУ "МИСИС"</t>
  </si>
  <si>
    <t>7706019535</t>
  </si>
  <si>
    <t>770601005</t>
  </si>
  <si>
    <t>26409880</t>
  </si>
  <si>
    <t>НИУ МГСУ</t>
  </si>
  <si>
    <t>7716103391</t>
  </si>
  <si>
    <t>771601001</t>
  </si>
  <si>
    <t>31564820</t>
  </si>
  <si>
    <t>НИЦ "Курчатовский институт"</t>
  </si>
  <si>
    <t>7734111035</t>
  </si>
  <si>
    <t>773401001</t>
  </si>
  <si>
    <t>20-09-2021 00:00:00</t>
  </si>
  <si>
    <t>26409960</t>
  </si>
  <si>
    <t>ОАО "Бутовский химический завод"</t>
  </si>
  <si>
    <t>5000000401</t>
  </si>
  <si>
    <t>772701001</t>
  </si>
  <si>
    <t>26801781</t>
  </si>
  <si>
    <t>ОАО "ВТИ"</t>
  </si>
  <si>
    <t>7725054856</t>
  </si>
  <si>
    <t>07-12-1993 00:00:00</t>
  </si>
  <si>
    <t>26358053</t>
  </si>
  <si>
    <t>ОАО "Дубровицы"</t>
  </si>
  <si>
    <t>5074030168</t>
  </si>
  <si>
    <t>26322069</t>
  </si>
  <si>
    <t>ОАО "ЗВИ"</t>
  </si>
  <si>
    <t>7725008610</t>
  </si>
  <si>
    <t>02-10-2017 00:00:00</t>
  </si>
  <si>
    <t>26409952</t>
  </si>
  <si>
    <t>ОАО "Кондитерский концерн Бабаевский"</t>
  </si>
  <si>
    <t>7708029391</t>
  </si>
  <si>
    <t>27148500</t>
  </si>
  <si>
    <t>ОАО "МПК "Крекер"</t>
  </si>
  <si>
    <t>7737507243</t>
  </si>
  <si>
    <t>26436277</t>
  </si>
  <si>
    <t>ОАО "Московский картонажно-полиграфический комбинат"</t>
  </si>
  <si>
    <t>7725008874</t>
  </si>
  <si>
    <t>28252425</t>
  </si>
  <si>
    <t>ОАО "Новомосковский Технопарк"</t>
  </si>
  <si>
    <t>5003004676</t>
  </si>
  <si>
    <t>500301001</t>
  </si>
  <si>
    <t>26503007</t>
  </si>
  <si>
    <t>ОАО "Останкинский молочный комбинат"</t>
  </si>
  <si>
    <t>7715087436</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</si>
  <si>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</si>
  <si>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</si>
  <si>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</si>
  <si>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</si>
  <si>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27569481</t>
  </si>
  <si>
    <t>ОАО "РОТ ФРОНТ"</t>
  </si>
  <si>
    <t>7705033216</t>
  </si>
  <si>
    <t>31767650</t>
  </si>
  <si>
    <t>ООО "Буревестник"</t>
  </si>
  <si>
    <t>7720928821</t>
  </si>
  <si>
    <t>772001001</t>
  </si>
  <si>
    <t>01-05-2024 00:00:00</t>
  </si>
  <si>
    <t>26409950</t>
  </si>
  <si>
    <t>ООО "ВТК-ИНВЕСТ"</t>
  </si>
  <si>
    <t>7731463230</t>
  </si>
  <si>
    <t>26424759</t>
  </si>
  <si>
    <t>ООО "Визит-Москва"</t>
  </si>
  <si>
    <t>7703026485</t>
  </si>
  <si>
    <t>773302001</t>
  </si>
  <si>
    <t>31595622</t>
  </si>
  <si>
    <t>ООО "ГК СЭТ"</t>
  </si>
  <si>
    <t>9729022231</t>
  </si>
  <si>
    <t>31589735</t>
  </si>
  <si>
    <t>ООО "ГРАНД СЕРВИС БИЛДИНГ"</t>
  </si>
  <si>
    <t>7709713124</t>
  </si>
  <si>
    <t>31504026</t>
  </si>
  <si>
    <t>ООО "ГРК"</t>
  </si>
  <si>
    <t>7730249265</t>
  </si>
  <si>
    <t>13-02-2019 00:00:00</t>
  </si>
  <si>
    <t>30356126</t>
  </si>
  <si>
    <t>ООО "Геруда"</t>
  </si>
  <si>
    <t>7715383058</t>
  </si>
  <si>
    <t>15-07-2015 00:00:00</t>
  </si>
  <si>
    <t>31469739</t>
  </si>
  <si>
    <t>07-06-2003 00:00:00</t>
  </si>
  <si>
    <t>30922266</t>
  </si>
  <si>
    <t>ООО "Гортепло"</t>
  </si>
  <si>
    <t>7702398730</t>
  </si>
  <si>
    <t>26627387</t>
  </si>
  <si>
    <t>ООО "ГрадИнвест"</t>
  </si>
  <si>
    <t>7729609724</t>
  </si>
  <si>
    <t>500101001</t>
  </si>
  <si>
    <t>28982603</t>
  </si>
  <si>
    <t>ООО "Гранель Инжиниринг"</t>
  </si>
  <si>
    <t>5001091909</t>
  </si>
  <si>
    <t>24-12-2012 00:00:00</t>
  </si>
  <si>
    <t>31001295</t>
  </si>
  <si>
    <t>ООО "Декор"</t>
  </si>
  <si>
    <t>7727531060</t>
  </si>
  <si>
    <t>31025544</t>
  </si>
  <si>
    <t>ООО "ЕФН Эко Сервис"</t>
  </si>
  <si>
    <t>7736552814</t>
  </si>
  <si>
    <t>773601001</t>
  </si>
  <si>
    <t>26409958</t>
  </si>
  <si>
    <t>ООО "ЕФН-Экотехпром МСЗ 3"</t>
  </si>
  <si>
    <t>7737520364</t>
  </si>
  <si>
    <t>16-01-2026 00:00:00</t>
  </si>
  <si>
    <t>31316739</t>
  </si>
  <si>
    <t>ООО "Инженерные системы 1"</t>
  </si>
  <si>
    <t>7751141030</t>
  </si>
  <si>
    <t>14-03-2018 00:00:00</t>
  </si>
  <si>
    <t>26361052</t>
  </si>
  <si>
    <t>ООО "Инжтрасс-строй"</t>
  </si>
  <si>
    <t>7723159532</t>
  </si>
  <si>
    <t>30370913</t>
  </si>
  <si>
    <t>ООО "Источник"</t>
  </si>
  <si>
    <t>5003045746</t>
  </si>
  <si>
    <t>26409978</t>
  </si>
  <si>
    <t>ООО "КОТБУТ"</t>
  </si>
  <si>
    <t>7710054300</t>
  </si>
  <si>
    <t>31207161</t>
  </si>
  <si>
    <t>ООО "Красный Октябрь - Рассказовка"</t>
  </si>
  <si>
    <t>7718894438</t>
  </si>
  <si>
    <t>31504030</t>
  </si>
  <si>
    <t>ООО "Лесная сказка"</t>
  </si>
  <si>
    <t>5074006831</t>
  </si>
  <si>
    <t>366301001</t>
  </si>
  <si>
    <t>08-02-2012 00:00:00</t>
  </si>
  <si>
    <t>26515847</t>
  </si>
  <si>
    <t>ООО "МЕЧЕЛ-ЭНЕРГО"</t>
  </si>
  <si>
    <t>7722245108</t>
  </si>
  <si>
    <t>31766646</t>
  </si>
  <si>
    <t>ООО "Молодогвардейская-спецзастройщик"</t>
  </si>
  <si>
    <t>9731139808</t>
  </si>
  <si>
    <t>01-09-2024 00:00:00</t>
  </si>
  <si>
    <t>28455968</t>
  </si>
  <si>
    <t>ООО "Новое строительство"</t>
  </si>
  <si>
    <t>7709563302</t>
  </si>
  <si>
    <t>770901001</t>
  </si>
  <si>
    <t>31579715</t>
  </si>
  <si>
    <t>ООО "ОБОРОНЛОГИСТИКА"</t>
  </si>
  <si>
    <t>7718857267</t>
  </si>
  <si>
    <t>770501001</t>
  </si>
  <si>
    <t>18-08-2011 00:00:00</t>
  </si>
  <si>
    <t>26499733</t>
  </si>
  <si>
    <t>ООО "ПАТЕКСТРОЙАРСЕНАЛ МГ"</t>
  </si>
  <si>
    <t>7710230033</t>
  </si>
  <si>
    <t>503801001</t>
  </si>
  <si>
    <t>31298866</t>
  </si>
  <si>
    <t>ООО "ПК "Желатин"</t>
  </si>
  <si>
    <t>7734171958</t>
  </si>
  <si>
    <t>31028795</t>
  </si>
  <si>
    <t>ООО "ПОЛЕТ-ИНЖЕНЕР"</t>
  </si>
  <si>
    <t>9709020814</t>
  </si>
  <si>
    <t>26-12-2017 00:00:00</t>
  </si>
  <si>
    <t>26409966</t>
  </si>
  <si>
    <t>ООО "ППК медная фольга"</t>
  </si>
  <si>
    <t>7726298446</t>
  </si>
  <si>
    <t>31357324</t>
  </si>
  <si>
    <t>ООО "Парк Авеню"</t>
  </si>
  <si>
    <t>7705750245</t>
  </si>
  <si>
    <t>31242615</t>
  </si>
  <si>
    <t>ООО "Первая транспортная компания"</t>
  </si>
  <si>
    <t>7717751405</t>
  </si>
  <si>
    <t>26357547</t>
  </si>
  <si>
    <t>ООО "РЕСУРСЭНЕРГОКОМ"</t>
  </si>
  <si>
    <t>5001036552</t>
  </si>
  <si>
    <t>27687870</t>
  </si>
  <si>
    <t>ООО "РОСМИКС"</t>
  </si>
  <si>
    <t>7719284001</t>
  </si>
  <si>
    <t>27758296</t>
  </si>
  <si>
    <t>ООО "РЭС"</t>
  </si>
  <si>
    <t>5032159515</t>
  </si>
  <si>
    <t>503201001</t>
  </si>
  <si>
    <t>17-11-2006 00:00:00</t>
  </si>
  <si>
    <t>26755313</t>
  </si>
  <si>
    <t>ООО "Ремэнерго"</t>
  </si>
  <si>
    <t>7718817521</t>
  </si>
  <si>
    <t>31083979</t>
  </si>
  <si>
    <t>ООО "СИРИУС ТЕПЛО"</t>
  </si>
  <si>
    <t>7704793687</t>
  </si>
  <si>
    <t>31833562</t>
  </si>
  <si>
    <t>ООО "СЭД"</t>
  </si>
  <si>
    <t>7736625205</t>
  </si>
  <si>
    <t>26324385</t>
  </si>
  <si>
    <t>ООО "Ситиэнерго"</t>
  </si>
  <si>
    <t>7706593549</t>
  </si>
  <si>
    <t>31596475</t>
  </si>
  <si>
    <t>ООО "Слобода-Сервис"</t>
  </si>
  <si>
    <t>5007066560</t>
  </si>
  <si>
    <t>773301001</t>
  </si>
  <si>
    <t>31504506</t>
  </si>
  <si>
    <t>ООО "СпецСервис"</t>
  </si>
  <si>
    <t>9701148026</t>
  </si>
  <si>
    <t>22-10-2019 00:00:00</t>
  </si>
  <si>
    <t>31878848</t>
  </si>
  <si>
    <t>ООО "Специализированный застройщик "РЕНЕССАНС"</t>
  </si>
  <si>
    <t>9701057629</t>
  </si>
  <si>
    <t>31699855</t>
  </si>
  <si>
    <t>ООО "Станиславский"</t>
  </si>
  <si>
    <t>3900015647</t>
  </si>
  <si>
    <t>390001001</t>
  </si>
  <si>
    <t>01-10-2023 00:00:00</t>
  </si>
  <si>
    <t>31240838</t>
  </si>
  <si>
    <t>ООО "ТАКОМА-ЛАЙН"</t>
  </si>
  <si>
    <t>7729389356</t>
  </si>
  <si>
    <t>31448322</t>
  </si>
  <si>
    <t>ООО "ТВС"</t>
  </si>
  <si>
    <t>7728493770</t>
  </si>
  <si>
    <t>09-12-2019 00:00:00</t>
  </si>
  <si>
    <t>30949718</t>
  </si>
  <si>
    <t>ООО "ТЕПЛОВИК"</t>
  </si>
  <si>
    <t>7705365268</t>
  </si>
  <si>
    <t>01-08-2014 00:00:00</t>
  </si>
  <si>
    <t>31624628</t>
  </si>
  <si>
    <t>ООО "Тепло"</t>
  </si>
  <si>
    <t>7751204515</t>
  </si>
  <si>
    <t>28858999</t>
  </si>
  <si>
    <t>ООО "ТеплоГрад"</t>
  </si>
  <si>
    <t>5003102553</t>
  </si>
  <si>
    <t>31098561</t>
  </si>
  <si>
    <t>ООО "ТеплоЭлектроСити"</t>
  </si>
  <si>
    <t>7716868591</t>
  </si>
  <si>
    <t>28977025</t>
  </si>
  <si>
    <t>ООО "ТеплоЭнерго"</t>
  </si>
  <si>
    <t>7709959600</t>
  </si>
  <si>
    <t>20-02-2026 00:00:00</t>
  </si>
  <si>
    <t>31035390</t>
  </si>
  <si>
    <t>ООО "Теплоресурс" Д.У.</t>
  </si>
  <si>
    <t>7751513055</t>
  </si>
  <si>
    <t>27684309</t>
  </si>
  <si>
    <t>ООО "Теплосервис"</t>
  </si>
  <si>
    <t>5074117066</t>
  </si>
  <si>
    <t>30900482</t>
  </si>
  <si>
    <t>ООО "Теплострой"</t>
  </si>
  <si>
    <t>7727046924</t>
  </si>
  <si>
    <t>27-03-2017 00:00:00</t>
  </si>
  <si>
    <t>30477630</t>
  </si>
  <si>
    <t>ООО "Теплоэнерго МСК"</t>
  </si>
  <si>
    <t>7715470504</t>
  </si>
  <si>
    <t>30802627</t>
  </si>
  <si>
    <t>ООО "ТермоТрон"</t>
  </si>
  <si>
    <t>5024159342</t>
  </si>
  <si>
    <t>502401001</t>
  </si>
  <si>
    <t>02-11-2015 00:00:00</t>
  </si>
  <si>
    <t>31454603</t>
  </si>
  <si>
    <t>ООО "Трансресурс"</t>
  </si>
  <si>
    <t>7720389841</t>
  </si>
  <si>
    <t>31152291</t>
  </si>
  <si>
    <t>ООО "Хартия"</t>
  </si>
  <si>
    <t>7703770101</t>
  </si>
  <si>
    <t>13-06-2012 00:00:00</t>
  </si>
  <si>
    <t>28263480</t>
  </si>
  <si>
    <t>ООО "Эксплуатационно-техническая компания   №2"</t>
  </si>
  <si>
    <t>7704583464</t>
  </si>
  <si>
    <t>27618587</t>
  </si>
  <si>
    <t>ООО "Энергия тепла"</t>
  </si>
  <si>
    <t>7724751741</t>
  </si>
  <si>
    <t>27569023</t>
  </si>
  <si>
    <t>ООО "Энергосети"</t>
  </si>
  <si>
    <t>7731663126</t>
  </si>
  <si>
    <t>31319586</t>
  </si>
  <si>
    <t>ООО "Энергоцентр"</t>
  </si>
  <si>
    <t>7722848963</t>
  </si>
  <si>
    <t>26637516</t>
  </si>
  <si>
    <t>ООО "Юнилевер Русь"</t>
  </si>
  <si>
    <t>7705183476</t>
  </si>
  <si>
    <t>26409956</t>
  </si>
  <si>
    <t>ООО "Юнисервис"</t>
  </si>
  <si>
    <t>7729524407</t>
  </si>
  <si>
    <t>26503034</t>
  </si>
  <si>
    <t>ООО «Биоджоуль»</t>
  </si>
  <si>
    <t>28456727</t>
  </si>
  <si>
    <t>ООО «Нью Проперти»</t>
  </si>
  <si>
    <t>7743822973</t>
  </si>
  <si>
    <t>28456768</t>
  </si>
  <si>
    <t>ООО «ПРП Энерго»</t>
  </si>
  <si>
    <t>7721749173</t>
  </si>
  <si>
    <t>772101001</t>
  </si>
  <si>
    <t>27892080</t>
  </si>
  <si>
    <t>ООО «ПТО «Ватутинки»</t>
  </si>
  <si>
    <t>5003098794</t>
  </si>
  <si>
    <t>31330046</t>
  </si>
  <si>
    <t>ООО «САМОЛЕТ ЭНЕРГО»</t>
  </si>
  <si>
    <t>5003126480</t>
  </si>
  <si>
    <t>11-01-2018 00:00:00</t>
  </si>
  <si>
    <t>28460156</t>
  </si>
  <si>
    <t>ООО «СервисНедвижимость РусГидро»</t>
  </si>
  <si>
    <t>7710898590</t>
  </si>
  <si>
    <t>246601001</t>
  </si>
  <si>
    <t>28873412</t>
  </si>
  <si>
    <t>ООО «ТЕПЛОСЕТЬЭНЕРГО»</t>
  </si>
  <si>
    <t>7721828474</t>
  </si>
  <si>
    <t>28981613</t>
  </si>
  <si>
    <t>ООО «ТСК МОСЭНЕРГО» филиал Сколковский</t>
  </si>
  <si>
    <t>772143001</t>
  </si>
  <si>
    <t>31034919</t>
  </si>
  <si>
    <t>ООО КСЦ "Переделкино»</t>
  </si>
  <si>
    <t>9729049138</t>
  </si>
  <si>
    <t>31031749</t>
  </si>
  <si>
    <t>ООО МПФ "И.П.Ф."</t>
  </si>
  <si>
    <t>7723926445</t>
  </si>
  <si>
    <t>31561086</t>
  </si>
  <si>
    <t>ООО УК "Четыре Солнца"</t>
  </si>
  <si>
    <t>7719745044</t>
  </si>
  <si>
    <t>18-03-2010 00:00:00</t>
  </si>
  <si>
    <t>31511664</t>
  </si>
  <si>
    <t>ООО УК «ТЭР»</t>
  </si>
  <si>
    <t>7727406052</t>
  </si>
  <si>
    <t>28797135</t>
  </si>
  <si>
    <t>ООО"АрДиАй Ресурс"</t>
  </si>
  <si>
    <t>5030055180</t>
  </si>
  <si>
    <t>05-09-2006 00:00:00</t>
  </si>
  <si>
    <t>26322067</t>
  </si>
  <si>
    <t>Общество с ограниченной ответственностью "Московский Прожекторный Завод"</t>
  </si>
  <si>
    <t>7720827686</t>
  </si>
  <si>
    <t>26509167</t>
  </si>
  <si>
    <t>Оздоровительное объединение "Солнечный городок" Банка России</t>
  </si>
  <si>
    <t>7702235133</t>
  </si>
  <si>
    <t>770245016</t>
  </si>
  <si>
    <t>17-01-2001 00:00:00</t>
  </si>
  <si>
    <t>26381535</t>
  </si>
  <si>
    <t>ПАО "Карачаровский механический завод"</t>
  </si>
  <si>
    <t>7721024057</t>
  </si>
  <si>
    <t>26409916</t>
  </si>
  <si>
    <t>ПАО "Мосэнерго"</t>
  </si>
  <si>
    <t>7705035012</t>
  </si>
  <si>
    <t>31756206</t>
  </si>
  <si>
    <t>ФАУ МО РФ ЦСКА</t>
  </si>
  <si>
    <t>7714317863</t>
  </si>
  <si>
    <t>771400100</t>
  </si>
  <si>
    <t>04-07-2024 00:00:00</t>
  </si>
  <si>
    <t>28878163</t>
  </si>
  <si>
    <t>ФБУ здравоохранения "Лечебно-реабилитационный центр Министерства экономического развития РФ"</t>
  </si>
  <si>
    <t>7751524258</t>
  </si>
  <si>
    <t>26357563</t>
  </si>
  <si>
    <t>ФГАНУ «ФНЦИРИП им. Чумакова РАН»</t>
  </si>
  <si>
    <t>7751023847</t>
  </si>
  <si>
    <t>26573412</t>
  </si>
  <si>
    <t>ФГАУ "Оздоровительный комплекс "Архангельское" УДП РФ</t>
  </si>
  <si>
    <t>5003004002</t>
  </si>
  <si>
    <t>26491287</t>
  </si>
  <si>
    <t>ФГАУ «НМИЦ нейрохирургии им. ак. Н.Н. Бурденко» Минздрава России</t>
  </si>
  <si>
    <t>7710103758</t>
  </si>
  <si>
    <t>01-01-2010 00:00:00</t>
  </si>
  <si>
    <t>28878536</t>
  </si>
  <si>
    <t>ФГАУ «ОК «Шереметьевский» УДП РФ»</t>
  </si>
  <si>
    <t>5047046105</t>
  </si>
  <si>
    <t>771301001</t>
  </si>
  <si>
    <t>26324390</t>
  </si>
  <si>
    <t>ФГБОУ ВПО "НИУ МЭИ"</t>
  </si>
  <si>
    <t>7722019652</t>
  </si>
  <si>
    <t>772245001</t>
  </si>
  <si>
    <t>31457433</t>
  </si>
  <si>
    <t>ФГБУ "Комфортная среда"</t>
  </si>
  <si>
    <t>7736331124</t>
  </si>
  <si>
    <t>10-11-2020 00:00:00</t>
  </si>
  <si>
    <t>30903763</t>
  </si>
  <si>
    <t>ФГБУ "ЦЖКУ" МИНОБОРОНЫ РОССИИ</t>
  </si>
  <si>
    <t>7729314745</t>
  </si>
  <si>
    <t>26409872</t>
  </si>
  <si>
    <t>ФГБУ "ЦКБ с поликлиникой" УДП РФ</t>
  </si>
  <si>
    <t>7731082971</t>
  </si>
  <si>
    <t>26567452</t>
  </si>
  <si>
    <t>ФГБУ «ОК «Бор» УДП РФ</t>
  </si>
  <si>
    <t>5009061310</t>
  </si>
  <si>
    <t>500901001</t>
  </si>
  <si>
    <t>31056692</t>
  </si>
  <si>
    <t>ФГБУ «ОК «Бор» УДП РФ - филиал «ОК» «Ватутинки»</t>
  </si>
  <si>
    <t>775143001</t>
  </si>
  <si>
    <t>29-11-2012 00:00:00</t>
  </si>
  <si>
    <t>30823919</t>
  </si>
  <si>
    <t>ФГКУ "Логистический центр"</t>
  </si>
  <si>
    <t>7718182896</t>
  </si>
  <si>
    <t>26647745</t>
  </si>
  <si>
    <t>ФГКУ Дом отдыха «ПОДМОСКОВНЫЕ ВЕЧЕРА»</t>
  </si>
  <si>
    <t>5046005561</t>
  </si>
  <si>
    <t>31517733</t>
  </si>
  <si>
    <t>ФГУП "РАДОН" в лице Московского филиала</t>
  </si>
  <si>
    <t>7704009700</t>
  </si>
  <si>
    <t>772443001</t>
  </si>
  <si>
    <t>07-06-2019 00:00:00</t>
  </si>
  <si>
    <t>29649121</t>
  </si>
  <si>
    <t>ФГУП "Центральный научно-исследовательский институт химии и механики"</t>
  </si>
  <si>
    <t>7724073013</t>
  </si>
  <si>
    <t>31414590</t>
  </si>
  <si>
    <t>ФГУП «Торговый дом «Кремлевский» Управления делами Президента Российской Федерации</t>
  </si>
  <si>
    <t>7703258101</t>
  </si>
  <si>
    <t>26647710</t>
  </si>
  <si>
    <t>ФКУЗ "Санаторий "Ватутинки" МВД России"</t>
  </si>
  <si>
    <t>5046005882</t>
  </si>
  <si>
    <t>26357592</t>
  </si>
  <si>
    <t>ФЛ ОК "Ватутинки" ФГУП ОПК "БОР" УД П РФ</t>
  </si>
  <si>
    <t>5005000518</t>
  </si>
  <si>
    <t>500302001</t>
  </si>
  <si>
    <t>01-01-2015 00:00:00</t>
  </si>
  <si>
    <t>28454864</t>
  </si>
  <si>
    <t>ФСО России</t>
  </si>
  <si>
    <t>7704055094</t>
  </si>
  <si>
    <t>04-02-2003 00:00:00</t>
  </si>
  <si>
    <t>30796338</t>
  </si>
  <si>
    <t>Филиал Компании с ограниченной ответственностью "НЕЗОРАЛ ЛТД"</t>
  </si>
  <si>
    <t>9909399075</t>
  </si>
  <si>
    <t>774751001</t>
  </si>
  <si>
    <t>26814783</t>
  </si>
  <si>
    <t>Филиал ООО "Газпром трансгаз Москва" УЭЗC</t>
  </si>
  <si>
    <t>5003028028</t>
  </si>
  <si>
    <t>997250001</t>
  </si>
  <si>
    <t>27790981</t>
  </si>
  <si>
    <t>Филиал частной акционерной компании с ограниченной ответственностью БИЗНЕС ЦЕНТР СТАНИСЛАВСКИЙ (КИПР) ЛИМИТЕД в Москве, Россия</t>
  </si>
  <si>
    <t>9909354677</t>
  </si>
  <si>
    <t>22-08-2011 00:00:00</t>
  </si>
  <si>
    <t>26513518</t>
  </si>
  <si>
    <t>Центральный филиал ООО «Газпром энерго»</t>
  </si>
  <si>
    <t>7736186950</t>
  </si>
  <si>
    <t>504343001</t>
  </si>
  <si>
    <t>07-02-2006 00:00:00</t>
  </si>
  <si>
    <t>31304443</t>
  </si>
  <si>
    <t>АО "ГНЦ РФ ТРИНИТИ"</t>
  </si>
  <si>
    <t>7751002460</t>
  </si>
  <si>
    <t>31911529</t>
  </si>
  <si>
    <t>АО "Дом-Сервис"</t>
  </si>
  <si>
    <t>7751365520</t>
  </si>
  <si>
    <t>28061836</t>
  </si>
  <si>
    <t>АО "Международный аэропорт Внуково"</t>
  </si>
  <si>
    <t>7710404473</t>
  </si>
  <si>
    <t>20-12-2001 00:00:00</t>
  </si>
  <si>
    <t>31715647</t>
  </si>
  <si>
    <t>АО "Троицкая Строительная Компания"</t>
  </si>
  <si>
    <t>5046065546</t>
  </si>
  <si>
    <t>26548085</t>
  </si>
  <si>
    <t>ГУП ППЗ "Птичное"</t>
  </si>
  <si>
    <t>5030005679</t>
  </si>
  <si>
    <t>503001001</t>
  </si>
  <si>
    <t>26548359</t>
  </si>
  <si>
    <t>Дирекция по эксплуатации городка писателей "Переделкино"</t>
  </si>
  <si>
    <t>5003028042</t>
  </si>
  <si>
    <t>26322051</t>
  </si>
  <si>
    <t>ЗАО "Микояновский мясокомбинат"</t>
  </si>
  <si>
    <t>7722169626</t>
  </si>
  <si>
    <t>774950001</t>
  </si>
  <si>
    <t>26548317</t>
  </si>
  <si>
    <t>МУП "Водоканал" г. Подольска</t>
  </si>
  <si>
    <t>5036029468</t>
  </si>
  <si>
    <t>26647696</t>
  </si>
  <si>
    <t>НП «Коттеджный поселок «Городок К»</t>
  </si>
  <si>
    <t>5046063940</t>
  </si>
  <si>
    <t>26807166</t>
  </si>
  <si>
    <t>ОАО "Кимпор"</t>
  </si>
  <si>
    <t>5074000276</t>
  </si>
  <si>
    <t>31717962</t>
  </si>
  <si>
    <t>ООО " Апрелевка С2"</t>
  </si>
  <si>
    <t>5030049041</t>
  </si>
  <si>
    <t>31881147</t>
  </si>
  <si>
    <t>ООО "ВНУКОВО ЛОГИСТИК"</t>
  </si>
  <si>
    <t>7735574854</t>
  </si>
  <si>
    <t>30902623</t>
  </si>
  <si>
    <t>ООО "Гамма"</t>
  </si>
  <si>
    <t>7716693038</t>
  </si>
  <si>
    <t>28983753</t>
  </si>
  <si>
    <t>ООО "ЖКХ "Водоканал +"</t>
  </si>
  <si>
    <t>7706765710</t>
  </si>
  <si>
    <t>23-11-2011 00:00:00</t>
  </si>
  <si>
    <t>28147571</t>
  </si>
  <si>
    <t>ООО "ЖКХ "Водоканал+"</t>
  </si>
  <si>
    <t>26548399</t>
  </si>
  <si>
    <t>ООО "Кузнецовский комбинат"</t>
  </si>
  <si>
    <t>5030049820</t>
  </si>
  <si>
    <t>26509255</t>
  </si>
  <si>
    <t>ООО "Строитель-плюс"</t>
  </si>
  <si>
    <t>5074012017</t>
  </si>
  <si>
    <t>31480475</t>
  </si>
  <si>
    <t>ООО "Теплоэксперт"</t>
  </si>
  <si>
    <t>7730256826</t>
  </si>
  <si>
    <t>18-03-2020 00:00:00</t>
  </si>
  <si>
    <t>31504041</t>
  </si>
  <si>
    <t>ООО "УПРАВЛЯЮЩАЯ КОМПАНИЯ" МАРСЕЛЬ СЕРВИС "</t>
  </si>
  <si>
    <t>7751012517</t>
  </si>
  <si>
    <t>10-11-2015 00:00:00</t>
  </si>
  <si>
    <t>31528652</t>
  </si>
  <si>
    <t>ООО "ХОЛДИНГ-СЕТЬ"</t>
  </si>
  <si>
    <t>7733344005</t>
  </si>
  <si>
    <t>12-08-2019 00:00:00</t>
  </si>
  <si>
    <t>30859593</t>
  </si>
  <si>
    <t>ООО «Комплексные системы «А»</t>
  </si>
  <si>
    <t>7709453476</t>
  </si>
  <si>
    <t>26-03-2015 00:00:00</t>
  </si>
  <si>
    <t>31905816</t>
  </si>
  <si>
    <t>ООО «ПРЕМИУМ ПАРК ОТЕЛЬ»</t>
  </si>
  <si>
    <t>9702071464</t>
  </si>
  <si>
    <t>31828289</t>
  </si>
  <si>
    <t>ООО «СК Рависсант»</t>
  </si>
  <si>
    <t>2460115519</t>
  </si>
  <si>
    <t>246001001</t>
  </si>
  <si>
    <t>31667247</t>
  </si>
  <si>
    <t>ООО УК «ДОМКОМ-Изумруд»</t>
  </si>
  <si>
    <t>7751167905</t>
  </si>
  <si>
    <t>30955923</t>
  </si>
  <si>
    <t>Общество с ограниченной ответственностью "Витро Вилладж"</t>
  </si>
  <si>
    <t>7751002903</t>
  </si>
  <si>
    <t>31448836</t>
  </si>
  <si>
    <t>Общество с ограниченной ответственностью "Управляющая компания "БРИСТОЛЬ Сервис"</t>
  </si>
  <si>
    <t>7751015317</t>
  </si>
  <si>
    <t>11-01-2016 00:00:00</t>
  </si>
  <si>
    <t>31648213</t>
  </si>
  <si>
    <t>Общество с ограниченной ответственностью «Холдинг-Сеть»</t>
  </si>
  <si>
    <t>31512806</t>
  </si>
  <si>
    <t>ФГАУ "ОК "Десна"</t>
  </si>
  <si>
    <t>5003006930</t>
  </si>
  <si>
    <t>26436646</t>
  </si>
  <si>
    <t>ФГБУ "Канал им.Москвы"</t>
  </si>
  <si>
    <t>7733231361</t>
  </si>
  <si>
    <t>26357564</t>
  </si>
  <si>
    <t>ФГБУ «ОСДО «Десна» УД П РФ»</t>
  </si>
  <si>
    <t>26436553</t>
  </si>
  <si>
    <t>Филиал ОАО "ФСК ЕЭС" - Московское ПМЭС</t>
  </si>
  <si>
    <t>4716016979</t>
  </si>
  <si>
    <t>500732001</t>
  </si>
  <si>
    <t>26548107</t>
  </si>
  <si>
    <t>Филиал ПАО «Газпром» «Дом приемов «Богородское»</t>
  </si>
  <si>
    <t>7736050003</t>
  </si>
  <si>
    <t>775102001</t>
  </si>
  <si>
    <t>26808940</t>
  </si>
  <si>
    <t>АО "Щербинский завод электроплавленных огнеупоров"</t>
  </si>
  <si>
    <t>5051000030</t>
  </si>
  <si>
    <t>30915401</t>
  </si>
  <si>
    <t>ГУП "Мосводосток"</t>
  </si>
  <si>
    <t>7705013033</t>
  </si>
  <si>
    <t>31269732</t>
  </si>
  <si>
    <t>ООО "АВАНГАРД-АГРО-Тула"</t>
  </si>
  <si>
    <t>7107553032</t>
  </si>
  <si>
    <t>710701001</t>
  </si>
  <si>
    <t>31727364</t>
  </si>
  <si>
    <t>ООО "БИОС"</t>
  </si>
  <si>
    <t>9725051802</t>
  </si>
  <si>
    <t>31727201</t>
  </si>
  <si>
    <t>ООО "ГРИНТЕХ"</t>
  </si>
  <si>
    <t>9703020007</t>
  </si>
  <si>
    <t>31246216</t>
  </si>
  <si>
    <t>ООО "ГидроИнж"</t>
  </si>
  <si>
    <t>7751147680</t>
  </si>
  <si>
    <t>28-08-2018 00:00:00</t>
  </si>
  <si>
    <t>28426023</t>
  </si>
  <si>
    <t>ООО "ЖКХ "Водоканал"</t>
  </si>
  <si>
    <t>7706737102</t>
  </si>
  <si>
    <t>12-05-2010 00:00:00</t>
  </si>
  <si>
    <t>31772853</t>
  </si>
  <si>
    <t>ООО "СЗ "СТРОЙКОМ 1"</t>
  </si>
  <si>
    <t>7751164171</t>
  </si>
  <si>
    <t>31719777</t>
  </si>
  <si>
    <t>АО "Экотехпром"</t>
  </si>
  <si>
    <t>9706038813</t>
  </si>
  <si>
    <t>20-11-2023 00:00:00</t>
  </si>
  <si>
    <t>31718340</t>
  </si>
  <si>
    <t>400445001</t>
  </si>
  <si>
    <t>22-08-2016 00:00:00</t>
  </si>
  <si>
    <t>31551636</t>
  </si>
  <si>
    <t>ООО "Грин Лайн"</t>
  </si>
  <si>
    <t>7708354923</t>
  </si>
  <si>
    <t>12-07-2019 00:00:00</t>
  </si>
  <si>
    <t>31551483</t>
  </si>
  <si>
    <t>ООО "Зигзаг"</t>
  </si>
  <si>
    <t>7751033309</t>
  </si>
  <si>
    <t>16-05-2005 00:00:00</t>
  </si>
  <si>
    <t>31535333</t>
  </si>
  <si>
    <t>ООО "МЖС ГРУПП"</t>
  </si>
  <si>
    <t>7704570955</t>
  </si>
  <si>
    <t>16-09-2005 00:00:00</t>
  </si>
  <si>
    <t>31151349</t>
  </si>
  <si>
    <t>ООО "МСК-НТ"</t>
  </si>
  <si>
    <t>7734699480</t>
  </si>
  <si>
    <t>16-04-2013 00:00:00</t>
  </si>
  <si>
    <t>31491150</t>
  </si>
  <si>
    <t>ООО "ЭкоЛайн"</t>
  </si>
  <si>
    <t>7734690939</t>
  </si>
  <si>
    <t>31461191</t>
  </si>
  <si>
    <t>ООО "Экопласт"</t>
  </si>
  <si>
    <t>7727607496</t>
  </si>
  <si>
    <t>20-03-2007 00:00:00</t>
  </si>
  <si>
    <t>NSRF</t>
  </si>
  <si>
    <t>MR_NAME</t>
  </si>
  <si>
    <t>OKTMO_MR_NAME</t>
  </si>
  <si>
    <t>MO_NAME</t>
  </si>
  <si>
    <t>OKTMO_NAME</t>
  </si>
  <si>
    <t>TYPE</t>
  </si>
  <si>
    <t>MR_ID</t>
  </si>
  <si>
    <t>город федерального значения</t>
  </si>
  <si>
    <t>городской округ Троицк</t>
  </si>
  <si>
    <t>45931000</t>
  </si>
  <si>
    <t>внутригородская территория города федерального значения</t>
  </si>
  <si>
    <t>муниципальный округ Академический</t>
  </si>
  <si>
    <t>45397000</t>
  </si>
  <si>
    <t>внутригородская территория (внутригородское муниципальное образование) города федерального значения</t>
  </si>
  <si>
    <t>муниципальный округ Алексеевский</t>
  </si>
  <si>
    <t>45349000</t>
  </si>
  <si>
    <t>муниципальный округ Алтуфьевский</t>
  </si>
  <si>
    <t>45350000</t>
  </si>
  <si>
    <t>муниципальный округ Арбат</t>
  </si>
  <si>
    <t>45374000</t>
  </si>
  <si>
    <t>муниципальный округ Аэропорт</t>
  </si>
  <si>
    <t>45333000</t>
  </si>
  <si>
    <t>муниципальный округ Бабушкинский</t>
  </si>
  <si>
    <t>45351000</t>
  </si>
  <si>
    <t>муниципальный округ Басманный</t>
  </si>
  <si>
    <t>45375000</t>
  </si>
  <si>
    <t>муниципальный округ Беговой</t>
  </si>
  <si>
    <t>45334000</t>
  </si>
  <si>
    <t>муниципальный округ Бекасово</t>
  </si>
  <si>
    <t>45966000</t>
  </si>
  <si>
    <t>муниципальный округ Бескудниковский</t>
  </si>
  <si>
    <t>45335000</t>
  </si>
  <si>
    <t>муниципальный округ Бибирево</t>
  </si>
  <si>
    <t>45352000</t>
  </si>
  <si>
    <t>муниципальный округ Бирюлево Восточное</t>
  </si>
  <si>
    <t>45911000</t>
  </si>
  <si>
    <t>муниципальный округ Бирюлево Западное</t>
  </si>
  <si>
    <t>45912000</t>
  </si>
  <si>
    <t>муниципальный округ Богородское</t>
  </si>
  <si>
    <t>45301000</t>
  </si>
  <si>
    <t>муниципальный округ Братеево</t>
  </si>
  <si>
    <t>45913000</t>
  </si>
  <si>
    <t>муниципальный округ Бутырский</t>
  </si>
  <si>
    <t>45353000</t>
  </si>
  <si>
    <t>муниципальный округ Вешняки</t>
  </si>
  <si>
    <t>45302000</t>
  </si>
  <si>
    <t>муниципальный округ Внуково</t>
  </si>
  <si>
    <t>45317000</t>
  </si>
  <si>
    <t>45941000</t>
  </si>
  <si>
    <t>муниципальный округ Войковский</t>
  </si>
  <si>
    <t>45336000</t>
  </si>
  <si>
    <t>муниципальный округ Вороновское</t>
  </si>
  <si>
    <t>45943000</t>
  </si>
  <si>
    <t>муниципальный округ Восточное Дегунино</t>
  </si>
  <si>
    <t>45337000</t>
  </si>
  <si>
    <t>муниципальный округ Восточное Измайлово</t>
  </si>
  <si>
    <t>45303000</t>
  </si>
  <si>
    <t>муниципальный округ Восточный</t>
  </si>
  <si>
    <t>45304000</t>
  </si>
  <si>
    <t>муниципальный округ Выхино-Жулебино</t>
  </si>
  <si>
    <t>45385000</t>
  </si>
  <si>
    <t>муниципальный округ Гагаринский</t>
  </si>
  <si>
    <t>45398000</t>
  </si>
  <si>
    <t>муниципальный округ Головинский</t>
  </si>
  <si>
    <t>45338000</t>
  </si>
  <si>
    <t>муниципальный округ Гольяново</t>
  </si>
  <si>
    <t>45305000</t>
  </si>
  <si>
    <t>муниципальный округ Даниловский</t>
  </si>
  <si>
    <t>45914000</t>
  </si>
  <si>
    <t>муниципальный округ Дмитровский</t>
  </si>
  <si>
    <t>45339000</t>
  </si>
  <si>
    <t>муниципальный округ Донской</t>
  </si>
  <si>
    <t>45915000</t>
  </si>
  <si>
    <t>муниципальный округ Дорогомилово</t>
  </si>
  <si>
    <t>45318000</t>
  </si>
  <si>
    <t>муниципальный округ Замоскворечье</t>
  </si>
  <si>
    <t>45376000</t>
  </si>
  <si>
    <t>муниципальный округ Западное Дегунино</t>
  </si>
  <si>
    <t>45340000</t>
  </si>
  <si>
    <t>муниципальный округ Зюзино</t>
  </si>
  <si>
    <t>45901000</t>
  </si>
  <si>
    <t>муниципальный округ Зябликово</t>
  </si>
  <si>
    <t>45916000</t>
  </si>
  <si>
    <t>муниципальный округ Ивановское</t>
  </si>
  <si>
    <t>45306000</t>
  </si>
  <si>
    <t>муниципальный округ Измайлово</t>
  </si>
  <si>
    <t>45307000</t>
  </si>
  <si>
    <t>муниципальный округ Капотня</t>
  </si>
  <si>
    <t>45386000</t>
  </si>
  <si>
    <t>муниципальный округ Коммунарка</t>
  </si>
  <si>
    <t>45963000</t>
  </si>
  <si>
    <t>муниципальный округ Коньково</t>
  </si>
  <si>
    <t>45902000</t>
  </si>
  <si>
    <t>муниципальный округ Коптево</t>
  </si>
  <si>
    <t>45341000</t>
  </si>
  <si>
    <t>муниципальный округ Косино-Ухтомский</t>
  </si>
  <si>
    <t>45308000</t>
  </si>
  <si>
    <t>муниципальный округ Котловка</t>
  </si>
  <si>
    <t>45903000</t>
  </si>
  <si>
    <t>муниципальный округ Краснопахорский</t>
  </si>
  <si>
    <t>45948000</t>
  </si>
  <si>
    <t>муниципальный округ Красносельский</t>
  </si>
  <si>
    <t>45378000</t>
  </si>
  <si>
    <t>муниципальный округ Крылатское</t>
  </si>
  <si>
    <t>45319000</t>
  </si>
  <si>
    <t>муниципальный округ Крюково</t>
  </si>
  <si>
    <t>45330000</t>
  </si>
  <si>
    <t>муниципальный округ Кузьминки</t>
  </si>
  <si>
    <t>45387000</t>
  </si>
  <si>
    <t>муниципальный округ Кунцево</t>
  </si>
  <si>
    <t>45320000</t>
  </si>
  <si>
    <t>муниципальный округ Куркино</t>
  </si>
  <si>
    <t>45366000</t>
  </si>
  <si>
    <t>муниципальный округ Левобережный</t>
  </si>
  <si>
    <t>45342000</t>
  </si>
  <si>
    <t>муниципальный округ Лефортово</t>
  </si>
  <si>
    <t>45388000</t>
  </si>
  <si>
    <t>муниципальный округ Лианозово</t>
  </si>
  <si>
    <t>45354000</t>
  </si>
  <si>
    <t>муниципальный округ Ломоносовский</t>
  </si>
  <si>
    <t>45904000</t>
  </si>
  <si>
    <t>муниципальный округ Лосиноостровский</t>
  </si>
  <si>
    <t>45355000</t>
  </si>
  <si>
    <t>муниципальный округ Люблино</t>
  </si>
  <si>
    <t>45389000</t>
  </si>
  <si>
    <t>муниципальный округ Марфино</t>
  </si>
  <si>
    <t>45356000</t>
  </si>
  <si>
    <t>60</t>
  </si>
  <si>
    <t>муниципальный округ Марьина роща</t>
  </si>
  <si>
    <t>45357000</t>
  </si>
  <si>
    <t>61</t>
  </si>
  <si>
    <t>муниципальный округ Марьино</t>
  </si>
  <si>
    <t>45390000</t>
  </si>
  <si>
    <t>62</t>
  </si>
  <si>
    <t>муниципальный округ Матушкино</t>
  </si>
  <si>
    <t>45331000</t>
  </si>
  <si>
    <t>63</t>
  </si>
  <si>
    <t>муниципальный округ Метрогородок</t>
  </si>
  <si>
    <t>45311000</t>
  </si>
  <si>
    <t>64</t>
  </si>
  <si>
    <t>муниципальный округ Мещанский</t>
  </si>
  <si>
    <t>45379000</t>
  </si>
  <si>
    <t>65</t>
  </si>
  <si>
    <t>муниципальный округ Митино</t>
  </si>
  <si>
    <t>45367000</t>
  </si>
  <si>
    <t>муниципальный округ Можайский</t>
  </si>
  <si>
    <t>45321000</t>
  </si>
  <si>
    <t>67</t>
  </si>
  <si>
    <t>муниципальный округ Молжаниновский</t>
  </si>
  <si>
    <t>45343000</t>
  </si>
  <si>
    <t>муниципальный округ Москворечье-Сабурово</t>
  </si>
  <si>
    <t>45917000</t>
  </si>
  <si>
    <t>69</t>
  </si>
  <si>
    <t>муниципальный округ Нагатино-Садовники</t>
  </si>
  <si>
    <t>45918000</t>
  </si>
  <si>
    <t>70</t>
  </si>
  <si>
    <t>муниципальный округ Нагатинский затон</t>
  </si>
  <si>
    <t>45919000</t>
  </si>
  <si>
    <t>71</t>
  </si>
  <si>
    <t>муниципальный округ Нагорный</t>
  </si>
  <si>
    <t>45920000</t>
  </si>
  <si>
    <t>72</t>
  </si>
  <si>
    <t>муниципальный округ Некрасовка</t>
  </si>
  <si>
    <t>45391000</t>
  </si>
  <si>
    <t>73</t>
  </si>
  <si>
    <t>муниципальный округ Нижегородский</t>
  </si>
  <si>
    <t>45392000</t>
  </si>
  <si>
    <t>74</t>
  </si>
  <si>
    <t>муниципальный округ Ново-Переделкино</t>
  </si>
  <si>
    <t>45322000</t>
  </si>
  <si>
    <t>75</t>
  </si>
  <si>
    <t>муниципальный округ Новогиреево</t>
  </si>
  <si>
    <t>45309000</t>
  </si>
  <si>
    <t>76</t>
  </si>
  <si>
    <t>муниципальный округ Новокосино</t>
  </si>
  <si>
    <t>45310000</t>
  </si>
  <si>
    <t>77</t>
  </si>
  <si>
    <t>муниципальный округ Обручевский</t>
  </si>
  <si>
    <t>45905000</t>
  </si>
  <si>
    <t>78</t>
  </si>
  <si>
    <t>муниципальный округ Орехово-Борисово Северное</t>
  </si>
  <si>
    <t>45921000</t>
  </si>
  <si>
    <t>79</t>
  </si>
  <si>
    <t>муниципальный округ Орехово-Борисово Южное</t>
  </si>
  <si>
    <t>45922000</t>
  </si>
  <si>
    <t>80</t>
  </si>
  <si>
    <t>муниципальный округ Останкинский</t>
  </si>
  <si>
    <t>45358000</t>
  </si>
  <si>
    <t>81</t>
  </si>
  <si>
    <t>муниципальный округ Отрадное</t>
  </si>
  <si>
    <t>45359000</t>
  </si>
  <si>
    <t>82</t>
  </si>
  <si>
    <t>муниципальный округ Очаково-Матвеевское</t>
  </si>
  <si>
    <t>45323000</t>
  </si>
  <si>
    <t>83</t>
  </si>
  <si>
    <t>муниципальный округ Перово</t>
  </si>
  <si>
    <t>45312000</t>
  </si>
  <si>
    <t>84</t>
  </si>
  <si>
    <t>муниципальный округ Печатники</t>
  </si>
  <si>
    <t>45393000</t>
  </si>
  <si>
    <t>85</t>
  </si>
  <si>
    <t>муниципальный округ Покровское-Стрешнево</t>
  </si>
  <si>
    <t>45368000</t>
  </si>
  <si>
    <t>86</t>
  </si>
  <si>
    <t>муниципальный округ Преображенское</t>
  </si>
  <si>
    <t>45316000</t>
  </si>
  <si>
    <t>87</t>
  </si>
  <si>
    <t>муниципальный округ Пресненский</t>
  </si>
  <si>
    <t>45380000</t>
  </si>
  <si>
    <t>88</t>
  </si>
  <si>
    <t>муниципальный округ Проспект Вернадского</t>
  </si>
  <si>
    <t>45324000</t>
  </si>
  <si>
    <t>89</t>
  </si>
  <si>
    <t>муниципальный округ Раменки</t>
  </si>
  <si>
    <t>45325000</t>
  </si>
  <si>
    <t>90</t>
  </si>
  <si>
    <t>муниципальный округ Ростокино</t>
  </si>
  <si>
    <t>45360000</t>
  </si>
  <si>
    <t>91</t>
  </si>
  <si>
    <t>муниципальный округ Рязанский</t>
  </si>
  <si>
    <t>45394000</t>
  </si>
  <si>
    <t>92</t>
  </si>
  <si>
    <t>муниципальный округ Савелки</t>
  </si>
  <si>
    <t>45377000</t>
  </si>
  <si>
    <t>93</t>
  </si>
  <si>
    <t>муниципальный округ Савеловский</t>
  </si>
  <si>
    <t>45344000</t>
  </si>
  <si>
    <t>94</t>
  </si>
  <si>
    <t>муниципальный округ Свиблово</t>
  </si>
  <si>
    <t>45361000</t>
  </si>
  <si>
    <t>95</t>
  </si>
  <si>
    <t>муниципальный округ Северное Бутово</t>
  </si>
  <si>
    <t>45906000</t>
  </si>
  <si>
    <t>96</t>
  </si>
  <si>
    <t>муниципальный округ Северное Измайлово</t>
  </si>
  <si>
    <t>45313000</t>
  </si>
  <si>
    <t>97</t>
  </si>
  <si>
    <t>муниципальный округ Северное Медведково</t>
  </si>
  <si>
    <t>45362000</t>
  </si>
  <si>
    <t>98</t>
  </si>
  <si>
    <t>муниципальный округ Северное Тушино</t>
  </si>
  <si>
    <t>45369000</t>
  </si>
  <si>
    <t>99</t>
  </si>
  <si>
    <t>муниципальный округ Северный</t>
  </si>
  <si>
    <t>45363000</t>
  </si>
  <si>
    <t>100</t>
  </si>
  <si>
    <t>муниципальный округ Силино</t>
  </si>
  <si>
    <t>45332000</t>
  </si>
  <si>
    <t>101</t>
  </si>
  <si>
    <t>муниципальный округ Сокол</t>
  </si>
  <si>
    <t>45345000</t>
  </si>
  <si>
    <t>102</t>
  </si>
  <si>
    <t>муниципальный округ Соколиная гора</t>
  </si>
  <si>
    <t>45314000</t>
  </si>
  <si>
    <t>103</t>
  </si>
  <si>
    <t>муниципальный округ Сокольники</t>
  </si>
  <si>
    <t>45315000</t>
  </si>
  <si>
    <t>104</t>
  </si>
  <si>
    <t>муниципальный округ Солнцево</t>
  </si>
  <si>
    <t>45326000</t>
  </si>
  <si>
    <t>105</t>
  </si>
  <si>
    <t>муниципальный округ Старое Крюково</t>
  </si>
  <si>
    <t>45927000</t>
  </si>
  <si>
    <t>106</t>
  </si>
  <si>
    <t>муниципальный округ Строгино</t>
  </si>
  <si>
    <t>45370000</t>
  </si>
  <si>
    <t>107</t>
  </si>
  <si>
    <t>муниципальный округ Таганский</t>
  </si>
  <si>
    <t>45381000</t>
  </si>
  <si>
    <t>108</t>
  </si>
  <si>
    <t>муниципальный округ Тверской</t>
  </si>
  <si>
    <t>45382000</t>
  </si>
  <si>
    <t>109</t>
  </si>
  <si>
    <t>муниципальный округ Текстильщики</t>
  </si>
  <si>
    <t>45395000</t>
  </si>
  <si>
    <t>110</t>
  </si>
  <si>
    <t>муниципальный округ Теплый Стан</t>
  </si>
  <si>
    <t>45907000</t>
  </si>
  <si>
    <t>111</t>
  </si>
  <si>
    <t>муниципальный округ Тимирязевский</t>
  </si>
  <si>
    <t>45346000</t>
  </si>
  <si>
    <t>112</t>
  </si>
  <si>
    <t>муниципальный округ Тропарево-Никулино</t>
  </si>
  <si>
    <t>45327000</t>
  </si>
  <si>
    <t>113</t>
  </si>
  <si>
    <t>муниципальный округ Филевский парк</t>
  </si>
  <si>
    <t>45328000</t>
  </si>
  <si>
    <t>114</t>
  </si>
  <si>
    <t>муниципальный округ Фили-Давыдково</t>
  </si>
  <si>
    <t>45329000</t>
  </si>
  <si>
    <t>115</t>
  </si>
  <si>
    <t>муниципальный округ Филимонковский</t>
  </si>
  <si>
    <t>45959000</t>
  </si>
  <si>
    <t>116</t>
  </si>
  <si>
    <t>муниципальный округ Хамовники</t>
  </si>
  <si>
    <t>45383000</t>
  </si>
  <si>
    <t>117</t>
  </si>
  <si>
    <t>муниципальный округ Ховрино</t>
  </si>
  <si>
    <t>45347000</t>
  </si>
  <si>
    <t>118</t>
  </si>
  <si>
    <t>муниципальный округ Хорошево-Мневники</t>
  </si>
  <si>
    <t>45371000</t>
  </si>
  <si>
    <t>119</t>
  </si>
  <si>
    <t>муниципальный округ Хорошевский</t>
  </si>
  <si>
    <t>45348000</t>
  </si>
  <si>
    <t>120</t>
  </si>
  <si>
    <t>муниципальный округ Царицыно</t>
  </si>
  <si>
    <t>45923000</t>
  </si>
  <si>
    <t>121</t>
  </si>
  <si>
    <t>муниципальный округ Черемушки</t>
  </si>
  <si>
    <t>45908000</t>
  </si>
  <si>
    <t>122</t>
  </si>
  <si>
    <t>муниципальный округ Чертаново Северное</t>
  </si>
  <si>
    <t>45924000</t>
  </si>
  <si>
    <t>123</t>
  </si>
  <si>
    <t>муниципальный округ Чертаново Центральное</t>
  </si>
  <si>
    <t>45925000</t>
  </si>
  <si>
    <t>124</t>
  </si>
  <si>
    <t>муниципальный округ Чертаново Южное</t>
  </si>
  <si>
    <t>45926000</t>
  </si>
  <si>
    <t>125</t>
  </si>
  <si>
    <t>муниципальный округ Щербинка</t>
  </si>
  <si>
    <t>45932000</t>
  </si>
  <si>
    <t>126</t>
  </si>
  <si>
    <t>муниципальный округ Щукино</t>
  </si>
  <si>
    <t>45372000</t>
  </si>
  <si>
    <t>127</t>
  </si>
  <si>
    <t>муниципальный округ Южное Бутово</t>
  </si>
  <si>
    <t>45909000</t>
  </si>
  <si>
    <t>128</t>
  </si>
  <si>
    <t>муниципальный округ Южное Медведково</t>
  </si>
  <si>
    <t>45364000</t>
  </si>
  <si>
    <t>129</t>
  </si>
  <si>
    <t>муниципальный округ Южное Тушино</t>
  </si>
  <si>
    <t>45373000</t>
  </si>
  <si>
    <t>130</t>
  </si>
  <si>
    <t>муниципальный округ Южнопортовый</t>
  </si>
  <si>
    <t>45396000</t>
  </si>
  <si>
    <t>131</t>
  </si>
  <si>
    <t>муниципальный округ Якиманка</t>
  </si>
  <si>
    <t>45384000</t>
  </si>
  <si>
    <t>132</t>
  </si>
  <si>
    <t>муниципальный округ Ярославский</t>
  </si>
  <si>
    <t>45365000</t>
  </si>
  <si>
    <t>133</t>
  </si>
  <si>
    <t>муниципальный округ Ясенево</t>
  </si>
  <si>
    <t>45910000</t>
  </si>
  <si>
    <t>134</t>
  </si>
  <si>
    <t>поселение "Мосрентген"</t>
  </si>
  <si>
    <t>45953000</t>
  </si>
  <si>
    <t>135</t>
  </si>
  <si>
    <t>поселение Воскресенское</t>
  </si>
  <si>
    <t>45942000</t>
  </si>
  <si>
    <t>136</t>
  </si>
  <si>
    <t>поселение Десеновское</t>
  </si>
  <si>
    <t>45944000</t>
  </si>
  <si>
    <t>137</t>
  </si>
  <si>
    <t>поселение Киевский</t>
  </si>
  <si>
    <t>45945000</t>
  </si>
  <si>
    <t>138</t>
  </si>
  <si>
    <t>поселение Кленовское</t>
  </si>
  <si>
    <t>45946000</t>
  </si>
  <si>
    <t>139</t>
  </si>
  <si>
    <t>поселение Кокошкино</t>
  </si>
  <si>
    <t>45947000</t>
  </si>
  <si>
    <t>140</t>
  </si>
  <si>
    <t>поселение Марушкинское</t>
  </si>
  <si>
    <t>45949000</t>
  </si>
  <si>
    <t>141</t>
  </si>
  <si>
    <t>поселение Михайлово-Ярцевское</t>
  </si>
  <si>
    <t>45951000</t>
  </si>
  <si>
    <t>142</t>
  </si>
  <si>
    <t>поселение Московский</t>
  </si>
  <si>
    <t>45952000</t>
  </si>
  <si>
    <t>143</t>
  </si>
  <si>
    <t>поселение Новофедоровское</t>
  </si>
  <si>
    <t>45954000</t>
  </si>
  <si>
    <t>144</t>
  </si>
  <si>
    <t>поселение Первомайское</t>
  </si>
  <si>
    <t>45955000</t>
  </si>
  <si>
    <t>145</t>
  </si>
  <si>
    <t>поселение Роговское</t>
  </si>
  <si>
    <t>45956000</t>
  </si>
  <si>
    <t>146</t>
  </si>
  <si>
    <t>поселение Рязановское</t>
  </si>
  <si>
    <t>45957000</t>
  </si>
  <si>
    <t>147</t>
  </si>
  <si>
    <t>поселение Сосенское</t>
  </si>
  <si>
    <t>45958000</t>
  </si>
  <si>
    <t>148</t>
  </si>
  <si>
    <t>поселение Щаповское</t>
  </si>
  <si>
    <t>45961000</t>
  </si>
  <si>
    <t>149</t>
  </si>
  <si>
    <t>NUMBER_POINT</t>
  </si>
  <si>
    <t>INVP_NAME</t>
  </si>
  <si>
    <t>INVP_ID</t>
  </si>
  <si>
    <t>L_START_DATE</t>
  </si>
  <si>
    <t>L_END_DATE</t>
  </si>
  <si>
    <t>L_DECISION_NAME</t>
  </si>
  <si>
    <t>L_DECISION_TYPE</t>
  </si>
  <si>
    <t>L_DECISION_NMBR</t>
  </si>
  <si>
    <t>L_DECISION_DATE</t>
  </si>
  <si>
    <t>Инвестиционная программа № 433-ТД от 28.08.2020 Центральный филиал ООО «Газпром энерго» в сфере теплоснабжения по повышению надежности и энергетической эффективности оборудования на 2021-2023 годы</t>
  </si>
  <si>
    <t>01.01.2021</t>
  </si>
  <si>
    <t>31.12.2023</t>
  </si>
  <si>
    <t>Инвестиционная программа № 433-ТД от 28.08.2020 Центральный филиал ООО «Газпром энерго» в сфере теплоснабжения по повышению надежности и энергетической эффективности оборудования, на территории городского округа на 2021-2023 годы</t>
  </si>
  <si>
    <t>Инвестиционная программа № 488-ТД от 20.10.2021 АО "СОКОЛ-ЭНЕРГО" в сфере теплоснабжения по развитию единого комплекса объектов на 2022-2026 годы</t>
  </si>
  <si>
    <t>01.01.2022</t>
  </si>
  <si>
    <t>31.12.2026</t>
  </si>
  <si>
    <t>Инвестиционная программа № 488-ТД от 20.10.2021 АО "СОЦИУМ-ЭНЕРГОСИСТЕМЫ" в сфере теплоснабжения по развитию единого комплекса объектов на 2022-2026 годы</t>
  </si>
  <si>
    <t>Инвестиционная программа № 489-ТД от 27.10.2022 КП "МЭД" в сфере теплоснабжения по модернизации и реконструкции объектов на 2023-2025 годы</t>
  </si>
  <si>
    <t>01.01.2023</t>
  </si>
  <si>
    <t>31.12.2025</t>
  </si>
  <si>
    <t>Инвестиционная программа № 519-ТД от 28.10.2021 ПАО "МОЭК" в сфере теплоснабжения по развитию единого комплекса объектов на 2022-2023 годы</t>
  </si>
  <si>
    <t>Инвестиционная программа № ДПР-ТД-334/23 от 21.08.2023 в сфере теплоснабжения по комплексному развитию объектов на 2024-2028 годы</t>
  </si>
  <si>
    <t>01.01.2024</t>
  </si>
  <si>
    <t>31.12.2028</t>
  </si>
  <si>
    <t>Инвестиционная программа № ДПР-ТД-383/24 от 10.10.2024 ООО "РЕСУРСЭНЕРГОКОМ" в сфере теплоснабжения в отношении системы инженерной инфраструктуры на 2025-2027 годы</t>
  </si>
  <si>
    <t>01.01.2025</t>
  </si>
  <si>
    <t>31.12.2027</t>
  </si>
  <si>
    <t>Инвестиционная программа № ДПР-ТД-383/24 от 10.10.2024 ООО "ТСБ" в сфере теплоснабжения в отношении системы инженерной инфраструктуры на 2025-2027 годы</t>
  </si>
  <si>
    <t>Инвестиционная программа № ДПР-ТД-422/23 от 30.10.2023 в сфере теплоснабжения в отношении объектов на 2024-2026 годы</t>
  </si>
  <si>
    <t>Инвестиционная программа № ДПР-ТД-423/23 от 30.10.2023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2024-2028 годы</t>
  </si>
  <si>
    <t>Инвестиционная программа № ДПР-ТД-426/23 от 30.10.2023 в сфере теплоснабжения по комплексному развитию системы теплоснабжения на 2024-2026 годы</t>
  </si>
  <si>
    <t>Инвестиционная программа № ДПР-ТД-428/25 от 30.10.2025 ООО "САМОЛЕТ ЭНЕРГО" в сфере теплоснабжения по реконструкции и модернизации объектов на 2026-2028 годы</t>
  </si>
  <si>
    <t>01.01.2026</t>
  </si>
  <si>
    <t>Инвестиционная программа № ДПР-ТД-457/24 от 20.11.2024 ФИЛИАЛ ПАО "МОСЭНЕРГО" в сфере теплоснабжения по модернизации и реконструкции систем теплоснабжения, на территории города Москва на 2024-2028 годы</t>
  </si>
  <si>
    <t>20.11.2024</t>
  </si>
  <si>
    <t>Инвестиционная программа от 30.10.2023 ПАО "Мосэнерго" в сфере теплоснабжения по модернизации и реконструкции систем центрального теплоснабжения (за исключением тепловых сетей) на 2024-2028 годы</t>
  </si>
  <si>
    <t>TER_NAME</t>
  </si>
  <si>
    <t>Территория 1</t>
  </si>
  <si>
    <t>ID_TARIFF_NAME</t>
  </si>
  <si>
    <t>TARIFF_NAME</t>
  </si>
  <si>
    <t>VED_NAME</t>
  </si>
  <si>
    <t>4189702</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</si>
  <si>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</si>
  <si>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</si>
  <si>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</si>
  <si>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</si>
  <si>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</si>
  <si>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</si>
  <si>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</si>
  <si>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</si>
  <si>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</si>
  <si>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</si>
  <si>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</si>
  <si>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</si>
  <si>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</si>
  <si>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</si>
  <si>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</si>
  <si>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</si>
  <si>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</si>
  <si>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</si>
  <si>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</si>
  <si>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</si>
  <si>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</si>
  <si>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</si>
  <si>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</si>
  <si>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</si>
  <si>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</si>
  <si>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</si>
  <si>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</si>
  <si>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</si>
  <si>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</si>
  <si>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</si>
  <si>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</si>
  <si>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</si>
  <si>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</si>
  <si>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</si>
  <si>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</si>
  <si>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</si>
  <si>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</si>
  <si>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</si>
  <si>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</si>
  <si>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</si>
  <si>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</si>
  <si>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</si>
  <si>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</si>
  <si>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</si>
  <si>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</si>
  <si>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</si>
  <si>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</si>
  <si>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</si>
  <si>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</si>
  <si>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</si>
  <si>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</si>
  <si>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</si>
  <si>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</si>
  <si>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</si>
  <si>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</si>
  <si>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</si>
  <si>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</si>
  <si>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</si>
  <si>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</si>
  <si>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</si>
  <si>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</si>
  <si>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</si>
  <si>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</si>
  <si>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</si>
  <si>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</si>
  <si>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</si>
  <si>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</si>
  <si>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</si>
  <si>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</si>
  <si>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</si>
  <si>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</si>
  <si>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</si>
  <si>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</si>
  <si>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</si>
  <si>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</si>
  <si>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</si>
  <si>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</si>
  <si>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</si>
  <si>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</si>
  <si>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</si>
  <si>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</si>
  <si>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</si>
  <si>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</si>
  <si>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</si>
  <si>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</si>
  <si>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</si>
  <si>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</si>
  <si>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</si>
  <si>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</si>
  <si>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</si>
  <si>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</si>
  <si>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</si>
  <si>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</si>
  <si>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</si>
  <si>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</si>
  <si>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</si>
  <si>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</si>
  <si>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</si>
  <si>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</si>
  <si>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</si>
  <si>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</si>
  <si>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</si>
  <si>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</si>
  <si>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</si>
  <si>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</si>
  <si>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</si>
  <si>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</si>
  <si>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</si>
  <si>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</si>
  <si>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</si>
  <si>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</si>
  <si>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</si>
  <si>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</si>
  <si>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</si>
  <si>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</si>
  <si>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</si>
  <si>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</si>
  <si>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</si>
  <si>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</si>
  <si>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</si>
  <si>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</si>
  <si>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</si>
  <si>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</si>
  <si>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</si>
  <si>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</si>
  <si>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</si>
  <si>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</si>
  <si>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</si>
  <si>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</si>
  <si>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</si>
  <si>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</si>
  <si>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</si>
  <si>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</si>
  <si>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</si>
  <si>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</si>
  <si>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</si>
  <si>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</si>
  <si>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</si>
  <si>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</si>
  <si>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</si>
  <si>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</si>
  <si>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</si>
  <si>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</si>
  <si>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</si>
  <si>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</si>
  <si>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</si>
  <si>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</si>
  <si>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</si>
  <si>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</si>
  <si>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</si>
  <si>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</si>
  <si>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</si>
  <si>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</si>
  <si>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</si>
  <si>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</si>
  <si>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</si>
  <si>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</si>
  <si>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</si>
  <si>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</si>
  <si>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</si>
  <si>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</si>
  <si>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</si>
  <si>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</si>
  <si>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</si>
  <si>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</si>
  <si>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</si>
  <si>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</si>
  <si>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</si>
  <si>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</si>
  <si>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</si>
  <si>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</si>
  <si>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</si>
  <si>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</si>
  <si>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</si>
  <si>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</si>
  <si>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</si>
  <si>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</si>
  <si>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</si>
  <si>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</si>
  <si>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</si>
  <si>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</si>
  <si>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</si>
  <si>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</si>
  <si>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</si>
  <si>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</si>
  <si>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</si>
  <si>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тыс. куб. м/сутки</t>
  </si>
  <si>
    <t>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t>
  </si>
  <si>
    <t>Горячее водоснабжение; Подключение (технологическое присоединение) к централизованной системе горячего водоснабжения</t>
  </si>
  <si>
    <t>.1</t>
  </si>
  <si>
    <t>Количество поданных заявлений</t>
  </si>
  <si>
    <t>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t>
  </si>
  <si>
    <t>Количество исполненных заявлений</t>
  </si>
  <si>
    <t>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t>
  </si>
  <si>
    <t>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t>
  </si>
  <si>
    <t>Причины отказа в заключении договора о подключении (технологическом присоединении) к централизованной системе горячего водоснабжения</t>
  </si>
  <si>
    <t>Указывается текстовое описание причин принятия решений.
Не заполняется в случае, если решения об отказе в течение отчетного периода не принимались.</t>
  </si>
  <si>
    <t>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t>
  </si>
  <si>
    <t>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</si>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</sst>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8" formatCode="dd\.mm\.yyyy"/>
    <numFmt numFmtId="169" formatCode="000000"/>
    <numFmt numFmtId="170" formatCode="#,##0.000"/>
    <numFmt numFmtId="171" formatCode="#,##0.0000"/>
    <numFmt numFmtId="172" formatCode="h:mm;@"/>
  </numFmts>
  <fonts count="83">
    <font>
      <sz val="9"/>
      <color rgb="FF000000"/>
      <name val="Tahoma"/>
    </font>
    <font>
      <sz val="11"/>
      <color rgb="FFFFFFFF"/>
      <name val="Tahoma"/>
      <family val="2"/>
      <charset val="204"/>
    </font>
    <font>
      <b/>
      <sz val="10"/>
      <name val="Tahoma"/>
      <family val="2"/>
      <charset val="204"/>
    </font>
    <font>
      <sz val="10"/>
      <name val="Tahoma"/>
      <family val="2"/>
      <charset val="204"/>
    </font>
    <font>
      <sz val="11"/>
      <color rgb="FF000000"/>
      <name val="Tahoma"/>
      <family val="2"/>
      <charset val="204"/>
    </font>
    <font>
      <sz val="10"/>
      <color rgb="FF000000"/>
      <name val="Tahoma"/>
      <family val="2"/>
      <charset val="204"/>
    </font>
    <font>
      <b/>
      <sz val="10"/>
      <color rgb="FF000000"/>
      <name val="Tahoma"/>
      <family val="2"/>
      <charset val="204"/>
    </font>
    <font>
      <sz val="1"/>
      <color rgb="FFFFFFFF"/>
      <name val="Tahoma"/>
      <family val="2"/>
      <charset val="204"/>
    </font>
    <font>
      <sz val="9"/>
      <name val="Tahoma"/>
      <family val="2"/>
      <charset val="204"/>
    </font>
    <font>
      <sz val="9"/>
      <color rgb="FFFFFFFF"/>
      <name val="Tahoma"/>
      <family val="2"/>
      <charset val="204"/>
    </font>
    <font>
      <sz val="3"/>
      <name val="Tahoma"/>
      <family val="2"/>
      <charset val="204"/>
    </font>
    <font>
      <sz val="16"/>
      <name val="Tahoma"/>
      <family val="2"/>
      <charset val="204"/>
    </font>
    <font>
      <b/>
      <sz val="9"/>
      <name val="Tahoma"/>
      <family val="2"/>
      <charset val="204"/>
    </font>
    <font>
      <sz val="3"/>
      <color rgb="FF993300"/>
      <name val="Tahoma"/>
      <family val="2"/>
      <charset val="204"/>
    </font>
    <font>
      <sz val="7"/>
      <name val="Tahoma"/>
      <family val="2"/>
      <charset val="204"/>
    </font>
    <font>
      <sz val="3"/>
      <color rgb="FFFFFFFF"/>
      <name val="Tahoma"/>
      <family val="2"/>
      <charset val="204"/>
    </font>
    <font>
      <sz val="7"/>
      <color theme="0" tint="-0.499984740745262"/>
      <name val="Tahoma"/>
      <family val="2"/>
      <charset val="204"/>
    </font>
    <font>
      <u/>
      <sz val="9"/>
      <color rgb="FF333399"/>
      <name val="Tahoma"/>
      <family val="2"/>
      <charset val="204"/>
    </font>
    <font>
      <sz val="9"/>
      <color theme="0"/>
      <name val="Tahoma"/>
      <family val="2"/>
      <charset val="204"/>
    </font>
    <font>
      <b/>
      <sz val="9"/>
      <color theme="0"/>
      <name val="Tahoma"/>
      <family val="2"/>
      <charset val="204"/>
    </font>
    <font>
      <sz val="16"/>
      <color rgb="FFFFFFFF"/>
      <name val="Tahoma"/>
      <family val="2"/>
      <charset val="204"/>
    </font>
    <font>
      <sz val="3"/>
      <color rgb="FF000000"/>
      <name val="Tahoma"/>
      <family val="2"/>
      <charset val="204"/>
    </font>
    <font>
      <u/>
      <sz val="9"/>
      <color rgb="FF000080"/>
      <name val="Tahoma"/>
      <family val="2"/>
      <charset val="204"/>
    </font>
    <font>
      <u/>
      <sz val="9"/>
      <color theme="10"/>
      <name val="Tahoma"/>
      <family val="2"/>
      <charset val="204"/>
    </font>
    <font>
      <sz val="9"/>
      <color rgb="FFCC0000"/>
      <name val="Tahoma"/>
      <family val="2"/>
      <charset val="204"/>
    </font>
    <font>
      <sz val="1"/>
      <color theme="0"/>
      <name val="Tahoma"/>
      <family val="2"/>
      <charset val="204"/>
    </font>
    <font>
      <sz val="11"/>
      <color theme="0"/>
      <name val="Wingdings 2"/>
      <family val="1"/>
      <charset val="2"/>
    </font>
    <font>
      <sz val="11"/>
      <name val="Wingdings 2"/>
      <family val="1"/>
      <charset val="2"/>
    </font>
    <font>
      <sz val="9"/>
      <color rgb="FFBCBCBC"/>
      <name val="Tahoma"/>
      <family val="2"/>
      <charset val="204"/>
    </font>
    <font>
      <sz val="9"/>
      <color rgb="FF000080"/>
      <name val="Tahoma"/>
      <family val="2"/>
      <charset val="204"/>
    </font>
    <font>
      <sz val="8"/>
      <name val="Tahoma"/>
      <family val="2"/>
      <charset val="204"/>
    </font>
    <font>
      <sz val="11"/>
      <color rgb="FFBCBCBC"/>
      <name val="Wingdings 2"/>
      <family val="1"/>
      <charset val="2"/>
    </font>
    <font>
      <sz val="5"/>
      <color rgb="FFFF0000"/>
      <name val="Tahoma"/>
      <family val="2"/>
      <charset val="204"/>
    </font>
    <font>
      <b/>
      <sz val="11"/>
      <color rgb="FF000000"/>
      <name val="Calibri"/>
      <family val="2"/>
      <charset val="204"/>
    </font>
    <font>
      <sz val="9"/>
      <color theme="1"/>
      <name val="Tahoma"/>
      <family val="2"/>
      <charset val="204"/>
    </font>
    <font>
      <sz val="12"/>
      <name val="Marlett"/>
      <charset val="2"/>
    </font>
    <font>
      <sz val="1"/>
      <name val="Tahoma"/>
      <family val="2"/>
      <charset val="204"/>
    </font>
    <font>
      <sz val="1"/>
      <color rgb="FF000000"/>
      <name val="Tahoma"/>
      <family val="2"/>
      <charset val="204"/>
    </font>
    <font>
      <b/>
      <sz val="9"/>
      <color rgb="FF000080"/>
      <name val="Tahoma"/>
      <family val="2"/>
      <charset val="204"/>
    </font>
    <font>
      <sz val="18"/>
      <color rgb="FF000000"/>
      <name val="Tahoma"/>
      <family val="2"/>
      <charset val="204"/>
    </font>
    <font>
      <sz val="12"/>
      <color rgb="FF000000"/>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theme="0"/>
      <name val="Tahoma"/>
      <family val="2"/>
      <charset val="204"/>
    </font>
    <font>
      <sz val="3"/>
      <color rgb="FFBCBCBC"/>
      <name val="Tahoma"/>
      <family val="2"/>
      <charset val="204"/>
    </font>
    <font>
      <sz val="1"/>
      <color rgb="FFBCBCBC"/>
      <name val="Tahoma"/>
      <family val="2"/>
      <charset val="204"/>
    </font>
    <font>
      <b/>
      <sz val="1"/>
      <color theme="0"/>
      <name val="Tahoma"/>
      <family val="2"/>
      <charset val="204"/>
    </font>
    <font>
      <sz val="11"/>
      <name val="Webdings2"/>
    </font>
    <font>
      <sz val="1"/>
      <name val="Webdings2"/>
    </font>
    <font>
      <sz val="1"/>
      <color theme="0"/>
      <name val="Webdings2"/>
    </font>
    <font>
      <sz val="11"/>
      <color theme="0"/>
      <name val="Webdings2"/>
    </font>
    <font>
      <sz val="1"/>
      <color theme="0"/>
      <name val="Wingdings 2"/>
      <family val="1"/>
      <charset val="2"/>
    </font>
    <font>
      <sz val="9"/>
      <color rgb="FFFF0000"/>
      <name val="Tahoma"/>
      <family val="2"/>
      <charset val="204"/>
    </font>
    <font>
      <b/>
      <sz val="1"/>
      <color rgb="FF000080"/>
      <name val="Tahoma"/>
      <family val="2"/>
      <charset val="204"/>
    </font>
    <font>
      <sz val="12"/>
      <color theme="0"/>
      <name val="Tahoma"/>
      <family val="2"/>
      <charset val="204"/>
    </font>
    <font>
      <sz val="11"/>
      <color theme="0"/>
      <name val="Tahoma"/>
      <family val="2"/>
      <charset val="204"/>
    </font>
    <font>
      <b/>
      <sz val="9"/>
      <color rgb="FFCC0000"/>
      <name val="Tahoma"/>
      <family val="2"/>
      <charset val="204"/>
    </font>
    <font>
      <sz val="15"/>
      <color theme="0"/>
      <name val="Tahoma"/>
      <family val="2"/>
      <charset val="204"/>
    </font>
    <font>
      <sz val="14"/>
      <color rgb="FFBCBCBC"/>
      <name val="Calibri"/>
      <family val="2"/>
      <charset val="204"/>
    </font>
    <font>
      <b/>
      <u/>
      <sz val="9"/>
      <color rgb="FF000080"/>
      <name val="Tahoma"/>
      <family val="2"/>
      <charset val="204"/>
    </font>
    <font>
      <sz val="15"/>
      <name val="Tahoma"/>
      <family val="2"/>
      <charset val="204"/>
    </font>
    <font>
      <sz val="12"/>
      <name val="Tahoma"/>
      <family val="2"/>
      <charset val="204"/>
    </font>
    <font>
      <sz val="8"/>
      <color rgb="FFFFFFFF"/>
      <name val="Tahoma"/>
      <family val="2"/>
      <charset val="204"/>
    </font>
    <font>
      <u/>
      <sz val="1"/>
      <color rgb="FF333399"/>
      <name val="Tahoma"/>
      <family val="2"/>
      <charset val="204"/>
    </font>
    <font>
      <sz val="10"/>
      <color rgb="FF000000"/>
      <name val="Arial"/>
      <family val="2"/>
      <charset val="204"/>
    </font>
    <font>
      <sz val="15"/>
      <color rgb="FF000000"/>
      <name val="Tahoma"/>
      <family val="2"/>
      <charset val="204"/>
    </font>
    <font>
      <sz val="18"/>
      <color theme="0"/>
      <name val="Tahoma"/>
      <family val="2"/>
      <charset val="204"/>
    </font>
    <font>
      <u/>
      <sz val="9"/>
      <name val="Tahoma"/>
      <family val="2"/>
      <charset val="204"/>
    </font>
    <font>
      <b/>
      <sz val="9"/>
      <color rgb="FFFFFFFF"/>
      <name val="Tahoma"/>
      <family val="2"/>
      <charset val="204"/>
    </font>
    <font>
      <sz val="9"/>
      <color rgb="FF333399"/>
      <name val="Tahoma"/>
      <family val="2"/>
      <charset val="204"/>
    </font>
    <font>
      <b/>
      <sz val="9"/>
      <color rgb="FF000000"/>
      <name val="Tahoma"/>
      <family val="2"/>
      <charset val="204"/>
    </font>
    <font>
      <sz val="8"/>
      <color theme="0"/>
      <name val="Tahoma"/>
      <family val="2"/>
      <charset val="204"/>
    </font>
    <font>
      <b/>
      <sz val="8"/>
      <color theme="0"/>
      <name val="Wingdings 2"/>
      <family val="1"/>
      <charset val="2"/>
    </font>
    <font>
      <b/>
      <sz val="8"/>
      <color rgb="FFC0C0C0"/>
      <name val="Wingdings 2"/>
      <family val="1"/>
      <charset val="2"/>
    </font>
    <font>
      <sz val="8"/>
      <color rgb="FF000080"/>
      <name val="Tahoma"/>
      <family val="2"/>
      <charset val="204"/>
    </font>
    <font>
      <sz val="7"/>
      <color rgb="FF000000"/>
      <name val="Tahoma"/>
      <family val="2"/>
      <charset val="204"/>
    </font>
    <font>
      <sz val="1"/>
      <color rgb="FF000080"/>
      <name val="Tahoma"/>
      <family val="2"/>
      <charset val="204"/>
    </font>
    <font>
      <b/>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0">
    <fill>
      <patternFill patternType="none"/>
    </fill>
    <fill>
      <patternFill patternType="gray125"/>
    </fill>
    <fill>
      <patternFill patternType="solid">
        <fgColor rgb="FFBCBCBC"/>
      </patternFill>
    </fill>
    <fill>
      <patternFill patternType="solid">
        <fgColor theme="0" tint="-0.14999847407452621"/>
        <bgColor indexed="65"/>
      </patternFill>
    </fill>
    <fill>
      <patternFill patternType="solid">
        <fgColor rgb="FFFFFFC0"/>
      </patternFill>
    </fill>
    <fill>
      <patternFill patternType="solid">
        <fgColor rgb="FFD3DBDB"/>
      </patternFill>
    </fill>
    <fill>
      <patternFill patternType="solid">
        <fgColor rgb="FFD7EAD3"/>
      </patternFill>
    </fill>
    <fill>
      <patternFill patternType="solid">
        <fgColor rgb="FFE3FAFD"/>
      </patternFill>
    </fill>
    <fill>
      <patternFill patternType="solid">
        <fgColor rgb="FFFFFFFF"/>
      </patternFill>
    </fill>
    <fill>
      <patternFill patternType="solid">
        <fgColor rgb="FFB7E4FF"/>
      </patternFill>
    </fill>
    <fill>
      <patternFill patternType="lightDown">
        <fgColor rgb="FFC0C0C0"/>
      </patternFill>
    </fill>
    <fill>
      <patternFill patternType="solid">
        <fgColor theme="0"/>
      </patternFill>
    </fill>
    <fill>
      <patternFill patternType="solid">
        <fgColor rgb="FF00CCFF"/>
      </patternFill>
    </fill>
    <fill>
      <patternFill patternType="solid">
        <fgColor rgb="FFCCCCFF"/>
      </patternFill>
    </fill>
    <fill>
      <patternFill patternType="solid">
        <fgColor theme="9" tint="0.79998168889431442"/>
        <bgColor indexed="65"/>
      </patternFill>
    </fill>
    <fill>
      <patternFill patternType="solid">
        <fgColor rgb="FFEAEBEE"/>
      </patternFill>
    </fill>
    <fill>
      <patternFill patternType="solid">
        <fgColor rgb="FFFF9900"/>
      </patternFill>
    </fill>
    <fill>
      <patternFill patternType="solid">
        <fgColor rgb="FF0066CC"/>
      </patternFill>
    </fill>
    <fill>
      <patternFill patternType="solid">
        <fgColor rgb="FF808000"/>
      </patternFill>
    </fill>
    <fill>
      <patternFill patternType="solid">
        <fgColor rgb="FFCC99FF"/>
      </patternFill>
    </fill>
    <fill>
      <patternFill patternType="solid">
        <fgColor rgb="FFC0C0C0"/>
      </patternFill>
    </fill>
    <fill>
      <patternFill patternType="solid">
        <fgColor rgb="FFFFFF00"/>
      </patternFill>
    </fill>
    <fill>
      <patternFill patternType="solid">
        <fgColor rgb="FFFFB7B7"/>
      </patternFill>
    </fill>
    <fill>
      <patternFill patternType="lightDown">
        <fgColor rgb="FFB7E4FF"/>
        <bgColor rgb="FFFFFFFF"/>
      </patternFill>
    </fill>
    <fill>
      <patternFill patternType="solid">
        <fgColor rgb="FF8DB4E2"/>
      </patternFill>
    </fill>
    <fill>
      <patternFill patternType="solid">
        <fgColor theme="2" tint="-9.9978637043366805E-2"/>
        <bgColor indexed="65"/>
      </patternFill>
    </fill>
    <fill>
      <patternFill patternType="solid">
        <fgColor theme="5" tint="0.79998168889431442"/>
        <bgColor indexed="65"/>
      </patternFill>
    </fill>
    <fill>
      <patternFill patternType="solid">
        <fgColor theme="9" tint="-0.249977111117893"/>
        <bgColor indexed="65"/>
      </patternFill>
    </fill>
    <fill>
      <patternFill patternType="solid">
        <fgColor theme="6" tint="0.39997558519241921"/>
        <bgColor indexed="65"/>
      </patternFill>
    </fill>
    <fill>
      <patternFill patternType="solid">
        <fgColor theme="7" tint="0.79998168889431442"/>
        <bgColor indexed="65"/>
      </patternFill>
    </fill>
  </fills>
  <borders count="66">
    <border>
      <left/>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BCBCBC"/>
      </left>
      <right/>
      <top/>
      <bottom/>
      <diagonal/>
    </border>
    <border>
      <left/>
      <right style="thin">
        <color rgb="FFBCBCBC"/>
      </right>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BCBCBC"/>
      </left>
      <right/>
      <top/>
      <bottom style="thin">
        <color rgb="FFBCBCBC"/>
      </bottom>
      <diagonal/>
    </border>
    <border>
      <left/>
      <right/>
      <top/>
      <bottom style="thin">
        <color rgb="FFBCBCBC"/>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hair">
        <color rgb="FFC0C0C0"/>
      </left>
      <right/>
      <top style="hair">
        <color rgb="FFC0C0C0"/>
      </top>
      <bottom style="hair">
        <color rgb="FFC0C0C0"/>
      </bottom>
      <diagonal/>
    </border>
    <border>
      <left style="thin">
        <color rgb="FFC0C0C0"/>
      </left>
      <right style="thin">
        <color rgb="FFC0C0C0"/>
      </right>
      <top style="thin">
        <color rgb="FFC0C0C0"/>
      </top>
      <bottom style="thin">
        <color rgb="FFC0C0C0"/>
      </bottom>
      <diagonal/>
    </border>
    <border>
      <left style="thin">
        <color rgb="FFBCBCBC"/>
      </left>
      <right style="thin">
        <color rgb="FFBCBCBC"/>
      </right>
      <top style="thin">
        <color rgb="FFBCBCBC"/>
      </top>
      <bottom style="thin">
        <color rgb="FFBCBCBC"/>
      </bottom>
      <diagonal/>
    </border>
    <border>
      <left/>
      <right/>
      <top style="thin">
        <color rgb="FFC0C0C0"/>
      </top>
      <bottom style="thin">
        <color rgb="FFC0C0C0"/>
      </bottom>
      <diagonal/>
    </border>
    <border>
      <left/>
      <right/>
      <top style="thin">
        <color rgb="FFC0C0C0"/>
      </top>
      <bottom/>
      <diagonal/>
    </border>
    <border>
      <left/>
      <right style="thin">
        <color rgb="FFC0C0C0"/>
      </right>
      <top style="thin">
        <color rgb="FFC0C0C0"/>
      </top>
      <bottom/>
      <diagonal/>
    </border>
    <border>
      <left style="thin">
        <color rgb="FFC0C0C0"/>
      </left>
      <right/>
      <top/>
      <bottom/>
      <diagonal/>
    </border>
    <border>
      <left/>
      <right style="thin">
        <color rgb="FFC0C0C0"/>
      </right>
      <top/>
      <bottom/>
      <diagonal/>
    </border>
    <border>
      <left style="thin">
        <color rgb="FFC0C0C0"/>
      </left>
      <right style="thin">
        <color rgb="FFC0C0C0"/>
      </right>
      <top/>
      <bottom style="thin">
        <color rgb="FFC0C0C0"/>
      </bottom>
      <diagonal/>
    </border>
    <border>
      <left/>
      <right/>
      <top style="thin">
        <color rgb="FFD3DBDB"/>
      </top>
      <bottom/>
      <diagonal/>
    </border>
    <border>
      <left style="thin">
        <color rgb="FFC0C0C0"/>
      </left>
      <right style="thin">
        <color rgb="FFC0C0C0"/>
      </right>
      <top style="thin">
        <color rgb="FFC0C0C0"/>
      </top>
      <bottom/>
      <diagonal/>
    </border>
    <border>
      <left style="thin">
        <color rgb="FFC0C0C0"/>
      </left>
      <right/>
      <top style="thin">
        <color rgb="FFC0C0C0"/>
      </top>
      <bottom/>
      <diagonal/>
    </border>
    <border>
      <left/>
      <right style="thin">
        <color rgb="FFC0C0C0"/>
      </right>
      <top/>
      <bottom style="thin">
        <color rgb="FFC0C0C0"/>
      </bottom>
      <diagonal/>
    </border>
    <border>
      <left style="thin">
        <color rgb="FFC0C0C0"/>
      </left>
      <right/>
      <top/>
      <bottom style="thin">
        <color rgb="FFC0C0C0"/>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C0C0C0"/>
      </left>
      <right style="thin">
        <color rgb="FFC0C0C0"/>
      </right>
      <top/>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style="thin">
        <color rgb="FFBCBCBC"/>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rgb="FFD3DBDB"/>
      </left>
      <right style="thin">
        <color rgb="FFD3DBDB"/>
      </right>
      <top style="thin">
        <color rgb="FFD3DBDB"/>
      </top>
      <bottom style="thin">
        <color rgb="FFD3DBDB"/>
      </bottom>
      <diagonal/>
    </border>
    <border>
      <left style="thin">
        <color rgb="FF000000"/>
      </left>
      <right style="thin">
        <color rgb="FF000000"/>
      </right>
      <top style="thin">
        <color rgb="FF000000"/>
      </top>
      <bottom style="thin">
        <color rgb="FF0000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C0C0C0"/>
      </left>
      <right style="thin">
        <color rgb="FFC0C0C0"/>
      </right>
      <top style="thin">
        <color rgb="FFC0C0C0"/>
      </top>
      <bottom style="thin">
        <color rgb="FFBCBCBC"/>
      </bottom>
      <diagonal/>
    </border>
    <border>
      <left style="thin">
        <color rgb="FFBCBCBC"/>
      </left>
      <right/>
      <top style="medium">
        <color rgb="FFBCBCBC"/>
      </top>
      <bottom/>
      <diagonal/>
    </border>
    <border>
      <left/>
      <right/>
      <top style="medium">
        <color rgb="FFBCBCBC"/>
      </top>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style="thin">
        <color theme="0" tint="-0.249977111117893"/>
      </right>
      <top style="thin">
        <color rgb="FFC0C0C0"/>
      </top>
      <bottom style="thin">
        <color rgb="FFC0C0C0"/>
      </bottom>
      <diagonal/>
    </border>
    <border>
      <left style="thin">
        <color rgb="FFC0C0C0"/>
      </left>
      <right style="thin">
        <color rgb="FFC0C0C0"/>
      </right>
      <top style="thin">
        <color rgb="FFC0C0C0"/>
      </top>
      <bottom style="medium">
        <color rgb="FFC0C0C0"/>
      </bottom>
      <diagonal/>
    </border>
    <border>
      <left/>
      <right/>
      <top/>
      <bottom style="medium">
        <color rgb="FFC0C0C0"/>
      </bottom>
      <diagonal/>
    </border>
    <border>
      <left/>
      <right/>
      <top style="thin">
        <color rgb="FFC0C0C0"/>
      </top>
      <bottom style="medium">
        <color rgb="FFC0C0C0"/>
      </bottom>
      <diagonal/>
    </border>
    <border>
      <left style="thin">
        <color rgb="FFBCBCBC"/>
      </left>
      <right/>
      <top style="medium">
        <color rgb="FFBCBCBC"/>
      </top>
      <bottom style="thin">
        <color rgb="FFC0C0C0"/>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right/>
      <top style="dotted">
        <color rgb="FF000000"/>
      </top>
      <bottom style="dotted">
        <color rgb="FF000000"/>
      </bottom>
      <diagonal/>
    </border>
  </borders>
  <cellStyleXfs count="1249">
    <xf numFmtId="49" fontId="0" fillId="0" borderId="0" applyFill="0" applyBorder="0">
      <alignment vertical="top"/>
    </xf>
    <xf numFmtId="49" fontId="1" fillId="0" borderId="0" applyFill="0" applyBorder="0">
      <alignment wrapText="1"/>
    </xf>
    <xf numFmtId="0" fontId="2" fillId="0" borderId="0" applyFill="0" applyBorder="0">
      <alignment vertical="center" wrapText="1"/>
    </xf>
    <xf numFmtId="0" fontId="2" fillId="0" borderId="0" applyFill="0" applyBorder="0">
      <alignment vertical="center"/>
    </xf>
    <xf numFmtId="0" fontId="3" fillId="2" borderId="1">
      <alignment horizontal="center" vertical="center" wrapText="1"/>
    </xf>
    <xf numFmtId="0" fontId="3" fillId="2" borderId="2">
      <alignment horizontal="center" vertical="center" wrapText="1"/>
    </xf>
    <xf numFmtId="0" fontId="3" fillId="2" borderId="3">
      <alignment horizontal="center" vertical="center" wrapText="1"/>
    </xf>
    <xf numFmtId="0" fontId="3" fillId="3" borderId="4">
      <alignment horizontal="right" vertical="center" wrapText="1" indent="1"/>
    </xf>
    <xf numFmtId="0" fontId="3" fillId="3" borderId="5">
      <alignment horizontal="right" vertical="center" wrapText="1" indent="1"/>
    </xf>
    <xf numFmtId="0" fontId="4" fillId="0" borderId="4" applyFill="0">
      <alignment wrapText="1"/>
    </xf>
    <xf numFmtId="0" fontId="79" fillId="4" borderId="6">
      <alignment horizontal="center" vertical="center" wrapText="1"/>
    </xf>
    <xf numFmtId="0" fontId="5" fillId="0" borderId="4" applyFill="0">
      <alignment vertical="center" wrapText="1"/>
    </xf>
    <xf numFmtId="0" fontId="79" fillId="5" borderId="6">
      <alignment horizontal="center" vertical="center" wrapText="1"/>
    </xf>
    <xf numFmtId="0" fontId="5" fillId="0" borderId="4" applyFill="0">
      <alignment horizontal="left" vertical="center" wrapText="1"/>
    </xf>
    <xf numFmtId="0" fontId="79" fillId="6" borderId="6">
      <alignment horizontal="center" vertical="center" wrapText="1"/>
    </xf>
    <xf numFmtId="0" fontId="79" fillId="7" borderId="6">
      <alignment horizontal="center" vertical="center" wrapText="1"/>
    </xf>
    <xf numFmtId="0" fontId="3" fillId="3" borderId="0" applyBorder="0">
      <alignment horizontal="right" vertical="center" wrapText="1" indent="1"/>
    </xf>
    <xf numFmtId="0" fontId="6" fillId="0" borderId="4" applyFill="0">
      <alignment horizontal="left" vertical="center" wrapText="1"/>
    </xf>
    <xf numFmtId="0" fontId="6" fillId="0" borderId="7" applyFill="0">
      <alignment horizontal="left" vertical="center" wrapText="1"/>
    </xf>
    <xf numFmtId="0" fontId="3" fillId="3" borderId="6">
      <alignment horizontal="right" vertical="center" wrapText="1" indent="1"/>
    </xf>
    <xf numFmtId="0" fontId="3" fillId="3" borderId="8">
      <alignment horizontal="right" vertical="center" wrapText="1" indent="1"/>
    </xf>
    <xf numFmtId="0" fontId="5" fillId="0" borderId="4" applyFill="0">
      <alignment wrapText="1"/>
    </xf>
    <xf numFmtId="0" fontId="5" fillId="0" borderId="0" applyFill="0" applyBorder="0">
      <alignment vertical="center" wrapText="1"/>
    </xf>
    <xf numFmtId="0" fontId="5" fillId="0" borderId="0" applyFill="0" applyBorder="0">
      <alignment vertical="top" wrapText="1"/>
    </xf>
    <xf numFmtId="0" fontId="3" fillId="3" borderId="9">
      <alignment horizontal="right" vertical="center" wrapText="1" indent="1"/>
    </xf>
    <xf numFmtId="0" fontId="3" fillId="3" borderId="10">
      <alignment horizontal="right" vertical="center" wrapText="1" indent="1"/>
    </xf>
    <xf numFmtId="0" fontId="4" fillId="0" borderId="9" applyFill="0">
      <alignment wrapText="1"/>
    </xf>
    <xf numFmtId="0" fontId="4" fillId="0" borderId="10" applyFill="0">
      <alignment wrapText="1"/>
    </xf>
    <xf numFmtId="0" fontId="4" fillId="0" borderId="10" applyFill="0">
      <alignment vertical="center" wrapText="1"/>
    </xf>
    <xf numFmtId="0" fontId="7" fillId="0" borderId="0" applyFill="0" applyBorder="0">
      <alignment vertical="center" wrapText="1"/>
    </xf>
    <xf numFmtId="0" fontId="8" fillId="0" borderId="0" applyFill="0" applyBorder="0">
      <alignment horizontal="left" vertical="top" indent="1"/>
    </xf>
    <xf numFmtId="0" fontId="9" fillId="0" borderId="0" applyFill="0" applyBorder="0">
      <alignment vertical="center" wrapText="1"/>
    </xf>
    <xf numFmtId="0" fontId="79" fillId="0" borderId="0" applyFill="0" applyBorder="0">
      <alignment horizontal="left" vertical="center" indent="1"/>
    </xf>
    <xf numFmtId="0" fontId="8" fillId="0" borderId="0" applyFill="0" applyBorder="0">
      <alignment vertical="center" wrapText="1"/>
    </xf>
    <xf numFmtId="0" fontId="10" fillId="8" borderId="0" applyBorder="0">
      <alignment vertical="center" wrapText="1"/>
    </xf>
    <xf numFmtId="0" fontId="10" fillId="0" borderId="0" applyFill="0" applyBorder="0">
      <alignment vertical="center" wrapText="1"/>
    </xf>
    <xf numFmtId="0" fontId="11" fillId="8" borderId="0" applyBorder="0">
      <alignment vertical="center" wrapText="1"/>
    </xf>
    <xf numFmtId="0" fontId="8" fillId="0" borderId="11" applyFill="0">
      <alignment horizontal="center" vertical="center" wrapText="1"/>
    </xf>
    <xf numFmtId="0" fontId="8" fillId="0" borderId="12" applyFill="0">
      <alignment horizontal="center" vertical="center" wrapText="1"/>
    </xf>
    <xf numFmtId="0" fontId="12" fillId="8" borderId="0" applyBorder="0">
      <alignment vertical="center" wrapText="1"/>
    </xf>
    <xf numFmtId="0" fontId="10" fillId="8" borderId="0" applyBorder="0">
      <alignment horizontal="right" vertical="center" wrapText="1" indent="1"/>
    </xf>
    <xf numFmtId="0" fontId="13" fillId="8" borderId="0" applyBorder="0">
      <alignment horizontal="center" vertical="center" wrapText="1"/>
    </xf>
    <xf numFmtId="0" fontId="8" fillId="8" borderId="13">
      <alignment horizontal="right" vertical="center" wrapText="1" indent="1"/>
    </xf>
    <xf numFmtId="0" fontId="79" fillId="6" borderId="14">
      <alignment horizontal="left" vertical="center" wrapText="1" indent="1"/>
    </xf>
    <xf numFmtId="14" fontId="14" fillId="8" borderId="0" applyBorder="0">
      <alignment horizontal="left" vertical="center" wrapText="1"/>
    </xf>
    <xf numFmtId="0" fontId="15" fillId="8" borderId="0" applyBorder="0">
      <alignment horizontal="center" vertical="center" wrapText="1"/>
    </xf>
    <xf numFmtId="0" fontId="10" fillId="8" borderId="0" applyBorder="0">
      <alignment horizontal="left" vertical="center" wrapText="1" indent="1"/>
    </xf>
    <xf numFmtId="0" fontId="8" fillId="8" borderId="0" applyBorder="0">
      <alignment horizontal="center" vertical="center" wrapText="1"/>
    </xf>
    <xf numFmtId="0" fontId="8" fillId="7" borderId="14">
      <alignment horizontal="left" vertical="top" wrapText="1" indent="1"/>
      <protection locked="0"/>
    </xf>
    <xf numFmtId="0" fontId="8" fillId="0" borderId="0" applyFill="0" applyBorder="0">
      <alignment horizontal="left" vertical="center" wrapText="1"/>
    </xf>
    <xf numFmtId="49" fontId="8" fillId="9" borderId="14">
      <alignment horizontal="left" vertical="center" wrapText="1" indent="1"/>
    </xf>
    <xf numFmtId="14" fontId="16" fillId="0" borderId="14" applyFill="0">
      <alignment horizontal="center" vertical="center" wrapText="1"/>
    </xf>
    <xf numFmtId="168" fontId="79" fillId="7" borderId="14">
      <alignment horizontal="left" vertical="center" wrapText="1" indent="1"/>
      <protection locked="0"/>
    </xf>
    <xf numFmtId="0" fontId="17" fillId="0" borderId="0" applyFill="0" applyBorder="0">
      <alignment horizontal="left" vertical="center" indent="1"/>
    </xf>
    <xf numFmtId="0" fontId="18" fillId="0" borderId="0" applyFill="0" applyBorder="0">
      <alignment vertical="center" wrapText="1"/>
    </xf>
    <xf numFmtId="0" fontId="8" fillId="8" borderId="0" applyBorder="0">
      <alignment vertical="center" wrapText="1"/>
    </xf>
    <xf numFmtId="14" fontId="16" fillId="0" borderId="14" applyFill="0">
      <alignment horizontal="left" vertical="center" wrapText="1"/>
    </xf>
    <xf numFmtId="49" fontId="8" fillId="8" borderId="13">
      <alignment horizontal="right" vertical="center" wrapText="1" indent="1"/>
    </xf>
    <xf numFmtId="49" fontId="18" fillId="0" borderId="0" applyFill="0" applyBorder="0">
      <alignment vertical="center" wrapText="1"/>
    </xf>
    <xf numFmtId="0" fontId="79" fillId="7" borderId="14">
      <alignment horizontal="left" vertical="center" wrapText="1" indent="1"/>
      <protection locked="0"/>
    </xf>
    <xf numFmtId="49" fontId="8" fillId="7" borderId="14">
      <alignment horizontal="left" vertical="center" wrapText="1" indent="1"/>
      <protection locked="0"/>
    </xf>
    <xf numFmtId="168" fontId="79" fillId="0" borderId="14" applyFill="0">
      <alignment horizontal="left" vertical="center" wrapText="1" indent="1"/>
    </xf>
    <xf numFmtId="0" fontId="79" fillId="8" borderId="0" applyBorder="0">
      <alignment horizontal="right" vertical="center" wrapText="1" indent="1"/>
    </xf>
    <xf numFmtId="0" fontId="19" fillId="0" borderId="0" applyFill="0" applyBorder="0">
      <alignment horizontal="left" vertical="center" wrapText="1"/>
    </xf>
    <xf numFmtId="0" fontId="8" fillId="8" borderId="0" applyBorder="0">
      <alignment horizontal="right" vertical="center" wrapText="1" indent="1"/>
    </xf>
    <xf numFmtId="0" fontId="8" fillId="0" borderId="0" applyFill="0" applyBorder="0">
      <alignment horizontal="center" vertical="center" wrapText="1"/>
    </xf>
    <xf numFmtId="0" fontId="19" fillId="0" borderId="0" applyFill="0" applyBorder="0">
      <alignment vertical="center" wrapText="1"/>
    </xf>
    <xf numFmtId="0" fontId="79" fillId="8" borderId="0" applyBorder="0">
      <alignment horizontal="left" vertical="center" wrapText="1" indent="1"/>
    </xf>
    <xf numFmtId="49" fontId="8" fillId="0" borderId="14" applyFill="0">
      <alignment horizontal="left" vertical="center" wrapText="1" indent="1"/>
    </xf>
    <xf numFmtId="0" fontId="20" fillId="8" borderId="0" applyBorder="0">
      <alignment horizontal="center" vertical="center" wrapText="1"/>
    </xf>
    <xf numFmtId="49" fontId="8" fillId="6" borderId="14">
      <alignment horizontal="left" vertical="center" wrapText="1" indent="1"/>
    </xf>
    <xf numFmtId="14" fontId="8" fillId="8" borderId="0" applyBorder="0">
      <alignment horizontal="center" vertical="center" wrapText="1"/>
    </xf>
    <xf numFmtId="0" fontId="79" fillId="8" borderId="13">
      <alignment horizontal="right" vertical="center" wrapText="1" indent="1"/>
    </xf>
    <xf numFmtId="14" fontId="8" fillId="8" borderId="0" applyBorder="0">
      <alignment horizontal="left" vertical="center" wrapText="1"/>
    </xf>
    <xf numFmtId="0" fontId="8" fillId="7" borderId="14">
      <alignment horizontal="left" vertical="center" wrapText="1" indent="1"/>
      <protection locked="0"/>
    </xf>
    <xf numFmtId="0" fontId="21" fillId="8" borderId="0" applyBorder="0">
      <alignment horizontal="right" vertical="center" wrapText="1" indent="1"/>
    </xf>
    <xf numFmtId="0" fontId="21" fillId="8" borderId="0" applyBorder="0">
      <alignment horizontal="left" vertical="center" wrapText="1" indent="1"/>
    </xf>
    <xf numFmtId="49" fontId="22" fillId="0" borderId="14" applyFill="0">
      <alignment horizontal="left" vertical="center" wrapText="1" indent="1"/>
    </xf>
    <xf numFmtId="0" fontId="8" fillId="9" borderId="14">
      <alignment horizontal="left" vertical="center" wrapText="1" indent="1"/>
    </xf>
    <xf numFmtId="168" fontId="79" fillId="0" borderId="15" applyFill="0">
      <alignment horizontal="left" vertical="center" wrapText="1" indent="1"/>
    </xf>
    <xf numFmtId="49" fontId="11" fillId="8" borderId="0" applyBorder="0">
      <alignment horizontal="center" vertical="center" wrapText="1"/>
    </xf>
    <xf numFmtId="0" fontId="8" fillId="0" borderId="0" applyFill="0" applyBorder="0">
      <alignment horizontal="left" vertical="center" wrapText="1" indent="4"/>
    </xf>
    <xf numFmtId="49" fontId="23" fillId="7" borderId="14">
      <alignment horizontal="left" vertical="center" wrapText="1" indent="1"/>
      <protection locked="0"/>
    </xf>
    <xf numFmtId="49" fontId="8" fillId="8" borderId="0" applyBorder="0">
      <alignment horizontal="right" vertical="center" wrapText="1" indent="1"/>
    </xf>
    <xf numFmtId="49" fontId="18" fillId="0" borderId="0" applyFill="0" applyBorder="0">
      <alignment horizontal="center" vertical="center" wrapText="1"/>
    </xf>
    <xf numFmtId="49" fontId="79" fillId="8" borderId="0" applyBorder="0">
      <alignment horizontal="right" vertical="center" wrapText="1" indent="1"/>
    </xf>
    <xf numFmtId="0" fontId="14" fillId="0" borderId="0" applyFill="0" applyBorder="0">
      <alignment horizontal="left" vertical="center" wrapText="1"/>
    </xf>
    <xf numFmtId="0" fontId="9" fillId="0" borderId="0" applyFill="0" applyBorder="0">
      <alignment horizontal="left" vertical="center" wrapText="1"/>
    </xf>
    <xf numFmtId="0" fontId="24" fillId="0" borderId="0" applyFill="0" applyBorder="0">
      <alignment vertical="center" wrapText="1"/>
    </xf>
    <xf numFmtId="0" fontId="9" fillId="0" borderId="0" applyFill="0" applyBorder="0">
      <alignment horizontal="center" vertical="center" wrapText="1"/>
    </xf>
    <xf numFmtId="0" fontId="25" fillId="0" borderId="0" applyFill="0" applyBorder="0">
      <alignment horizontal="left" vertical="center" indent="1"/>
    </xf>
    <xf numFmtId="0" fontId="25" fillId="0" borderId="0" applyFill="0" applyBorder="0">
      <alignment horizontal="center" vertical="center" wrapText="1"/>
    </xf>
    <xf numFmtId="0" fontId="25" fillId="0" borderId="0" applyFill="0" applyBorder="0">
      <alignment horizontal="left" vertical="center" wrapText="1" indent="1"/>
    </xf>
    <xf numFmtId="0" fontId="25" fillId="0" borderId="0" applyFill="0" applyBorder="0">
      <alignment vertical="center" wrapText="1"/>
    </xf>
    <xf numFmtId="0" fontId="26" fillId="0" borderId="0" applyFill="0" applyBorder="0">
      <alignment vertical="center" wrapText="1"/>
    </xf>
    <xf numFmtId="0" fontId="27" fillId="0" borderId="0" applyFill="0" applyBorder="0">
      <alignment vertical="center" wrapText="1"/>
    </xf>
    <xf numFmtId="0" fontId="8" fillId="0" borderId="16" applyFill="0">
      <alignment horizontal="left" vertical="center" wrapText="1" indent="1"/>
    </xf>
    <xf numFmtId="0" fontId="8" fillId="0" borderId="16" applyFill="0">
      <alignment horizontal="center" vertical="center" wrapText="1"/>
    </xf>
    <xf numFmtId="4" fontId="8" fillId="0" borderId="14" applyFill="0">
      <alignment horizontal="center" vertical="center" wrapText="1"/>
    </xf>
    <xf numFmtId="169" fontId="8" fillId="0" borderId="12" applyFill="0">
      <alignment horizontal="center" vertical="center" wrapText="1"/>
    </xf>
    <xf numFmtId="169" fontId="8" fillId="0" borderId="14" applyFill="0">
      <alignment horizontal="center" vertical="center" wrapText="1"/>
    </xf>
    <xf numFmtId="49" fontId="28" fillId="0" borderId="16" applyFill="0">
      <alignment horizontal="center" vertical="center" wrapText="1"/>
    </xf>
    <xf numFmtId="49" fontId="8" fillId="10" borderId="17">
      <alignment horizontal="center" vertical="center" wrapText="1"/>
    </xf>
    <xf numFmtId="49" fontId="18" fillId="10" borderId="17">
      <alignment horizontal="left" vertical="center" wrapText="1"/>
    </xf>
    <xf numFmtId="49" fontId="18" fillId="10" borderId="18">
      <alignment horizontal="left" vertical="center" wrapText="1"/>
    </xf>
    <xf numFmtId="0" fontId="25" fillId="0" borderId="19" applyFill="0">
      <alignment vertical="center"/>
    </xf>
    <xf numFmtId="0" fontId="25" fillId="0" borderId="0" applyFill="0" applyBorder="0">
      <alignment vertical="center"/>
    </xf>
    <xf numFmtId="0" fontId="8" fillId="0" borderId="14" applyFill="0">
      <alignment horizontal="center" vertical="center" wrapText="1"/>
    </xf>
    <xf numFmtId="0" fontId="25" fillId="0" borderId="14" applyFill="0">
      <alignment horizontal="center" vertical="center" wrapText="1"/>
    </xf>
    <xf numFmtId="49" fontId="8" fillId="7" borderId="14">
      <alignment vertical="center" wrapText="1"/>
      <protection locked="0"/>
    </xf>
    <xf numFmtId="49" fontId="18" fillId="0" borderId="14" applyFill="0">
      <alignment horizontal="left" vertical="center" wrapText="1"/>
    </xf>
    <xf numFmtId="0" fontId="28" fillId="0" borderId="20" applyFill="0">
      <alignment vertical="top" wrapText="1"/>
    </xf>
    <xf numFmtId="0" fontId="8" fillId="0" borderId="21" applyFill="0">
      <alignment horizontal="center" vertical="center" wrapText="1"/>
    </xf>
    <xf numFmtId="0" fontId="25" fillId="0" borderId="21" applyFill="0">
      <alignment horizontal="center" vertical="center" wrapText="1"/>
    </xf>
    <xf numFmtId="14" fontId="8" fillId="9" borderId="21">
      <alignment horizontal="left" vertical="center" wrapText="1" indent="1"/>
    </xf>
    <xf numFmtId="49" fontId="8" fillId="6" borderId="21">
      <alignment horizontal="center" vertical="center" wrapText="1"/>
    </xf>
    <xf numFmtId="49" fontId="79" fillId="0" borderId="0" applyFill="0" applyBorder="0">
      <alignment vertical="top"/>
    </xf>
    <xf numFmtId="49" fontId="12" fillId="10" borderId="12">
      <alignment horizontal="right" vertical="center" wrapText="1"/>
    </xf>
    <xf numFmtId="49" fontId="12" fillId="10" borderId="16">
      <alignment horizontal="right" vertical="center" wrapText="1"/>
    </xf>
    <xf numFmtId="49" fontId="29" fillId="10" borderId="16">
      <alignment horizontal="left" vertical="center" indent="1"/>
    </xf>
    <xf numFmtId="49" fontId="79" fillId="10" borderId="16">
      <alignment horizontal="right" vertical="center" wrapText="1"/>
    </xf>
    <xf numFmtId="49" fontId="79" fillId="10" borderId="11">
      <alignment horizontal="right" vertical="center" wrapText="1"/>
    </xf>
    <xf numFmtId="49" fontId="8" fillId="10" borderId="12">
      <alignment horizontal="right" vertical="center" wrapText="1"/>
    </xf>
    <xf numFmtId="49" fontId="8" fillId="10" borderId="16">
      <alignment horizontal="right" vertical="center" wrapText="1"/>
    </xf>
    <xf numFmtId="49" fontId="29" fillId="10" borderId="16">
      <alignment horizontal="left" vertical="center"/>
    </xf>
    <xf numFmtId="49" fontId="8" fillId="10" borderId="11">
      <alignment horizontal="right" vertical="center" wrapText="1"/>
    </xf>
    <xf numFmtId="0" fontId="8" fillId="0" borderId="22" applyFill="0">
      <alignment vertical="center" wrapText="1"/>
    </xf>
    <xf numFmtId="0" fontId="30" fillId="0" borderId="0" applyFill="0" applyBorder="0">
      <alignment vertical="center" wrapText="1"/>
    </xf>
    <xf numFmtId="0" fontId="31" fillId="0" borderId="0" applyFill="0" applyBorder="0">
      <alignment horizontal="center" vertical="center" wrapText="1"/>
    </xf>
    <xf numFmtId="0" fontId="32" fillId="0" borderId="0" applyFill="0" applyBorder="0">
      <alignment vertical="center"/>
    </xf>
    <xf numFmtId="0" fontId="79" fillId="0" borderId="0" applyFill="0" applyBorder="0">
      <alignment vertical="center"/>
    </xf>
    <xf numFmtId="0" fontId="8" fillId="0" borderId="18" applyFill="0">
      <alignment horizontal="left" vertical="center" wrapText="1" indent="1"/>
    </xf>
    <xf numFmtId="0" fontId="8" fillId="0" borderId="23" applyFill="0">
      <alignment horizontal="left" vertical="center" wrapText="1" indent="1"/>
    </xf>
    <xf numFmtId="0" fontId="8" fillId="0" borderId="24" applyFill="0">
      <alignment horizontal="left" vertical="center" wrapText="1" indent="1"/>
    </xf>
    <xf numFmtId="0" fontId="8" fillId="0" borderId="25" applyFill="0">
      <alignment horizontal="left" vertical="center" indent="1"/>
    </xf>
    <xf numFmtId="0" fontId="8" fillId="0" borderId="21" applyFill="0">
      <alignment horizontal="left" vertical="center" indent="1"/>
    </xf>
    <xf numFmtId="0" fontId="8" fillId="0" borderId="26" applyFill="0">
      <alignment horizontal="left" vertical="center" indent="1"/>
    </xf>
    <xf numFmtId="0" fontId="33" fillId="0" borderId="0" applyFill="0" applyBorder="0">
      <alignment vertical="center"/>
    </xf>
    <xf numFmtId="0" fontId="79" fillId="0" borderId="0" applyFill="0" applyBorder="0">
      <alignment horizontal="left" vertical="center" wrapText="1" indent="2"/>
    </xf>
    <xf numFmtId="0" fontId="8" fillId="11" borderId="0" applyBorder="0">
      <alignment horizontal="center" vertical="center" wrapText="1"/>
    </xf>
    <xf numFmtId="0" fontId="34" fillId="0" borderId="24" applyFill="0">
      <alignment horizontal="center" vertical="center" wrapText="1"/>
    </xf>
    <xf numFmtId="0" fontId="34" fillId="0" borderId="17" applyFill="0">
      <alignment horizontal="center" vertical="center" wrapText="1"/>
    </xf>
    <xf numFmtId="0" fontId="34" fillId="0" borderId="14" applyFill="0">
      <alignment horizontal="center" vertical="center" wrapText="1"/>
    </xf>
    <xf numFmtId="0" fontId="8" fillId="0" borderId="27" applyFill="0">
      <alignment horizontal="center" vertical="center" wrapText="1"/>
    </xf>
    <xf numFmtId="0" fontId="8" fillId="0" borderId="28" applyFill="0">
      <alignment horizontal="center" vertical="center" wrapText="1"/>
    </xf>
    <xf numFmtId="0" fontId="18" fillId="0" borderId="19" applyFill="0">
      <alignment vertical="center"/>
    </xf>
    <xf numFmtId="49" fontId="28" fillId="0" borderId="14" applyFill="0">
      <alignment horizontal="center" vertical="center" wrapText="1"/>
    </xf>
    <xf numFmtId="49" fontId="28" fillId="0" borderId="29" applyFill="0">
      <alignment horizontal="center" vertical="center" wrapText="1"/>
    </xf>
    <xf numFmtId="49" fontId="28" fillId="0" borderId="30" applyFill="0">
      <alignment horizontal="center" vertical="center" wrapText="1"/>
    </xf>
    <xf numFmtId="49" fontId="28" fillId="0" borderId="12" applyFill="0">
      <alignment horizontal="center" vertical="center" wrapText="1"/>
    </xf>
    <xf numFmtId="49" fontId="28" fillId="0" borderId="11" applyFill="0">
      <alignment horizontal="center" vertical="center" wrapText="1"/>
    </xf>
    <xf numFmtId="0" fontId="8" fillId="10" borderId="12">
      <alignment horizontal="center" vertical="center" wrapText="1"/>
    </xf>
    <xf numFmtId="49" fontId="8" fillId="10" borderId="16">
      <alignment horizontal="center" vertical="center" wrapText="1"/>
    </xf>
    <xf numFmtId="49" fontId="8" fillId="10" borderId="31">
      <alignment horizontal="center" vertical="center" wrapText="1"/>
    </xf>
    <xf numFmtId="49" fontId="79" fillId="10" borderId="16">
      <alignment horizontal="left" vertical="center"/>
    </xf>
    <xf numFmtId="0" fontId="79" fillId="10" borderId="11">
      <alignment vertical="center"/>
    </xf>
    <xf numFmtId="49" fontId="8" fillId="0" borderId="14" applyFill="0">
      <alignment horizontal="center" vertical="center" wrapText="1"/>
    </xf>
    <xf numFmtId="0" fontId="8" fillId="9" borderId="23">
      <alignment horizontal="left" vertical="center" wrapText="1" indent="2"/>
    </xf>
    <xf numFmtId="49" fontId="8" fillId="9" borderId="21">
      <alignment horizontal="center" vertical="center" wrapText="1"/>
    </xf>
    <xf numFmtId="14" fontId="35" fillId="0" borderId="32" applyFill="0">
      <alignment horizontal="center" vertical="center" wrapText="1"/>
    </xf>
    <xf numFmtId="0" fontId="8" fillId="0" borderId="32" applyFill="0">
      <alignment horizontal="center" vertical="center" wrapText="1"/>
    </xf>
    <xf numFmtId="0" fontId="8" fillId="9" borderId="23">
      <alignment horizontal="left" vertical="center" wrapText="1" indent="1"/>
    </xf>
    <xf numFmtId="49" fontId="8" fillId="9" borderId="14">
      <alignment horizontal="center" vertical="center" wrapText="1"/>
    </xf>
    <xf numFmtId="49" fontId="8" fillId="0" borderId="23" applyFill="0">
      <alignment horizontal="center" vertical="center" wrapText="1"/>
    </xf>
    <xf numFmtId="49" fontId="34" fillId="0" borderId="14" applyFill="0">
      <alignment horizontal="left" vertical="center" wrapText="1" indent="1"/>
    </xf>
    <xf numFmtId="0" fontId="8" fillId="0" borderId="0" applyFill="0" applyBorder="0">
      <alignment vertical="center"/>
    </xf>
    <xf numFmtId="0" fontId="18" fillId="0" borderId="0" applyFill="0" applyBorder="0">
      <alignment vertical="center"/>
    </xf>
    <xf numFmtId="0" fontId="8" fillId="9" borderId="33">
      <alignment horizontal="left" vertical="center" wrapText="1" indent="2"/>
    </xf>
    <xf numFmtId="0" fontId="8" fillId="9" borderId="21">
      <alignment horizontal="left" vertical="center" wrapText="1" indent="1"/>
    </xf>
    <xf numFmtId="49" fontId="29" fillId="10" borderId="11">
      <alignment horizontal="left" vertical="center" indent="1"/>
    </xf>
    <xf numFmtId="0" fontId="8" fillId="9" borderId="21">
      <alignment horizontal="left" vertical="center" wrapText="1" indent="2"/>
    </xf>
    <xf numFmtId="49" fontId="12" fillId="10" borderId="34">
      <alignment horizontal="right" vertical="center" wrapText="1"/>
    </xf>
    <xf numFmtId="49" fontId="12" fillId="10" borderId="35">
      <alignment horizontal="right" vertical="center" wrapText="1"/>
    </xf>
    <xf numFmtId="49" fontId="12" fillId="10" borderId="11">
      <alignment horizontal="right" vertical="center" wrapText="1"/>
    </xf>
    <xf numFmtId="0" fontId="34" fillId="11" borderId="0" applyBorder="0">
      <alignment vertical="top"/>
    </xf>
    <xf numFmtId="49" fontId="29" fillId="10" borderId="16">
      <alignment horizontal="left" vertical="center" indent="2"/>
    </xf>
    <xf numFmtId="0" fontId="8" fillId="0" borderId="18" applyFill="0">
      <alignment horizontal="left" vertical="top" wrapText="1" indent="1"/>
    </xf>
    <xf numFmtId="0" fontId="8" fillId="0" borderId="23" applyFill="0">
      <alignment horizontal="left" vertical="top" wrapText="1" indent="1"/>
    </xf>
    <xf numFmtId="0" fontId="8" fillId="0" borderId="24" applyFill="0">
      <alignment horizontal="left" vertical="top" wrapText="1" indent="1"/>
    </xf>
    <xf numFmtId="0" fontId="8" fillId="0" borderId="36" applyFill="0">
      <alignment horizontal="left" vertical="center" indent="1"/>
    </xf>
    <xf numFmtId="0" fontId="36" fillId="0" borderId="20" applyFill="0">
      <alignment horizontal="left" vertical="center" wrapText="1" indent="1"/>
    </xf>
    <xf numFmtId="0" fontId="36" fillId="0" borderId="33" applyFill="0">
      <alignment horizontal="left" vertical="center" wrapText="1" indent="1"/>
    </xf>
    <xf numFmtId="0" fontId="36" fillId="0" borderId="19" applyFill="0">
      <alignment horizontal="left" vertical="center" wrapText="1" indent="1"/>
    </xf>
    <xf numFmtId="0" fontId="37" fillId="0" borderId="0" applyFill="0" applyBorder="0">
      <alignment vertical="center"/>
    </xf>
    <xf numFmtId="0" fontId="79" fillId="0" borderId="14" applyFill="0">
      <alignment horizontal="center" vertical="center" wrapText="1"/>
    </xf>
    <xf numFmtId="49" fontId="25" fillId="8" borderId="0" applyBorder="0">
      <alignment horizontal="center" vertical="center" wrapText="1"/>
    </xf>
    <xf numFmtId="49" fontId="25" fillId="8" borderId="36">
      <alignment horizontal="center" vertical="center" wrapText="1"/>
    </xf>
    <xf numFmtId="0" fontId="25" fillId="0" borderId="14" applyFill="0">
      <alignment horizontal="center" vertical="center"/>
    </xf>
    <xf numFmtId="0" fontId="79" fillId="0" borderId="14" applyFill="0">
      <alignment horizontal="center" vertical="center"/>
    </xf>
    <xf numFmtId="49" fontId="79" fillId="0" borderId="14" applyFill="0">
      <alignment horizontal="center" vertical="center"/>
    </xf>
    <xf numFmtId="49" fontId="79" fillId="0" borderId="14" applyFill="0">
      <alignment horizontal="left" vertical="center"/>
    </xf>
    <xf numFmtId="0" fontId="79" fillId="0" borderId="14" applyFill="0">
      <alignment horizontal="center" vertical="top"/>
    </xf>
    <xf numFmtId="0" fontId="8" fillId="0" borderId="14" applyFill="0">
      <alignment horizontal="left" vertical="top" wrapText="1"/>
    </xf>
    <xf numFmtId="0" fontId="8" fillId="9" borderId="23">
      <alignment horizontal="center" vertical="top" wrapText="1"/>
    </xf>
    <xf numFmtId="0" fontId="79" fillId="0" borderId="24" applyFill="0">
      <alignment horizontal="center" vertical="center"/>
    </xf>
    <xf numFmtId="0" fontId="79" fillId="0" borderId="17" applyFill="0">
      <alignment horizontal="center" vertical="center"/>
    </xf>
    <xf numFmtId="49" fontId="8" fillId="0" borderId="17" applyFill="0">
      <alignment horizontal="left" vertical="center" wrapText="1"/>
    </xf>
    <xf numFmtId="49" fontId="8" fillId="0" borderId="17" applyFill="0">
      <alignment horizontal="center" vertical="center" wrapText="1"/>
    </xf>
    <xf numFmtId="0" fontId="79" fillId="0" borderId="17" applyFill="0">
      <alignment horizontal="left" vertical="center" wrapText="1"/>
    </xf>
    <xf numFmtId="49" fontId="79" fillId="0" borderId="17" applyFill="0">
      <alignment horizontal="left" vertical="center" wrapText="1"/>
    </xf>
    <xf numFmtId="49" fontId="8" fillId="0" borderId="18" applyFill="0">
      <alignment horizontal="left" vertical="center" wrapText="1"/>
    </xf>
    <xf numFmtId="0" fontId="8" fillId="0" borderId="0" applyFill="0" applyBorder="0">
      <alignment horizontal="left" vertical="center" indent="1"/>
    </xf>
    <xf numFmtId="0" fontId="8" fillId="9" borderId="33">
      <alignment horizontal="center" vertical="top" wrapText="1"/>
    </xf>
    <xf numFmtId="0" fontId="79" fillId="0" borderId="19" applyFill="0">
      <alignment horizontal="center" vertical="center"/>
    </xf>
    <xf numFmtId="0" fontId="29" fillId="0" borderId="20" applyFill="0">
      <alignment horizontal="left" vertical="center"/>
    </xf>
    <xf numFmtId="49" fontId="79" fillId="0" borderId="14" applyFill="0">
      <alignment vertical="top"/>
    </xf>
    <xf numFmtId="49" fontId="79" fillId="0" borderId="14" applyFill="0">
      <alignment horizontal="left" vertical="top"/>
    </xf>
    <xf numFmtId="0" fontId="8" fillId="9" borderId="21">
      <alignment horizontal="center" vertical="top" wrapText="1"/>
    </xf>
    <xf numFmtId="0" fontId="29" fillId="0" borderId="26" applyFill="0">
      <alignment horizontal="left" vertical="center"/>
    </xf>
    <xf numFmtId="0" fontId="29" fillId="0" borderId="36" applyFill="0">
      <alignment horizontal="left" vertical="center"/>
    </xf>
    <xf numFmtId="0" fontId="79" fillId="0" borderId="36" applyFill="0">
      <alignment vertical="center"/>
    </xf>
    <xf numFmtId="0" fontId="29" fillId="0" borderId="25" applyFill="0">
      <alignment horizontal="left" vertical="center"/>
    </xf>
    <xf numFmtId="0" fontId="8" fillId="7" borderId="14">
      <alignment horizontal="left" vertical="top" wrapText="1"/>
      <protection locked="0"/>
    </xf>
    <xf numFmtId="49" fontId="8" fillId="0" borderId="0" applyFill="0" applyBorder="0">
      <alignment horizontal="left" vertical="center" indent="1"/>
    </xf>
    <xf numFmtId="0" fontId="79" fillId="7" borderId="14">
      <alignment horizontal="left" vertical="top"/>
      <protection locked="0"/>
    </xf>
    <xf numFmtId="0" fontId="79" fillId="0" borderId="23" applyFill="0">
      <alignment horizontal="center" vertical="top"/>
    </xf>
    <xf numFmtId="0" fontId="8" fillId="0" borderId="23" applyFill="0">
      <alignment horizontal="left" vertical="top" wrapText="1"/>
    </xf>
    <xf numFmtId="0" fontId="79" fillId="0" borderId="33" applyFill="0">
      <alignment horizontal="center" vertical="top"/>
    </xf>
    <xf numFmtId="0" fontId="8" fillId="0" borderId="33" applyFill="0">
      <alignment horizontal="left" vertical="top" wrapText="1"/>
    </xf>
    <xf numFmtId="0" fontId="79" fillId="0" borderId="21" applyFill="0">
      <alignment horizontal="center" vertical="top"/>
    </xf>
    <xf numFmtId="0" fontId="8" fillId="0" borderId="21" applyFill="0">
      <alignment horizontal="left" vertical="top" wrapText="1"/>
    </xf>
    <xf numFmtId="0" fontId="79" fillId="0" borderId="0" applyFill="0" applyBorder="0">
      <alignment horizontal="left" vertical="top" wrapText="1"/>
    </xf>
    <xf numFmtId="0" fontId="79" fillId="0" borderId="0" quotePrefix="1" applyFill="0" applyBorder="0">
      <alignment horizontal="left" vertical="top" wrapText="1" indent="1"/>
    </xf>
    <xf numFmtId="49" fontId="25" fillId="0" borderId="0" applyFill="0" applyBorder="0">
      <alignment vertical="top"/>
    </xf>
    <xf numFmtId="49" fontId="25" fillId="0" borderId="0" applyFill="0" applyBorder="0">
      <alignment horizontal="center" vertical="center"/>
    </xf>
    <xf numFmtId="49" fontId="37" fillId="0" borderId="0" applyFill="0" applyBorder="0">
      <alignment vertical="top"/>
    </xf>
    <xf numFmtId="0" fontId="8" fillId="0" borderId="17" applyFill="0">
      <alignment horizontal="left" vertical="center" wrapText="1" indent="1"/>
    </xf>
    <xf numFmtId="0" fontId="8" fillId="0" borderId="36" applyFill="0">
      <alignment horizontal="left" vertical="center" wrapText="1" indent="1"/>
    </xf>
    <xf numFmtId="0" fontId="8" fillId="0" borderId="24" applyFill="0">
      <alignment horizontal="center" vertical="center" wrapText="1"/>
    </xf>
    <xf numFmtId="0" fontId="8" fillId="0" borderId="18" applyFill="0">
      <alignment horizontal="center" vertical="center" wrapText="1"/>
    </xf>
    <xf numFmtId="0" fontId="8" fillId="0" borderId="33" applyFill="0">
      <alignment horizontal="center" vertical="center" wrapText="1"/>
    </xf>
    <xf numFmtId="0" fontId="8" fillId="0" borderId="23" applyFill="0">
      <alignment horizontal="center" vertical="center" wrapText="1"/>
    </xf>
    <xf numFmtId="0" fontId="8" fillId="0" borderId="19" applyFill="0">
      <alignment horizontal="center" vertical="center" wrapText="1"/>
    </xf>
    <xf numFmtId="0" fontId="8" fillId="0" borderId="20" applyFill="0">
      <alignment horizontal="center" vertical="center" wrapText="1"/>
    </xf>
    <xf numFmtId="0" fontId="8" fillId="0" borderId="26" applyFill="0">
      <alignment horizontal="center" vertical="center" wrapText="1"/>
    </xf>
    <xf numFmtId="0" fontId="8" fillId="0" borderId="25" applyFill="0">
      <alignment horizontal="center" vertical="center" wrapText="1"/>
    </xf>
    <xf numFmtId="49" fontId="8" fillId="0" borderId="0" applyFill="0" applyBorder="0">
      <alignment vertical="top"/>
    </xf>
    <xf numFmtId="49" fontId="8" fillId="0" borderId="14" applyFill="0">
      <alignment horizontal="center" vertical="center"/>
    </xf>
    <xf numFmtId="0" fontId="8" fillId="0" borderId="14" applyFill="0">
      <alignment horizontal="left" vertical="center" wrapText="1"/>
    </xf>
    <xf numFmtId="49" fontId="8" fillId="9" borderId="23">
      <alignment horizontal="center" vertical="center" wrapText="1"/>
    </xf>
    <xf numFmtId="49" fontId="8" fillId="0" borderId="24" applyFill="0">
      <alignment vertical="center" wrapText="1"/>
    </xf>
    <xf numFmtId="0" fontId="8" fillId="0" borderId="17" applyFill="0">
      <alignment horizontal="center" vertical="center"/>
    </xf>
    <xf numFmtId="49" fontId="8" fillId="0" borderId="17" applyFill="0">
      <alignment vertical="center" wrapText="1"/>
    </xf>
    <xf numFmtId="49" fontId="31" fillId="0" borderId="17" applyFill="0">
      <alignment vertical="center" wrapText="1"/>
    </xf>
    <xf numFmtId="0" fontId="8" fillId="0" borderId="17" applyFill="0">
      <alignment horizontal="left" vertical="center" wrapText="1"/>
    </xf>
    <xf numFmtId="49" fontId="8" fillId="9" borderId="33">
      <alignment horizontal="center" vertical="center" wrapText="1"/>
    </xf>
    <xf numFmtId="49" fontId="8" fillId="0" borderId="19" applyFill="0">
      <alignment vertical="center" wrapText="1"/>
    </xf>
    <xf numFmtId="0" fontId="29" fillId="0" borderId="19" applyFill="0">
      <alignment horizontal="left" vertical="center"/>
    </xf>
    <xf numFmtId="49" fontId="8" fillId="0" borderId="23" applyFill="0">
      <alignment horizontal="center" vertical="center"/>
    </xf>
    <xf numFmtId="0" fontId="8" fillId="0" borderId="23" applyFill="0">
      <alignment horizontal="left" vertical="center" wrapText="1"/>
    </xf>
    <xf numFmtId="0" fontId="8" fillId="0" borderId="24" applyFill="0">
      <alignment horizontal="left" vertical="center" wrapText="1"/>
    </xf>
    <xf numFmtId="49" fontId="37" fillId="0" borderId="26" applyFill="0">
      <alignment vertical="top"/>
    </xf>
    <xf numFmtId="49" fontId="37" fillId="0" borderId="36" applyFill="0">
      <alignment vertical="top"/>
    </xf>
    <xf numFmtId="49" fontId="9" fillId="0" borderId="0" applyFill="0" applyBorder="0">
      <alignment vertical="top"/>
    </xf>
    <xf numFmtId="0" fontId="8" fillId="0" borderId="12" applyFill="0">
      <alignment horizontal="left" vertical="center" wrapText="1"/>
    </xf>
    <xf numFmtId="0" fontId="8" fillId="8" borderId="0" applyBorder="0"/>
    <xf numFmtId="0" fontId="79" fillId="8" borderId="0" applyBorder="0"/>
    <xf numFmtId="0" fontId="25" fillId="8" borderId="0" applyBorder="0"/>
    <xf numFmtId="0" fontId="21" fillId="8" borderId="0" applyBorder="0">
      <alignment horizontal="center"/>
    </xf>
    <xf numFmtId="0" fontId="21" fillId="8" borderId="0" applyBorder="0"/>
    <xf numFmtId="0" fontId="38" fillId="8" borderId="0" applyBorder="0">
      <alignment horizontal="right" vertical="center"/>
    </xf>
    <xf numFmtId="0" fontId="25" fillId="8" borderId="0" applyBorder="0">
      <alignment vertical="center" wrapText="1"/>
    </xf>
    <xf numFmtId="0" fontId="16" fillId="8" borderId="0" applyBorder="0">
      <alignment horizontal="left" vertical="center" wrapText="1"/>
    </xf>
    <xf numFmtId="49" fontId="79" fillId="8" borderId="14">
      <alignment horizontal="center" vertical="center" wrapText="1"/>
    </xf>
    <xf numFmtId="49" fontId="8" fillId="8" borderId="14">
      <alignment horizontal="center" vertical="center" wrapText="1"/>
    </xf>
    <xf numFmtId="0" fontId="79" fillId="8" borderId="14">
      <alignment horizontal="center" vertical="center" wrapText="1"/>
    </xf>
    <xf numFmtId="0" fontId="8" fillId="8" borderId="14">
      <alignment horizontal="center" vertical="center" wrapText="1"/>
    </xf>
    <xf numFmtId="0" fontId="28" fillId="8" borderId="0" applyBorder="0">
      <alignment horizontal="center" vertical="center"/>
    </xf>
    <xf numFmtId="49" fontId="25" fillId="0" borderId="14" applyFill="0">
      <alignment horizontal="center" vertical="center"/>
    </xf>
    <xf numFmtId="0" fontId="25" fillId="0" borderId="14" applyFill="0">
      <alignment vertical="center" wrapText="1"/>
    </xf>
    <xf numFmtId="0" fontId="25" fillId="0" borderId="14" applyFill="0">
      <alignment horizontal="left" vertical="center" wrapText="1"/>
    </xf>
    <xf numFmtId="0" fontId="39" fillId="8" borderId="0" applyBorder="0"/>
    <xf numFmtId="49" fontId="79" fillId="8" borderId="14">
      <alignment horizontal="center" vertical="center"/>
    </xf>
    <xf numFmtId="0" fontId="79" fillId="8" borderId="14">
      <alignment vertical="center" wrapText="1"/>
    </xf>
    <xf numFmtId="0" fontId="8" fillId="8" borderId="14">
      <alignment vertical="center" wrapText="1"/>
    </xf>
    <xf numFmtId="0" fontId="79" fillId="8" borderId="14">
      <alignment horizontal="left" vertical="center" wrapText="1" indent="1"/>
    </xf>
    <xf numFmtId="49" fontId="79" fillId="7" borderId="14">
      <alignment horizontal="left" vertical="center" wrapText="1"/>
      <protection locked="0"/>
    </xf>
    <xf numFmtId="0" fontId="25" fillId="0" borderId="14" applyFill="0">
      <alignment horizontal="left" vertical="center" wrapText="1" indent="1"/>
    </xf>
    <xf numFmtId="49" fontId="8" fillId="8" borderId="0" applyBorder="0">
      <alignment horizontal="center" vertical="center" wrapText="1"/>
    </xf>
    <xf numFmtId="0" fontId="8" fillId="8" borderId="20">
      <alignment horizontal="center" vertical="center" wrapText="1"/>
    </xf>
    <xf numFmtId="0" fontId="79" fillId="8" borderId="14">
      <alignment horizontal="center" vertical="center"/>
    </xf>
    <xf numFmtId="0" fontId="79" fillId="8" borderId="14">
      <alignment horizontal="left" vertical="center" wrapText="1" indent="2"/>
    </xf>
    <xf numFmtId="49" fontId="79" fillId="0" borderId="14" applyFill="0">
      <alignment horizontal="left" vertical="center" wrapText="1"/>
    </xf>
    <xf numFmtId="49" fontId="8" fillId="8" borderId="0" applyBorder="0">
      <alignment vertical="center" wrapText="1"/>
    </xf>
    <xf numFmtId="0" fontId="8" fillId="8" borderId="20">
      <alignment vertical="center" wrapText="1"/>
    </xf>
    <xf numFmtId="0" fontId="8" fillId="10" borderId="12">
      <alignment horizontal="center"/>
    </xf>
    <xf numFmtId="0" fontId="38" fillId="10" borderId="16">
      <alignment horizontal="left" vertical="center"/>
    </xf>
    <xf numFmtId="0" fontId="38" fillId="10" borderId="11">
      <alignment horizontal="left" vertical="center"/>
    </xf>
    <xf numFmtId="49" fontId="25" fillId="8" borderId="14">
      <alignment horizontal="center" vertical="center"/>
    </xf>
    <xf numFmtId="0" fontId="25" fillId="8" borderId="14">
      <alignment vertical="center" wrapText="1"/>
    </xf>
    <xf numFmtId="0" fontId="25" fillId="8" borderId="14">
      <alignment horizontal="left" vertical="center" wrapText="1" indent="1"/>
    </xf>
    <xf numFmtId="0" fontId="25" fillId="8" borderId="14">
      <alignment horizontal="left" vertical="center" wrapText="1" indent="2"/>
    </xf>
    <xf numFmtId="49" fontId="25" fillId="0" borderId="14" applyFill="0">
      <alignment horizontal="left" vertical="center" wrapText="1"/>
    </xf>
    <xf numFmtId="0" fontId="79" fillId="8" borderId="14">
      <alignment horizontal="left" vertical="center" wrapText="1"/>
    </xf>
    <xf numFmtId="49" fontId="79" fillId="4" borderId="14">
      <alignment horizontal="left" vertical="center" wrapText="1"/>
      <protection locked="0"/>
    </xf>
    <xf numFmtId="0" fontId="79" fillId="8" borderId="23">
      <alignment horizontal="left" vertical="center" wrapText="1"/>
    </xf>
    <xf numFmtId="0" fontId="8" fillId="8" borderId="23">
      <alignment horizontal="left" vertical="top" wrapText="1"/>
    </xf>
    <xf numFmtId="49" fontId="79" fillId="0" borderId="14" applyFill="0">
      <alignment horizontal="left" vertical="center" wrapText="1" indent="1"/>
    </xf>
    <xf numFmtId="0" fontId="8" fillId="8" borderId="33">
      <alignment horizontal="left" vertical="top" wrapText="1"/>
    </xf>
    <xf numFmtId="0" fontId="31" fillId="8" borderId="0" applyBorder="0">
      <alignment horizontal="center" vertical="center" wrapText="1"/>
    </xf>
    <xf numFmtId="49" fontId="79" fillId="7" borderId="14">
      <alignment horizontal="left" vertical="center" wrapText="1" indent="1"/>
      <protection locked="0"/>
    </xf>
    <xf numFmtId="49" fontId="8" fillId="7" borderId="12">
      <alignment horizontal="left" vertical="center" wrapText="1"/>
      <protection locked="0"/>
    </xf>
    <xf numFmtId="0" fontId="8" fillId="8" borderId="21">
      <alignment horizontal="left" vertical="top" wrapText="1"/>
    </xf>
    <xf numFmtId="0" fontId="40" fillId="8" borderId="0" applyBorder="0"/>
    <xf numFmtId="49" fontId="8" fillId="7" borderId="14" quotePrefix="1">
      <alignment horizontal="left" vertical="center" wrapText="1"/>
      <protection locked="0"/>
    </xf>
    <xf numFmtId="49" fontId="8" fillId="4" borderId="14">
      <alignment horizontal="left" vertical="center" wrapText="1"/>
      <protection locked="0"/>
    </xf>
    <xf numFmtId="49" fontId="8" fillId="9" borderId="14">
      <alignment horizontal="left" vertical="center" wrapText="1"/>
    </xf>
    <xf numFmtId="0" fontId="79" fillId="8" borderId="12">
      <alignment horizontal="left" vertical="center" wrapText="1" indent="1"/>
    </xf>
    <xf numFmtId="49" fontId="8" fillId="9" borderId="12">
      <alignment horizontal="left" vertical="center" wrapText="1"/>
    </xf>
    <xf numFmtId="0" fontId="79" fillId="8" borderId="14">
      <alignment vertical="top" wrapText="1"/>
    </xf>
    <xf numFmtId="0" fontId="79" fillId="8" borderId="12">
      <alignment horizontal="left" vertical="center" wrapText="1"/>
    </xf>
    <xf numFmtId="0" fontId="79" fillId="8" borderId="21">
      <alignment vertical="center" wrapText="1"/>
    </xf>
    <xf numFmtId="0" fontId="30" fillId="0" borderId="0" applyFill="0" applyBorder="0">
      <alignment horizontal="left" vertical="top" wrapText="1" indent="1"/>
    </xf>
    <xf numFmtId="0" fontId="41" fillId="8" borderId="0" applyBorder="0"/>
    <xf numFmtId="0" fontId="34" fillId="8" borderId="0" applyBorder="0">
      <alignment horizontal="center"/>
    </xf>
    <xf numFmtId="0" fontId="34" fillId="8" borderId="0" applyBorder="0"/>
    <xf numFmtId="0" fontId="42" fillId="8" borderId="0" applyBorder="0">
      <alignment horizontal="right" vertical="center"/>
    </xf>
    <xf numFmtId="0" fontId="43" fillId="8" borderId="0" applyBorder="0">
      <alignment vertical="center"/>
    </xf>
    <xf numFmtId="0" fontId="42" fillId="8" borderId="0" applyBorder="0">
      <alignment horizontal="right" vertical="top"/>
    </xf>
    <xf numFmtId="0" fontId="43" fillId="8" borderId="0" applyBorder="0">
      <alignment vertical="center" wrapText="1"/>
    </xf>
    <xf numFmtId="0" fontId="79" fillId="8" borderId="0" applyBorder="0">
      <alignment horizontal="center"/>
    </xf>
    <xf numFmtId="0" fontId="18" fillId="0" borderId="0" applyFill="0" applyBorder="0">
      <alignment horizontal="center" vertical="center" wrapText="1"/>
    </xf>
    <xf numFmtId="0" fontId="44" fillId="8" borderId="0" applyBorder="0">
      <alignment horizontal="center" vertical="center" wrapText="1"/>
    </xf>
    <xf numFmtId="0" fontId="44" fillId="8" borderId="0" applyBorder="0">
      <alignment horizontal="right" vertical="center" wrapText="1"/>
    </xf>
    <xf numFmtId="0" fontId="44" fillId="0" borderId="0" applyFill="0" applyBorder="0">
      <alignment vertical="center" wrapText="1"/>
    </xf>
    <xf numFmtId="0" fontId="8" fillId="0" borderId="25" applyFill="0">
      <alignment horizontal="left" vertical="center" wrapText="1" indent="1"/>
    </xf>
    <xf numFmtId="0" fontId="8" fillId="0" borderId="21" applyFill="0">
      <alignment horizontal="left" vertical="center" wrapText="1" indent="1"/>
    </xf>
    <xf numFmtId="0" fontId="8" fillId="0" borderId="26" applyFill="0">
      <alignment horizontal="left" vertical="center" wrapText="1" indent="1"/>
    </xf>
    <xf numFmtId="0" fontId="45" fillId="8" borderId="0" applyBorder="0">
      <alignment horizontal="center" vertical="center" wrapText="1"/>
    </xf>
    <xf numFmtId="0" fontId="79" fillId="0" borderId="12" applyFill="0">
      <alignment horizontal="center" vertical="center" wrapText="1"/>
    </xf>
    <xf numFmtId="0" fontId="79" fillId="0" borderId="16" applyFill="0">
      <alignment horizontal="center" vertical="center" wrapText="1"/>
    </xf>
    <xf numFmtId="0" fontId="79" fillId="0" borderId="11" applyFill="0">
      <alignment horizontal="center" vertical="center" wrapText="1"/>
    </xf>
    <xf numFmtId="0" fontId="79" fillId="0" borderId="23" applyFill="0">
      <alignment horizontal="center" vertical="center" wrapText="1"/>
    </xf>
    <xf numFmtId="0" fontId="79" fillId="0" borderId="24" applyFill="0">
      <alignment horizontal="center" vertical="center" wrapText="1"/>
    </xf>
    <xf numFmtId="0" fontId="79" fillId="0" borderId="18" applyFill="0">
      <alignment horizontal="center" vertical="center" wrapText="1"/>
    </xf>
    <xf numFmtId="0" fontId="79" fillId="0" borderId="21" applyFill="0">
      <alignment horizontal="center" vertical="center" wrapText="1"/>
    </xf>
    <xf numFmtId="0" fontId="79" fillId="0" borderId="26" applyFill="0">
      <alignment horizontal="center" vertical="center" wrapText="1"/>
    </xf>
    <xf numFmtId="0" fontId="79" fillId="0" borderId="25" applyFill="0">
      <alignment horizontal="center" vertical="center" wrapText="1"/>
    </xf>
    <xf numFmtId="0" fontId="28" fillId="8" borderId="0" applyBorder="0">
      <alignment horizontal="center" vertical="center" wrapText="1"/>
    </xf>
    <xf numFmtId="49" fontId="28" fillId="8" borderId="0" applyBorder="0">
      <alignment horizontal="center" vertical="center" wrapText="1"/>
    </xf>
    <xf numFmtId="0" fontId="46" fillId="8" borderId="0" applyBorder="0">
      <alignment horizontal="center" vertical="center" wrapText="1"/>
    </xf>
    <xf numFmtId="49" fontId="36" fillId="0" borderId="23" applyFill="0">
      <alignment horizontal="left" vertical="center" wrapText="1"/>
    </xf>
    <xf numFmtId="49" fontId="36" fillId="0" borderId="14" applyFill="0">
      <alignment horizontal="left" vertical="center" wrapText="1"/>
    </xf>
    <xf numFmtId="49" fontId="79" fillId="0" borderId="14" applyFill="0">
      <alignment vertical="top" wrapText="1"/>
    </xf>
    <xf numFmtId="0" fontId="36" fillId="0" borderId="0" applyFill="0" applyBorder="0">
      <alignment vertical="center" wrapText="1"/>
    </xf>
    <xf numFmtId="49" fontId="79" fillId="0" borderId="14" applyFill="0">
      <alignment horizontal="center" vertical="center" wrapText="1"/>
    </xf>
    <xf numFmtId="0" fontId="8" fillId="9" borderId="12">
      <alignment horizontal="left" vertical="center" wrapText="1"/>
    </xf>
    <xf numFmtId="49" fontId="28" fillId="8" borderId="14">
      <alignment horizontal="center" vertical="center" wrapText="1"/>
    </xf>
    <xf numFmtId="4" fontId="79" fillId="7" borderId="14">
      <alignment horizontal="right" vertical="center" wrapText="1"/>
      <protection locked="0"/>
    </xf>
    <xf numFmtId="3" fontId="79" fillId="7" borderId="14">
      <alignment horizontal="right" vertical="center" wrapText="1"/>
      <protection locked="0"/>
    </xf>
    <xf numFmtId="4" fontId="79" fillId="7" borderId="11">
      <alignment horizontal="right" vertical="center" wrapText="1"/>
      <protection locked="0"/>
    </xf>
    <xf numFmtId="0" fontId="79" fillId="4" borderId="14">
      <alignment horizontal="right" vertical="center" wrapText="1"/>
      <protection locked="0"/>
    </xf>
    <xf numFmtId="3" fontId="79" fillId="0" borderId="11" applyFill="0">
      <alignment horizontal="right" vertical="center" wrapText="1"/>
    </xf>
    <xf numFmtId="0" fontId="79" fillId="0" borderId="23" applyFill="0">
      <alignment horizontal="left" vertical="top" wrapText="1"/>
    </xf>
    <xf numFmtId="49" fontId="12" fillId="10" borderId="12">
      <alignment horizontal="center" vertical="center"/>
    </xf>
    <xf numFmtId="0" fontId="29" fillId="10" borderId="16">
      <alignment vertical="center"/>
    </xf>
    <xf numFmtId="49" fontId="29" fillId="10" borderId="16">
      <alignment vertical="center"/>
    </xf>
    <xf numFmtId="49" fontId="38" fillId="10" borderId="16">
      <alignment vertical="center"/>
    </xf>
    <xf numFmtId="49" fontId="38" fillId="10" borderId="11">
      <alignment vertical="center"/>
    </xf>
    <xf numFmtId="0" fontId="79" fillId="0" borderId="21" applyFill="0">
      <alignment horizontal="left" vertical="top" wrapText="1"/>
    </xf>
    <xf numFmtId="49" fontId="79" fillId="0" borderId="24" applyFill="0">
      <alignment horizontal="center" vertical="center" wrapText="1"/>
    </xf>
    <xf numFmtId="0" fontId="8" fillId="9" borderId="17">
      <alignment horizontal="left" vertical="center" wrapText="1"/>
    </xf>
    <xf numFmtId="0" fontId="31" fillId="8" borderId="14">
      <alignment horizontal="center" vertical="center" wrapText="1"/>
    </xf>
    <xf numFmtId="49" fontId="8" fillId="7" borderId="14">
      <alignment horizontal="left" vertical="center" wrapText="1"/>
      <protection locked="0"/>
    </xf>
    <xf numFmtId="3" fontId="8" fillId="7" borderId="14">
      <alignment horizontal="right" vertical="center" wrapText="1"/>
      <protection locked="0"/>
    </xf>
    <xf numFmtId="49" fontId="79" fillId="0" borderId="26" applyFill="0">
      <alignment horizontal="center" vertical="center" wrapText="1"/>
    </xf>
    <xf numFmtId="0" fontId="8" fillId="9" borderId="36">
      <alignment horizontal="left" vertical="center" wrapText="1"/>
    </xf>
    <xf numFmtId="0" fontId="8" fillId="0" borderId="17" applyFill="0">
      <alignment horizontal="left" vertical="top" wrapText="1" indent="1"/>
    </xf>
    <xf numFmtId="0" fontId="10" fillId="8" borderId="0" applyBorder="0">
      <alignment horizontal="right" vertical="center"/>
    </xf>
    <xf numFmtId="0" fontId="10" fillId="8" borderId="0" applyBorder="0">
      <alignment horizontal="right" vertical="center" wrapText="1"/>
    </xf>
    <xf numFmtId="49" fontId="28" fillId="8" borderId="16">
      <alignment horizontal="center" vertical="center" wrapText="1"/>
    </xf>
    <xf numFmtId="49" fontId="8" fillId="0" borderId="14" applyFill="0">
      <alignment horizontal="left" vertical="center" wrapText="1"/>
    </xf>
    <xf numFmtId="0" fontId="31" fillId="8" borderId="20">
      <alignment vertical="top" wrapText="1"/>
    </xf>
    <xf numFmtId="14" fontId="8" fillId="10" borderId="16">
      <alignment horizontal="center" vertical="center" wrapText="1"/>
    </xf>
    <xf numFmtId="14" fontId="35" fillId="10" borderId="16">
      <alignment horizontal="center" vertical="center" wrapText="1"/>
    </xf>
    <xf numFmtId="49" fontId="17" fillId="10" borderId="11">
      <alignment horizontal="left" vertical="center" wrapText="1"/>
    </xf>
    <xf numFmtId="0" fontId="79" fillId="0" borderId="33" applyFill="0">
      <alignment horizontal="left" vertical="top" wrapText="1"/>
    </xf>
    <xf numFmtId="0" fontId="31" fillId="8" borderId="0" applyBorder="0">
      <alignment vertical="top" wrapText="1"/>
    </xf>
    <xf numFmtId="0" fontId="25" fillId="8" borderId="21">
      <alignment horizontal="center" vertical="center" wrapText="1"/>
    </xf>
    <xf numFmtId="14" fontId="8" fillId="9" borderId="21">
      <alignment horizontal="left" vertical="center" wrapText="1"/>
    </xf>
    <xf numFmtId="14" fontId="8" fillId="9" borderId="14">
      <alignment horizontal="center" vertical="center" wrapText="1"/>
    </xf>
    <xf numFmtId="49" fontId="17" fillId="7" borderId="14">
      <alignment horizontal="left" vertical="center" wrapText="1"/>
      <protection locked="0"/>
    </xf>
    <xf numFmtId="0" fontId="25" fillId="0" borderId="0" applyFill="0" applyBorder="0">
      <alignment horizontal="left" vertical="center" wrapText="1"/>
    </xf>
    <xf numFmtId="49" fontId="25" fillId="0" borderId="0" applyFill="0" applyBorder="0">
      <alignment horizontal="left" vertical="center" wrapText="1"/>
    </xf>
    <xf numFmtId="49" fontId="12" fillId="10" borderId="16">
      <alignment horizontal="center" vertical="center"/>
    </xf>
    <xf numFmtId="49" fontId="38" fillId="10" borderId="16">
      <alignment horizontal="left" vertical="center" indent="1"/>
    </xf>
    <xf numFmtId="49" fontId="38" fillId="10" borderId="11">
      <alignment horizontal="left" vertical="center" indent="1"/>
    </xf>
    <xf numFmtId="0" fontId="30" fillId="0" borderId="0" applyFill="0" applyBorder="0">
      <alignment vertical="top"/>
    </xf>
    <xf numFmtId="0" fontId="18" fillId="0" borderId="14" applyFill="0">
      <alignment horizontal="center" vertical="center"/>
    </xf>
    <xf numFmtId="49" fontId="8" fillId="0" borderId="20" applyFill="0">
      <alignment vertical="top"/>
    </xf>
    <xf numFmtId="0" fontId="8" fillId="8" borderId="14">
      <alignment horizontal="left" vertical="center" wrapText="1"/>
    </xf>
    <xf numFmtId="0" fontId="8" fillId="0" borderId="14" applyFill="0">
      <alignment vertical="center" wrapText="1"/>
    </xf>
    <xf numFmtId="0" fontId="8" fillId="0" borderId="14" applyFill="0">
      <alignment horizontal="left" vertical="center" wrapText="1" indent="6"/>
    </xf>
    <xf numFmtId="0" fontId="8" fillId="6" borderId="12">
      <alignment horizontal="left" vertical="center" wrapText="1"/>
    </xf>
    <xf numFmtId="0" fontId="8" fillId="6" borderId="16">
      <alignment horizontal="left" vertical="center" wrapText="1"/>
    </xf>
    <xf numFmtId="0" fontId="8" fillId="6" borderId="11">
      <alignment horizontal="left" vertical="center" wrapText="1"/>
    </xf>
    <xf numFmtId="0" fontId="30" fillId="0" borderId="14" applyFill="0">
      <alignment vertical="top" wrapText="1"/>
    </xf>
    <xf numFmtId="0" fontId="18" fillId="0" borderId="12" applyFill="0">
      <alignment horizontal="center" vertical="center"/>
    </xf>
    <xf numFmtId="0" fontId="27" fillId="8" borderId="0" applyBorder="0">
      <alignment horizontal="center" vertical="center" wrapText="1"/>
    </xf>
    <xf numFmtId="0" fontId="8" fillId="0" borderId="20" applyFill="0">
      <alignment vertical="center" wrapText="1"/>
    </xf>
    <xf numFmtId="0" fontId="8" fillId="8" borderId="14">
      <alignment horizontal="left" vertical="center" wrapText="1" indent="1"/>
    </xf>
    <xf numFmtId="0" fontId="8" fillId="8" borderId="14">
      <alignment horizontal="left" vertical="center" wrapText="1" indent="2"/>
    </xf>
    <xf numFmtId="0" fontId="8" fillId="8" borderId="14">
      <alignment horizontal="left" vertical="center" wrapText="1" indent="3"/>
    </xf>
    <xf numFmtId="0" fontId="18" fillId="0" borderId="14" applyFill="0">
      <alignment horizontal="center" vertical="center" wrapText="1"/>
    </xf>
    <xf numFmtId="0" fontId="18" fillId="0" borderId="0" applyFill="0" applyBorder="0">
      <alignment horizontal="center" vertical="center"/>
    </xf>
    <xf numFmtId="0" fontId="25" fillId="0" borderId="20" applyFill="0">
      <alignment horizontal="center" vertical="center" wrapText="1"/>
    </xf>
    <xf numFmtId="0" fontId="8" fillId="8" borderId="14">
      <alignment horizontal="left" vertical="center" wrapText="1" indent="4"/>
    </xf>
    <xf numFmtId="0" fontId="8" fillId="9" borderId="16">
      <alignment horizontal="left" vertical="center" wrapText="1"/>
    </xf>
    <xf numFmtId="0" fontId="8" fillId="9" borderId="11">
      <alignment horizontal="left" vertical="center" wrapText="1"/>
    </xf>
    <xf numFmtId="0" fontId="18" fillId="0" borderId="12" applyFill="0">
      <alignment horizontal="center" vertical="center" wrapText="1"/>
    </xf>
    <xf numFmtId="0" fontId="25" fillId="0" borderId="20" applyFill="0">
      <alignment vertical="center" wrapText="1"/>
    </xf>
    <xf numFmtId="0" fontId="8" fillId="8" borderId="14">
      <alignment horizontal="left" vertical="center" wrapText="1" indent="5"/>
    </xf>
    <xf numFmtId="0" fontId="8" fillId="9" borderId="14">
      <alignment horizontal="left" vertical="center" wrapText="1" indent="6"/>
    </xf>
    <xf numFmtId="4" fontId="8" fillId="4" borderId="14">
      <alignment horizontal="right" vertical="center" wrapText="1"/>
      <protection locked="0"/>
    </xf>
    <xf numFmtId="4" fontId="8" fillId="0" borderId="14" applyFill="0">
      <alignment horizontal="right" vertical="center" wrapText="1"/>
    </xf>
    <xf numFmtId="170" fontId="8" fillId="4" borderId="14">
      <alignment horizontal="right" vertical="center" wrapText="1"/>
      <protection locked="0"/>
    </xf>
    <xf numFmtId="168" fontId="79" fillId="7" borderId="14">
      <alignment horizontal="center" vertical="center" wrapText="1"/>
      <protection locked="0"/>
    </xf>
    <xf numFmtId="0" fontId="30" fillId="0" borderId="23" applyFill="0">
      <alignment horizontal="left" vertical="top" wrapText="1"/>
    </xf>
    <xf numFmtId="4" fontId="25" fillId="0" borderId="14" applyFill="0">
      <alignment horizontal="center" vertical="center" wrapText="1"/>
    </xf>
    <xf numFmtId="49" fontId="79" fillId="7" borderId="14">
      <alignment horizontal="center" vertical="center" wrapText="1"/>
      <protection locked="0"/>
    </xf>
    <xf numFmtId="0" fontId="30" fillId="0" borderId="33" applyFill="0">
      <alignment horizontal="left" vertical="top" wrapText="1"/>
    </xf>
    <xf numFmtId="49" fontId="38" fillId="10" borderId="12">
      <alignment horizontal="left" vertical="center"/>
    </xf>
    <xf numFmtId="49" fontId="29" fillId="10" borderId="16">
      <alignment horizontal="left" vertical="center" indent="6"/>
    </xf>
    <xf numFmtId="49" fontId="8" fillId="10" borderId="11">
      <alignment horizontal="center" vertical="center" wrapText="1"/>
    </xf>
    <xf numFmtId="0" fontId="30" fillId="0" borderId="21" applyFill="0">
      <alignment horizontal="left" vertical="top" wrapText="1"/>
    </xf>
    <xf numFmtId="49" fontId="29" fillId="10" borderId="16">
      <alignment horizontal="left" vertical="center" indent="5"/>
    </xf>
    <xf numFmtId="49" fontId="79" fillId="10" borderId="16">
      <alignment horizontal="center" vertical="center" wrapText="1"/>
    </xf>
    <xf numFmtId="49" fontId="79" fillId="10" borderId="11">
      <alignment horizontal="center" vertical="center" wrapText="1"/>
    </xf>
    <xf numFmtId="49" fontId="29" fillId="10" borderId="16">
      <alignment horizontal="left" vertical="center" indent="4"/>
    </xf>
    <xf numFmtId="49" fontId="47" fillId="0" borderId="17" applyFill="0">
      <alignment horizontal="left" vertical="center"/>
    </xf>
    <xf numFmtId="49" fontId="25" fillId="0" borderId="17" applyFill="0">
      <alignment horizontal="left" vertical="center" indent="3"/>
    </xf>
    <xf numFmtId="49" fontId="25" fillId="0" borderId="17" applyFill="0">
      <alignment horizontal="center" vertical="center" wrapText="1"/>
    </xf>
    <xf numFmtId="49" fontId="25" fillId="0" borderId="0" applyFill="0" applyBorder="0">
      <alignment horizontal="left" vertical="center" indent="2"/>
    </xf>
    <xf numFmtId="49" fontId="25" fillId="0" borderId="0" applyFill="0" applyBorder="0">
      <alignment horizontal="left" vertical="center" indent="1"/>
    </xf>
    <xf numFmtId="4" fontId="18" fillId="0" borderId="14" applyFill="0">
      <alignment horizontal="right" vertical="center" wrapText="1"/>
    </xf>
    <xf numFmtId="170" fontId="18" fillId="0" borderId="14" applyFill="0">
      <alignment horizontal="right" vertical="center" wrapText="1"/>
    </xf>
    <xf numFmtId="168" fontId="18" fillId="0" borderId="14" applyFill="0">
      <alignment horizontal="center" vertical="center" wrapText="1"/>
    </xf>
    <xf numFmtId="49" fontId="18" fillId="0" borderId="14" applyFill="0">
      <alignment horizontal="center" vertical="center" wrapText="1"/>
    </xf>
    <xf numFmtId="49" fontId="18" fillId="0" borderId="14" applyFill="0">
      <alignment vertical="center" wrapText="1"/>
    </xf>
    <xf numFmtId="0" fontId="48" fillId="8" borderId="0" applyBorder="0">
      <alignment vertical="center" wrapText="1"/>
    </xf>
    <xf numFmtId="0" fontId="8" fillId="8" borderId="0" applyBorder="0">
      <alignment horizontal="left" vertical="center" wrapText="1"/>
    </xf>
    <xf numFmtId="0" fontId="12" fillId="8" borderId="0" applyBorder="0">
      <alignment horizontal="center" vertical="center" wrapText="1"/>
    </xf>
    <xf numFmtId="0" fontId="79" fillId="8" borderId="14">
      <alignment horizontal="right" vertical="center" wrapText="1" indent="1"/>
    </xf>
    <xf numFmtId="0" fontId="79" fillId="0" borderId="16" applyFill="0">
      <alignment vertical="center"/>
    </xf>
    <xf numFmtId="0" fontId="8" fillId="6" borderId="14">
      <alignment horizontal="left" vertical="center" wrapText="1" indent="1"/>
    </xf>
    <xf numFmtId="168" fontId="8" fillId="6" borderId="14">
      <alignment horizontal="left" vertical="center" wrapText="1" indent="1"/>
    </xf>
    <xf numFmtId="0" fontId="8" fillId="8" borderId="36">
      <alignment vertical="center" wrapText="1"/>
    </xf>
    <xf numFmtId="0" fontId="31" fillId="0" borderId="36" applyFill="0">
      <alignment horizontal="center" vertical="center" wrapText="1"/>
    </xf>
    <xf numFmtId="0" fontId="8" fillId="0" borderId="23" applyFill="0">
      <alignment vertical="center" wrapText="1"/>
    </xf>
    <xf numFmtId="0" fontId="79" fillId="8" borderId="12">
      <alignment horizontal="center" vertical="center" wrapText="1"/>
    </xf>
    <xf numFmtId="0" fontId="79" fillId="8" borderId="16">
      <alignment horizontal="center" vertical="center" wrapText="1"/>
    </xf>
    <xf numFmtId="0" fontId="79" fillId="8" borderId="11">
      <alignment horizontal="center" vertical="center" wrapText="1"/>
    </xf>
    <xf numFmtId="0" fontId="8" fillId="8" borderId="23">
      <alignment horizontal="center" vertical="center" wrapText="1"/>
    </xf>
    <xf numFmtId="49" fontId="29" fillId="10" borderId="23">
      <alignment horizontal="center" vertical="center" textRotation="90" wrapText="1"/>
    </xf>
    <xf numFmtId="0" fontId="8" fillId="0" borderId="33" applyFill="0">
      <alignment vertical="center" wrapText="1"/>
    </xf>
    <xf numFmtId="0" fontId="18" fillId="0" borderId="23" applyFill="0">
      <alignment horizontal="center" vertical="center" wrapText="1"/>
    </xf>
    <xf numFmtId="0" fontId="8" fillId="8" borderId="33">
      <alignment horizontal="center" vertical="center" wrapText="1"/>
    </xf>
    <xf numFmtId="49" fontId="29" fillId="10" borderId="33">
      <alignment horizontal="center" vertical="center" textRotation="90" wrapText="1"/>
    </xf>
    <xf numFmtId="0" fontId="8" fillId="0" borderId="21" applyFill="0">
      <alignment vertical="center" wrapText="1"/>
    </xf>
    <xf numFmtId="0" fontId="18" fillId="0" borderId="21" applyFill="0">
      <alignment horizontal="center" vertical="center" wrapText="1"/>
    </xf>
    <xf numFmtId="0" fontId="8" fillId="8" borderId="21">
      <alignment horizontal="center" vertical="center" wrapText="1"/>
    </xf>
    <xf numFmtId="49" fontId="29" fillId="10" borderId="21">
      <alignment horizontal="center" vertical="center" textRotation="90" wrapText="1"/>
    </xf>
    <xf numFmtId="0" fontId="49" fillId="8" borderId="0" applyBorder="0">
      <alignment vertical="center" wrapText="1"/>
    </xf>
    <xf numFmtId="0" fontId="50" fillId="8" borderId="0" applyBorder="0">
      <alignment vertical="center" wrapText="1"/>
    </xf>
    <xf numFmtId="49" fontId="46" fillId="8" borderId="17">
      <alignment horizontal="left" vertical="center" wrapText="1"/>
    </xf>
    <xf numFmtId="49" fontId="46" fillId="8" borderId="17">
      <alignment horizontal="center" vertical="center" wrapText="1"/>
    </xf>
    <xf numFmtId="0" fontId="25" fillId="8" borderId="17">
      <alignment horizontal="center" vertical="center" wrapText="1"/>
    </xf>
    <xf numFmtId="0" fontId="46" fillId="8" borderId="17">
      <alignment horizontal="center" vertical="center" wrapText="1"/>
    </xf>
    <xf numFmtId="0" fontId="18" fillId="0" borderId="0" applyFill="0" applyBorder="0">
      <alignment horizontal="left" vertical="center" indent="1"/>
    </xf>
    <xf numFmtId="168" fontId="79" fillId="7" borderId="23">
      <alignment horizontal="center" vertical="center" wrapText="1"/>
      <protection locked="0"/>
    </xf>
    <xf numFmtId="4" fontId="8" fillId="0" borderId="23" applyFill="0">
      <alignment horizontal="right" vertical="center" wrapText="1"/>
    </xf>
    <xf numFmtId="49" fontId="79" fillId="7" borderId="21">
      <alignment horizontal="center" vertical="center" wrapText="1"/>
      <protection locked="0"/>
    </xf>
    <xf numFmtId="4" fontId="8" fillId="0" borderId="21" applyFill="0">
      <alignment horizontal="right" vertical="center" wrapText="1"/>
    </xf>
    <xf numFmtId="49" fontId="8" fillId="0" borderId="0" applyFill="0" applyBorder="0">
      <alignment vertical="center" wrapText="1"/>
    </xf>
    <xf numFmtId="0" fontId="48" fillId="0" borderId="0" applyFill="0" applyBorder="0">
      <alignment vertical="center" wrapText="1"/>
    </xf>
    <xf numFmtId="0" fontId="8" fillId="0" borderId="14" applyFill="0">
      <alignment horizontal="center" vertical="center"/>
    </xf>
    <xf numFmtId="0" fontId="8" fillId="0" borderId="12" applyFill="0">
      <alignment horizontal="center" vertical="center"/>
    </xf>
    <xf numFmtId="0" fontId="8" fillId="0" borderId="0" applyFill="0" applyBorder="0">
      <alignment horizontal="center" vertical="center"/>
    </xf>
    <xf numFmtId="49" fontId="8" fillId="0" borderId="14" applyFill="0">
      <alignment vertical="center" wrapText="1"/>
    </xf>
    <xf numFmtId="0" fontId="36" fillId="0" borderId="0" applyFill="0" applyBorder="0">
      <alignment horizontal="left" vertical="center" indent="1"/>
    </xf>
    <xf numFmtId="170" fontId="8" fillId="0" borderId="14" applyFill="0">
      <alignment horizontal="right" vertical="center" wrapText="1"/>
    </xf>
    <xf numFmtId="0" fontId="79" fillId="8" borderId="17">
      <alignment horizontal="center" vertical="center" wrapText="1"/>
    </xf>
    <xf numFmtId="0" fontId="25" fillId="0" borderId="23" applyFill="0">
      <alignment horizontal="center" vertical="center" wrapText="1"/>
    </xf>
    <xf numFmtId="0" fontId="25" fillId="0" borderId="14" applyFill="0">
      <alignment horizontal="left" vertical="center" wrapText="1" indent="4"/>
    </xf>
    <xf numFmtId="0" fontId="25" fillId="0" borderId="14" applyFill="0">
      <alignment horizontal="left" vertical="center" wrapText="1" indent="6"/>
    </xf>
    <xf numFmtId="0" fontId="25" fillId="0" borderId="12" applyFill="0">
      <alignment horizontal="left" vertical="center" wrapText="1"/>
    </xf>
    <xf numFmtId="0" fontId="25" fillId="0" borderId="16" applyFill="0">
      <alignment horizontal="left" vertical="center" wrapText="1"/>
    </xf>
    <xf numFmtId="0" fontId="25" fillId="0" borderId="11" applyFill="0">
      <alignment horizontal="left" vertical="center" wrapText="1"/>
    </xf>
    <xf numFmtId="0" fontId="25" fillId="0" borderId="14" applyFill="0">
      <alignment vertical="top" wrapText="1"/>
    </xf>
    <xf numFmtId="49" fontId="47" fillId="0" borderId="12" applyFill="0">
      <alignment horizontal="left" vertical="center"/>
    </xf>
    <xf numFmtId="49" fontId="25" fillId="0" borderId="16" applyFill="0">
      <alignment horizontal="left" vertical="center" indent="4"/>
    </xf>
    <xf numFmtId="49" fontId="25" fillId="0" borderId="16" applyFill="0">
      <alignment horizontal="center" vertical="center" wrapText="1"/>
    </xf>
    <xf numFmtId="49" fontId="25" fillId="0" borderId="11" applyFill="0">
      <alignment horizontal="center" vertical="center" wrapText="1"/>
    </xf>
    <xf numFmtId="0" fontId="25" fillId="0" borderId="0" applyFill="0" applyBorder="0">
      <alignment horizontal="center" vertical="center"/>
    </xf>
    <xf numFmtId="0" fontId="8" fillId="8" borderId="23">
      <alignment horizontal="left" vertical="center" wrapText="1"/>
    </xf>
    <xf numFmtId="0" fontId="8" fillId="8" borderId="23">
      <alignment horizontal="left" vertical="center" wrapText="1" indent="2"/>
    </xf>
    <xf numFmtId="0" fontId="8" fillId="0" borderId="23" applyFill="0">
      <alignment horizontal="left" vertical="center" wrapText="1" indent="6"/>
    </xf>
    <xf numFmtId="0" fontId="8" fillId="6" borderId="24">
      <alignment horizontal="left" vertical="center" wrapText="1"/>
    </xf>
    <xf numFmtId="0" fontId="8" fillId="6" borderId="17">
      <alignment horizontal="left" vertical="center" wrapText="1"/>
    </xf>
    <xf numFmtId="0" fontId="8" fillId="6" borderId="18">
      <alignment horizontal="left" vertical="center" wrapText="1"/>
    </xf>
    <xf numFmtId="0" fontId="8" fillId="6" borderId="14">
      <alignment horizontal="left" vertical="center" wrapText="1"/>
    </xf>
    <xf numFmtId="0" fontId="30" fillId="0" borderId="11" applyFill="0">
      <alignment vertical="top" wrapText="1"/>
    </xf>
    <xf numFmtId="0" fontId="25" fillId="0" borderId="11" applyFill="0">
      <alignment vertical="top" wrapText="1"/>
    </xf>
    <xf numFmtId="0" fontId="8" fillId="9" borderId="14">
      <alignment horizontal="left" vertical="center" wrapText="1"/>
    </xf>
    <xf numFmtId="0" fontId="8" fillId="8" borderId="21">
      <alignment horizontal="left" vertical="center" wrapText="1"/>
    </xf>
    <xf numFmtId="0" fontId="8" fillId="9" borderId="21">
      <alignment horizontal="left" vertical="center" wrapText="1" indent="6"/>
    </xf>
    <xf numFmtId="0" fontId="8" fillId="0" borderId="21" applyFill="0">
      <alignment horizontal="left" vertical="center" wrapText="1" indent="6"/>
    </xf>
    <xf numFmtId="4" fontId="8" fillId="4" borderId="21">
      <alignment horizontal="right" vertical="center" wrapText="1"/>
      <protection locked="0"/>
    </xf>
    <xf numFmtId="170" fontId="8" fillId="4" borderId="21">
      <alignment horizontal="right" vertical="center" wrapText="1"/>
      <protection locked="0"/>
    </xf>
    <xf numFmtId="168" fontId="79" fillId="7" borderId="21">
      <alignment horizontal="center" vertical="center" wrapText="1"/>
      <protection locked="0"/>
    </xf>
    <xf numFmtId="0" fontId="8" fillId="9" borderId="18">
      <alignment horizontal="left" vertical="center" wrapText="1"/>
    </xf>
    <xf numFmtId="170" fontId="8" fillId="4" borderId="12">
      <alignment horizontal="right" vertical="center" wrapText="1"/>
      <protection locked="0"/>
    </xf>
    <xf numFmtId="4" fontId="8" fillId="4" borderId="11">
      <alignment horizontal="right" vertical="center" wrapText="1"/>
      <protection locked="0"/>
    </xf>
    <xf numFmtId="0" fontId="30" fillId="0" borderId="23" applyFill="0">
      <alignment vertical="top" wrapText="1"/>
    </xf>
    <xf numFmtId="0" fontId="8" fillId="4" borderId="14">
      <alignment horizontal="left" vertical="center" wrapText="1" indent="7"/>
      <protection locked="0"/>
    </xf>
    <xf numFmtId="4" fontId="25" fillId="0" borderId="12" applyFill="0">
      <alignment horizontal="center" vertical="center" wrapText="1"/>
    </xf>
    <xf numFmtId="4" fontId="8" fillId="0" borderId="11" applyFill="0">
      <alignment horizontal="right" vertical="center" wrapText="1"/>
    </xf>
    <xf numFmtId="0" fontId="8" fillId="10" borderId="16">
      <alignment horizontal="left" vertical="center" wrapText="1" indent="6"/>
    </xf>
    <xf numFmtId="4" fontId="8" fillId="10" borderId="16">
      <alignment horizontal="right" vertical="center" wrapText="1"/>
    </xf>
    <xf numFmtId="4" fontId="25" fillId="10" borderId="16">
      <alignment horizontal="center" vertical="center" wrapText="1"/>
    </xf>
    <xf numFmtId="4" fontId="8" fillId="10" borderId="11">
      <alignment horizontal="right" vertical="center" wrapText="1"/>
    </xf>
    <xf numFmtId="49" fontId="8" fillId="10" borderId="36">
      <alignment horizontal="center" vertical="center" wrapText="1"/>
    </xf>
    <xf numFmtId="0" fontId="8" fillId="0" borderId="17" applyFill="0">
      <alignment horizontal="center" vertical="center" wrapText="1"/>
    </xf>
    <xf numFmtId="0" fontId="8" fillId="0" borderId="36" applyFill="0">
      <alignment horizontal="center" vertical="center" wrapText="1"/>
    </xf>
    <xf numFmtId="0" fontId="79" fillId="0" borderId="33" applyFill="0">
      <alignment horizontal="center" vertical="center" wrapText="1"/>
    </xf>
    <xf numFmtId="0" fontId="36" fillId="0" borderId="0" applyFill="0" applyBorder="0">
      <alignment horizontal="center" vertical="center"/>
    </xf>
    <xf numFmtId="0" fontId="26" fillId="8" borderId="0" applyBorder="0">
      <alignment horizontal="center" vertical="center" wrapText="1"/>
    </xf>
    <xf numFmtId="0" fontId="25" fillId="0" borderId="14" applyFill="0">
      <alignment horizontal="left" vertical="center" wrapText="1" indent="5"/>
    </xf>
    <xf numFmtId="0" fontId="25" fillId="0" borderId="20" applyFill="0">
      <alignment horizontal="center" vertical="top" wrapText="1"/>
    </xf>
    <xf numFmtId="49" fontId="8" fillId="7" borderId="23">
      <alignment horizontal="left" vertical="center" wrapText="1" indent="6"/>
      <protection locked="0"/>
    </xf>
    <xf numFmtId="0" fontId="31" fillId="0" borderId="14" applyFill="0">
      <alignment horizontal="center" vertical="center" wrapText="1"/>
    </xf>
    <xf numFmtId="0" fontId="8" fillId="0" borderId="14" applyFill="0">
      <alignment horizontal="left" vertical="center" wrapText="1" indent="4"/>
    </xf>
    <xf numFmtId="0" fontId="8" fillId="8" borderId="33">
      <alignment horizontal="left" vertical="center" wrapText="1"/>
    </xf>
    <xf numFmtId="49" fontId="8" fillId="7" borderId="33">
      <alignment horizontal="left" vertical="center" wrapText="1" indent="6"/>
      <protection locked="0"/>
    </xf>
    <xf numFmtId="170" fontId="8" fillId="10" borderId="11">
      <alignment horizontal="right" vertical="center" wrapText="1"/>
    </xf>
    <xf numFmtId="49" fontId="29" fillId="10" borderId="12">
      <alignment horizontal="left" vertical="center"/>
    </xf>
    <xf numFmtId="170" fontId="8" fillId="10" borderId="16">
      <alignment horizontal="right" vertical="center" wrapText="1"/>
    </xf>
    <xf numFmtId="4" fontId="8" fillId="0" borderId="33" applyFill="0">
      <alignment horizontal="right" vertical="center" wrapText="1"/>
    </xf>
    <xf numFmtId="49" fontId="29" fillId="10" borderId="12">
      <alignment horizontal="left" vertical="center" indent="1"/>
    </xf>
    <xf numFmtId="49" fontId="8" fillId="7" borderId="21">
      <alignment horizontal="left" vertical="center" wrapText="1" indent="6"/>
      <protection locked="0"/>
    </xf>
    <xf numFmtId="4" fontId="25" fillId="10" borderId="11">
      <alignment horizontal="center" vertical="center" wrapText="1"/>
    </xf>
    <xf numFmtId="49" fontId="29" fillId="10" borderId="12">
      <alignment vertical="center" wrapText="1"/>
    </xf>
    <xf numFmtId="49" fontId="29" fillId="10" borderId="16">
      <alignment vertical="center" wrapText="1"/>
    </xf>
    <xf numFmtId="49" fontId="25" fillId="0" borderId="20" applyFill="0">
      <alignment vertical="top"/>
    </xf>
    <xf numFmtId="49" fontId="25" fillId="0" borderId="0" applyFill="0" applyBorder="0">
      <alignment horizontal="center" vertical="center" wrapText="1"/>
    </xf>
    <xf numFmtId="0" fontId="25" fillId="0" borderId="20" applyFill="0">
      <alignment horizontal="left" vertical="center" wrapText="1" indent="1"/>
    </xf>
    <xf numFmtId="4" fontId="25" fillId="0" borderId="14" applyFill="0">
      <alignment horizontal="right" vertical="center" wrapText="1"/>
    </xf>
    <xf numFmtId="170" fontId="25" fillId="0" borderId="14" applyFill="0">
      <alignment horizontal="right" vertical="center" wrapText="1"/>
    </xf>
    <xf numFmtId="168" fontId="25" fillId="0" borderId="14" applyFill="0">
      <alignment horizontal="center" vertical="center" wrapText="1"/>
    </xf>
    <xf numFmtId="49" fontId="25" fillId="0" borderId="14" applyFill="0">
      <alignment horizontal="center" vertical="center" wrapText="1"/>
    </xf>
    <xf numFmtId="0" fontId="18" fillId="0" borderId="0" applyFill="0" applyBorder="0">
      <alignment horizontal="left" vertical="center"/>
    </xf>
    <xf numFmtId="0" fontId="51" fillId="8" borderId="0" applyBorder="0">
      <alignment vertical="center" wrapText="1"/>
    </xf>
    <xf numFmtId="0" fontId="8" fillId="8" borderId="24">
      <alignment horizontal="center" vertical="center" wrapText="1"/>
    </xf>
    <xf numFmtId="0" fontId="79" fillId="8" borderId="24">
      <alignment horizontal="center" vertical="center" wrapText="1"/>
    </xf>
    <xf numFmtId="0" fontId="79" fillId="8" borderId="18">
      <alignment horizontal="center" vertical="center" wrapText="1"/>
    </xf>
    <xf numFmtId="0" fontId="8" fillId="8" borderId="19">
      <alignment horizontal="center" vertical="center" wrapText="1"/>
    </xf>
    <xf numFmtId="0" fontId="79" fillId="8" borderId="19">
      <alignment horizontal="center" vertical="center" wrapText="1"/>
    </xf>
    <xf numFmtId="0" fontId="79" fillId="8" borderId="0" applyBorder="0">
      <alignment horizontal="center" vertical="center" wrapText="1"/>
    </xf>
    <xf numFmtId="0" fontId="79" fillId="8" borderId="20">
      <alignment horizontal="center" vertical="center" wrapText="1"/>
    </xf>
    <xf numFmtId="0" fontId="8" fillId="6" borderId="14">
      <alignment horizontal="center" vertical="center" wrapText="1"/>
    </xf>
    <xf numFmtId="0" fontId="8" fillId="7" borderId="14">
      <alignment horizontal="center" vertical="center" wrapText="1"/>
      <protection locked="0"/>
    </xf>
    <xf numFmtId="0" fontId="8" fillId="8" borderId="26">
      <alignment horizontal="center" vertical="center" wrapText="1"/>
    </xf>
    <xf numFmtId="0" fontId="79" fillId="8" borderId="26">
      <alignment horizontal="center" vertical="center" wrapText="1"/>
    </xf>
    <xf numFmtId="0" fontId="79" fillId="8" borderId="36">
      <alignment horizontal="center" vertical="center" wrapText="1"/>
    </xf>
    <xf numFmtId="0" fontId="79" fillId="8" borderId="25">
      <alignment horizontal="center" vertical="center" wrapText="1"/>
    </xf>
    <xf numFmtId="0" fontId="8" fillId="0" borderId="14" applyFill="0">
      <alignment horizontal="left" vertical="center" wrapText="1" indent="1"/>
    </xf>
    <xf numFmtId="49" fontId="8" fillId="10" borderId="12">
      <alignment horizontal="center" vertical="center" wrapText="1"/>
    </xf>
    <xf numFmtId="49" fontId="36" fillId="0" borderId="20" applyFill="0">
      <alignment vertical="top"/>
    </xf>
    <xf numFmtId="0" fontId="51" fillId="0" borderId="0" applyFill="0" applyBorder="0">
      <alignment vertical="center" wrapText="1"/>
    </xf>
    <xf numFmtId="0" fontId="8" fillId="4" borderId="12">
      <alignment horizontal="left" vertical="center" wrapText="1"/>
      <protection locked="0"/>
    </xf>
    <xf numFmtId="0" fontId="8" fillId="4" borderId="16">
      <alignment horizontal="left" vertical="center" wrapText="1"/>
      <protection locked="0"/>
    </xf>
    <xf numFmtId="0" fontId="8" fillId="4" borderId="11">
      <alignment horizontal="left" vertical="center" wrapText="1"/>
      <protection locked="0"/>
    </xf>
    <xf numFmtId="49" fontId="8" fillId="4" borderId="12">
      <alignment horizontal="left" vertical="center" wrapText="1"/>
      <protection locked="0"/>
    </xf>
    <xf numFmtId="49" fontId="8" fillId="4" borderId="16">
      <alignment horizontal="left" vertical="center" wrapText="1"/>
      <protection locked="0"/>
    </xf>
    <xf numFmtId="49" fontId="8" fillId="4" borderId="11">
      <alignment horizontal="left" vertical="center" wrapText="1"/>
      <protection locked="0"/>
    </xf>
    <xf numFmtId="49" fontId="8" fillId="4" borderId="14">
      <alignment horizontal="left" vertical="center" wrapText="1" indent="6"/>
      <protection locked="0"/>
    </xf>
    <xf numFmtId="4" fontId="8" fillId="0" borderId="24" applyFill="0">
      <alignment horizontal="right" vertical="center" wrapText="1"/>
    </xf>
    <xf numFmtId="0" fontId="30" fillId="0" borderId="14" applyFill="0">
      <alignment horizontal="left" vertical="top" wrapText="1"/>
    </xf>
    <xf numFmtId="4" fontId="8" fillId="0" borderId="26" applyFill="0">
      <alignment horizontal="right" vertical="center" wrapText="1"/>
    </xf>
    <xf numFmtId="49" fontId="79" fillId="10" borderId="25">
      <alignment horizontal="center" vertical="center" wrapText="1"/>
    </xf>
    <xf numFmtId="49" fontId="29" fillId="10" borderId="16">
      <alignment horizontal="left" vertical="center" indent="3"/>
    </xf>
    <xf numFmtId="49" fontId="8" fillId="4" borderId="23">
      <alignment horizontal="left" vertical="center" wrapText="1" indent="6"/>
      <protection locked="0"/>
    </xf>
    <xf numFmtId="4" fontId="8" fillId="7" borderId="14">
      <alignment horizontal="left" vertical="center" wrapText="1" indent="1"/>
      <protection locked="0"/>
    </xf>
    <xf numFmtId="0" fontId="8" fillId="0" borderId="0" applyFill="0" applyBorder="0">
      <alignment horizontal="left" vertical="center"/>
    </xf>
    <xf numFmtId="0" fontId="8" fillId="7" borderId="11">
      <alignment horizontal="center" vertical="center" wrapText="1"/>
      <protection locked="0"/>
    </xf>
    <xf numFmtId="0" fontId="8" fillId="8" borderId="25">
      <alignment horizontal="center" vertical="center" wrapText="1"/>
    </xf>
    <xf numFmtId="0" fontId="52" fillId="8" borderId="0" applyBorder="0">
      <alignment horizontal="center" vertical="center" wrapText="1"/>
    </xf>
    <xf numFmtId="0" fontId="25" fillId="8" borderId="14">
      <alignment horizontal="left" vertical="center" wrapText="1" indent="3"/>
    </xf>
    <xf numFmtId="4" fontId="8" fillId="7" borderId="14">
      <alignment horizontal="center" vertical="center" wrapText="1"/>
      <protection locked="0"/>
    </xf>
    <xf numFmtId="49" fontId="8" fillId="9" borderId="18">
      <alignment horizontal="center" vertical="center" wrapText="1"/>
    </xf>
    <xf numFmtId="49" fontId="8" fillId="4" borderId="33">
      <alignment horizontal="left" vertical="center" wrapText="1" indent="6"/>
      <protection locked="0"/>
    </xf>
    <xf numFmtId="49" fontId="8" fillId="9" borderId="25">
      <alignment horizontal="center" vertical="center" wrapText="1"/>
    </xf>
    <xf numFmtId="49" fontId="29" fillId="10" borderId="36">
      <alignment horizontal="left" vertical="center"/>
    </xf>
    <xf numFmtId="49" fontId="8" fillId="4" borderId="21">
      <alignment horizontal="left" vertical="center" wrapText="1" indent="6"/>
      <protection locked="0"/>
    </xf>
    <xf numFmtId="0" fontId="25" fillId="0" borderId="17" applyFill="0">
      <alignment horizontal="left" vertical="center" wrapText="1"/>
    </xf>
    <xf numFmtId="0" fontId="8" fillId="0" borderId="37" applyFill="0">
      <alignment horizontal="center" vertical="center" wrapText="1"/>
    </xf>
    <xf numFmtId="0" fontId="8" fillId="7" borderId="14">
      <alignment horizontal="left" vertical="center" wrapText="1" indent="2"/>
      <protection locked="0"/>
    </xf>
    <xf numFmtId="0" fontId="25" fillId="0" borderId="37" applyFill="0">
      <alignment horizontal="center" vertical="center" wrapText="1"/>
    </xf>
    <xf numFmtId="0" fontId="25" fillId="0" borderId="14" applyFill="0">
      <alignment horizontal="left" vertical="center" wrapText="1" indent="2"/>
    </xf>
    <xf numFmtId="0" fontId="8" fillId="0" borderId="14" applyFill="0">
      <alignment horizontal="left" vertical="center" wrapText="1" indent="3"/>
    </xf>
    <xf numFmtId="49" fontId="8" fillId="7" borderId="14">
      <alignment horizontal="center" vertical="center" wrapText="1"/>
      <protection locked="0"/>
    </xf>
    <xf numFmtId="0" fontId="8" fillId="4" borderId="14">
      <alignment horizontal="left" vertical="center" wrapText="1"/>
      <protection locked="0"/>
    </xf>
    <xf numFmtId="0" fontId="8" fillId="0" borderId="11" applyFill="0">
      <alignment vertical="top" wrapText="1"/>
    </xf>
    <xf numFmtId="171" fontId="8" fillId="4" borderId="14">
      <alignment horizontal="right" vertical="center" wrapText="1"/>
      <protection locked="0"/>
    </xf>
    <xf numFmtId="0" fontId="8" fillId="0" borderId="18" applyFill="0">
      <alignment vertical="center" wrapText="1"/>
    </xf>
    <xf numFmtId="0" fontId="47" fillId="8" borderId="0" applyBorder="0">
      <alignment horizontal="right" vertical="center"/>
    </xf>
    <xf numFmtId="0" fontId="8" fillId="0" borderId="12" applyFill="0">
      <alignment vertical="center" wrapText="1"/>
    </xf>
    <xf numFmtId="0" fontId="8" fillId="0" borderId="16" applyFill="0">
      <alignment horizontal="right" vertical="center" wrapText="1" indent="1"/>
    </xf>
    <xf numFmtId="0" fontId="8" fillId="0" borderId="11" applyFill="0">
      <alignment horizontal="right" vertical="center" wrapText="1" indent="1"/>
    </xf>
    <xf numFmtId="0" fontId="8" fillId="6" borderId="12">
      <alignment horizontal="left" vertical="top" wrapText="1"/>
    </xf>
    <xf numFmtId="0" fontId="8" fillId="0" borderId="12" applyFill="0">
      <alignment horizontal="right" vertical="center" wrapText="1"/>
    </xf>
    <xf numFmtId="0" fontId="8" fillId="0" borderId="16" applyFill="0">
      <alignment horizontal="right" vertical="center" wrapText="1"/>
    </xf>
    <xf numFmtId="4" fontId="8" fillId="7" borderId="14">
      <alignment horizontal="right" vertical="center" wrapText="1"/>
      <protection locked="0"/>
    </xf>
    <xf numFmtId="4" fontId="8" fillId="6" borderId="14">
      <alignment horizontal="right" vertical="center" wrapText="1"/>
    </xf>
    <xf numFmtId="49" fontId="14" fillId="3" borderId="0" applyBorder="0">
      <alignment horizontal="center" vertical="center" textRotation="90" wrapText="1"/>
    </xf>
    <xf numFmtId="0" fontId="36" fillId="0" borderId="0" applyFill="0" applyBorder="0">
      <alignment horizontal="center" vertical="center" wrapText="1"/>
    </xf>
    <xf numFmtId="49" fontId="36" fillId="0" borderId="37" applyFill="0">
      <alignment horizontal="center" vertical="center" wrapText="1"/>
    </xf>
    <xf numFmtId="0" fontId="36" fillId="0" borderId="14" applyFill="0">
      <alignment horizontal="left" vertical="center" wrapText="1" indent="2"/>
    </xf>
    <xf numFmtId="0" fontId="36" fillId="0" borderId="14" applyFill="0">
      <alignment horizontal="center" vertical="center" wrapText="1"/>
    </xf>
    <xf numFmtId="0" fontId="36" fillId="0" borderId="14" applyFill="0">
      <alignment vertical="center" wrapText="1"/>
    </xf>
    <xf numFmtId="0" fontId="36" fillId="0" borderId="37" applyFill="0">
      <alignment horizontal="center" vertical="center" wrapText="1"/>
    </xf>
    <xf numFmtId="0" fontId="36" fillId="0" borderId="14" applyFill="0">
      <alignment horizontal="left" vertical="center" wrapText="1" indent="3"/>
    </xf>
    <xf numFmtId="4" fontId="36" fillId="0" borderId="14" applyFill="0">
      <alignment horizontal="right" vertical="center" wrapText="1"/>
    </xf>
    <xf numFmtId="49" fontId="8" fillId="10" borderId="12">
      <alignment vertical="center" wrapText="1"/>
    </xf>
    <xf numFmtId="0" fontId="8" fillId="10" borderId="16">
      <alignment vertical="center" wrapText="1"/>
    </xf>
    <xf numFmtId="0" fontId="18" fillId="10" borderId="11">
      <alignment vertical="center" wrapText="1"/>
    </xf>
    <xf numFmtId="0" fontId="8" fillId="0" borderId="14" applyFill="0">
      <alignment horizontal="left" vertical="center" wrapText="1" indent="2"/>
    </xf>
    <xf numFmtId="49" fontId="14" fillId="3" borderId="0" applyBorder="0">
      <alignment horizontal="center" vertical="center" wrapText="1"/>
    </xf>
    <xf numFmtId="171" fontId="8" fillId="7" borderId="14">
      <alignment horizontal="right" vertical="center" wrapText="1"/>
      <protection locked="0"/>
    </xf>
    <xf numFmtId="0" fontId="18" fillId="0" borderId="0" applyFill="0" applyBorder="0">
      <alignment horizontal="left" vertical="center" wrapText="1"/>
    </xf>
    <xf numFmtId="4" fontId="8" fillId="6" borderId="23">
      <alignment horizontal="right" vertical="center" wrapText="1"/>
    </xf>
    <xf numFmtId="0" fontId="25" fillId="0" borderId="14" applyFill="0">
      <alignment horizontal="left" vertical="center" wrapText="1" indent="3"/>
    </xf>
    <xf numFmtId="49" fontId="25" fillId="0" borderId="14" applyFill="0">
      <alignment vertical="center" wrapText="1"/>
    </xf>
    <xf numFmtId="0" fontId="25" fillId="0" borderId="23" applyFill="0">
      <alignment vertical="top" wrapText="1"/>
    </xf>
    <xf numFmtId="0" fontId="8" fillId="0" borderId="12" applyFill="0">
      <alignment horizontal="left" vertical="center" wrapText="1" indent="2"/>
    </xf>
    <xf numFmtId="4" fontId="8" fillId="7" borderId="11">
      <alignment horizontal="right" vertical="center" wrapText="1"/>
      <protection locked="0"/>
    </xf>
    <xf numFmtId="0" fontId="8" fillId="0" borderId="12" applyFill="0">
      <alignment horizontal="left" vertical="center" wrapText="1" indent="1"/>
    </xf>
    <xf numFmtId="49" fontId="17" fillId="4" borderId="11">
      <alignment horizontal="left" vertical="center" wrapText="1"/>
      <protection locked="0"/>
    </xf>
    <xf numFmtId="49" fontId="17" fillId="4" borderId="14">
      <alignment horizontal="left" vertical="center" wrapText="1"/>
      <protection locked="0"/>
    </xf>
    <xf numFmtId="171" fontId="8" fillId="7" borderId="11">
      <alignment horizontal="right" vertical="center" wrapText="1"/>
      <protection locked="0"/>
    </xf>
    <xf numFmtId="171" fontId="8" fillId="6" borderId="11">
      <alignment horizontal="right" vertical="center" wrapText="1"/>
    </xf>
    <xf numFmtId="171" fontId="8" fillId="6" borderId="14">
      <alignment horizontal="right" vertical="center" wrapText="1"/>
    </xf>
    <xf numFmtId="4" fontId="8" fillId="7" borderId="25">
      <alignment horizontal="right" vertical="center" wrapText="1"/>
      <protection locked="0"/>
    </xf>
    <xf numFmtId="4" fontId="8" fillId="7" borderId="21">
      <alignment horizontal="right" vertical="center" wrapText="1"/>
      <protection locked="0"/>
    </xf>
    <xf numFmtId="0" fontId="25" fillId="0" borderId="33" applyFill="0">
      <alignment horizontal="left" vertical="center" wrapText="1" indent="1"/>
    </xf>
    <xf numFmtId="0" fontId="25" fillId="0" borderId="33" applyFill="0">
      <alignment horizontal="center" vertical="center" wrapText="1"/>
    </xf>
    <xf numFmtId="0" fontId="25" fillId="0" borderId="23" applyFill="0">
      <alignment vertical="center" wrapText="1"/>
    </xf>
    <xf numFmtId="49" fontId="8" fillId="10" borderId="24">
      <alignment vertical="center" wrapText="1"/>
    </xf>
    <xf numFmtId="49" fontId="29" fillId="10" borderId="17">
      <alignment horizontal="left" vertical="center" indent="1"/>
    </xf>
    <xf numFmtId="0" fontId="8" fillId="0" borderId="21" applyFill="0">
      <alignment vertical="top" wrapText="1"/>
    </xf>
    <xf numFmtId="171" fontId="8" fillId="7" borderId="23">
      <alignment horizontal="right" vertical="center" wrapText="1"/>
      <protection locked="0"/>
    </xf>
    <xf numFmtId="0" fontId="25" fillId="0" borderId="21" applyFill="0">
      <alignment horizontal="left" vertical="center" wrapText="1" indent="1"/>
    </xf>
    <xf numFmtId="0" fontId="25" fillId="0" borderId="23" applyFill="0">
      <alignment horizontal="left" vertical="center" wrapText="1" indent="1"/>
    </xf>
    <xf numFmtId="49" fontId="14" fillId="0" borderId="0" applyFill="0" applyBorder="0">
      <alignment horizontal="center" vertical="center" wrapText="1"/>
    </xf>
    <xf numFmtId="0" fontId="53" fillId="0" borderId="0" applyFill="0" applyBorder="0">
      <alignment vertical="center" wrapText="1"/>
    </xf>
    <xf numFmtId="0" fontId="8" fillId="0" borderId="17" applyFill="0">
      <alignment vertical="center" wrapText="1"/>
    </xf>
    <xf numFmtId="0" fontId="8" fillId="0" borderId="36" applyFill="0">
      <alignment vertical="center" wrapText="1"/>
    </xf>
    <xf numFmtId="0" fontId="54" fillId="8" borderId="0" applyBorder="0">
      <alignment horizontal="right" vertical="center"/>
    </xf>
    <xf numFmtId="0" fontId="79" fillId="0" borderId="0" applyFill="0" applyBorder="0">
      <alignment vertical="top"/>
    </xf>
    <xf numFmtId="49" fontId="25" fillId="0" borderId="23" applyFill="0">
      <alignment horizontal="center" vertical="center" wrapText="1"/>
    </xf>
    <xf numFmtId="0" fontId="79" fillId="0" borderId="12" applyFill="0">
      <alignment horizontal="right" vertical="center" wrapText="1" indent="1"/>
    </xf>
    <xf numFmtId="0" fontId="79" fillId="0" borderId="16" applyFill="0">
      <alignment horizontal="right" vertical="center" wrapText="1" indent="1"/>
    </xf>
    <xf numFmtId="0" fontId="79" fillId="0" borderId="11" applyFill="0">
      <alignment horizontal="right" vertical="center" wrapText="1" indent="1"/>
    </xf>
    <xf numFmtId="0" fontId="8" fillId="0" borderId="11" applyFill="0">
      <alignment horizontal="left" vertical="center" wrapText="1" indent="1"/>
    </xf>
    <xf numFmtId="49" fontId="25" fillId="0" borderId="19" applyFill="0">
      <alignment vertical="top"/>
    </xf>
    <xf numFmtId="0" fontId="55" fillId="0" borderId="0" applyFill="0" applyBorder="0">
      <alignment vertical="top"/>
    </xf>
    <xf numFmtId="0" fontId="56" fillId="0" borderId="0" applyFill="0" applyBorder="0">
      <alignment vertical="top"/>
    </xf>
    <xf numFmtId="49" fontId="25" fillId="0" borderId="33" applyFill="0">
      <alignment horizontal="center" vertical="center" wrapText="1"/>
    </xf>
    <xf numFmtId="0" fontId="8" fillId="0" borderId="21" applyFill="0">
      <alignment horizontal="left" vertical="center" wrapText="1"/>
    </xf>
    <xf numFmtId="2" fontId="8" fillId="0" borderId="21" applyFill="0">
      <alignment horizontal="center" vertical="center" wrapText="1"/>
    </xf>
    <xf numFmtId="0" fontId="25" fillId="0" borderId="19" applyFill="0">
      <alignment vertical="center" wrapText="1"/>
    </xf>
    <xf numFmtId="49" fontId="25" fillId="0" borderId="21" applyFill="0">
      <alignment horizontal="center" vertical="center" wrapText="1"/>
    </xf>
    <xf numFmtId="49" fontId="29" fillId="0" borderId="17" applyFill="0">
      <alignment horizontal="right" vertical="center"/>
    </xf>
    <xf numFmtId="49" fontId="9" fillId="0" borderId="0" applyFill="0" applyBorder="0">
      <alignment horizontal="center" vertical="center" wrapText="1"/>
    </xf>
    <xf numFmtId="0" fontId="18" fillId="12" borderId="14">
      <alignment horizontal="left" vertical="center" wrapText="1"/>
    </xf>
    <xf numFmtId="0" fontId="8" fillId="13" borderId="14">
      <alignment vertical="center"/>
    </xf>
    <xf numFmtId="49" fontId="79" fillId="14" borderId="14">
      <alignment horizontal="center" vertical="center" wrapText="1"/>
    </xf>
    <xf numFmtId="49" fontId="57" fillId="0" borderId="23" applyFill="0">
      <alignment horizontal="center" vertical="center" wrapText="1"/>
    </xf>
    <xf numFmtId="49" fontId="57" fillId="0" borderId="14" applyFill="0">
      <alignment horizontal="center" vertical="center" wrapText="1"/>
    </xf>
    <xf numFmtId="0" fontId="25" fillId="0" borderId="12" applyFill="0">
      <alignment vertical="center" wrapText="1"/>
    </xf>
    <xf numFmtId="0" fontId="8" fillId="0" borderId="17" applyFill="0">
      <alignment horizontal="right" vertical="center" wrapText="1" indent="1"/>
    </xf>
    <xf numFmtId="49" fontId="8" fillId="0" borderId="37" applyFill="0">
      <alignment horizontal="center" vertical="center" wrapText="1"/>
    </xf>
    <xf numFmtId="49" fontId="17" fillId="4" borderId="12">
      <alignment horizontal="left" vertical="center" wrapText="1"/>
      <protection locked="0"/>
    </xf>
    <xf numFmtId="0" fontId="58" fillId="0" borderId="0" applyFill="0" applyBorder="0">
      <alignment vertical="center" wrapText="1"/>
    </xf>
    <xf numFmtId="49" fontId="8" fillId="0" borderId="38" applyFill="0">
      <alignment horizontal="center" vertical="center" wrapText="1"/>
    </xf>
    <xf numFmtId="4" fontId="8" fillId="7" borderId="24">
      <alignment horizontal="right" vertical="center" wrapText="1"/>
      <protection locked="0"/>
    </xf>
    <xf numFmtId="4" fontId="8" fillId="7" borderId="23">
      <alignment horizontal="right" vertical="center" wrapText="1"/>
      <protection locked="0"/>
    </xf>
    <xf numFmtId="0" fontId="18" fillId="10" borderId="16">
      <alignment vertical="center" wrapText="1"/>
    </xf>
    <xf numFmtId="49" fontId="8" fillId="0" borderId="39" applyFill="0">
      <alignment horizontal="center" vertical="center" wrapText="1"/>
    </xf>
    <xf numFmtId="4" fontId="8" fillId="7" borderId="12">
      <alignment horizontal="right" vertical="center" wrapText="1"/>
      <protection locked="0"/>
    </xf>
    <xf numFmtId="49" fontId="8" fillId="0" borderId="40" applyFill="0">
      <alignment horizontal="center" vertical="center" wrapText="1"/>
    </xf>
    <xf numFmtId="3" fontId="8" fillId="7" borderId="12">
      <alignment horizontal="right" vertical="center" wrapText="1"/>
      <protection locked="0"/>
    </xf>
    <xf numFmtId="49" fontId="17" fillId="7" borderId="12">
      <alignment horizontal="left" vertical="center" wrapText="1"/>
      <protection locked="0"/>
    </xf>
    <xf numFmtId="49" fontId="59" fillId="0" borderId="0" applyFill="0" applyBorder="0">
      <alignment horizontal="center" vertical="center" wrapText="1"/>
    </xf>
    <xf numFmtId="0" fontId="8" fillId="0" borderId="14" applyFill="0">
      <alignment vertical="top" wrapText="1"/>
    </xf>
    <xf numFmtId="0" fontId="8" fillId="8" borderId="0" applyBorder="0">
      <alignment horizontal="right" vertical="center" wrapText="1"/>
    </xf>
    <xf numFmtId="0" fontId="8" fillId="8" borderId="0" applyBorder="0">
      <alignment horizontal="right" vertical="center"/>
    </xf>
    <xf numFmtId="0" fontId="8" fillId="8" borderId="12">
      <alignment horizontal="center" vertical="center" wrapText="1"/>
    </xf>
    <xf numFmtId="0" fontId="8" fillId="8" borderId="16">
      <alignment horizontal="center" vertical="center" wrapText="1"/>
    </xf>
    <xf numFmtId="0" fontId="8" fillId="8" borderId="18">
      <alignment horizontal="center" vertical="center" wrapText="1"/>
    </xf>
    <xf numFmtId="0" fontId="8" fillId="8" borderId="14">
      <alignment horizontal="center" vertical="center"/>
    </xf>
    <xf numFmtId="0" fontId="79" fillId="0" borderId="14" applyFill="0">
      <alignment horizontal="left" vertical="top" wrapText="1"/>
    </xf>
    <xf numFmtId="0" fontId="79" fillId="0" borderId="14" applyFill="0">
      <alignment horizontal="left" vertical="center" wrapText="1"/>
    </xf>
    <xf numFmtId="0" fontId="8" fillId="10" borderId="12">
      <alignment vertical="center" wrapText="1"/>
    </xf>
    <xf numFmtId="49" fontId="60" fillId="10" borderId="11">
      <alignment horizontal="center" vertical="top"/>
    </xf>
    <xf numFmtId="49" fontId="29" fillId="0" borderId="17" applyFill="0">
      <alignment horizontal="left" vertical="center"/>
    </xf>
    <xf numFmtId="49" fontId="29" fillId="0" borderId="17" applyFill="0">
      <alignment horizontal="left" vertical="center" indent="2"/>
    </xf>
    <xf numFmtId="49" fontId="60" fillId="0" borderId="17" applyFill="0">
      <alignment horizontal="center" vertical="top"/>
    </xf>
    <xf numFmtId="0" fontId="25" fillId="0" borderId="16" applyFill="0">
      <alignment horizontal="right" vertical="center" wrapText="1" indent="1"/>
    </xf>
    <xf numFmtId="0" fontId="25" fillId="0" borderId="11" applyFill="0">
      <alignment horizontal="right" vertical="center" wrapText="1" indent="1"/>
    </xf>
    <xf numFmtId="0" fontId="25" fillId="0" borderId="12" applyFill="0">
      <alignment horizontal="left" vertical="top" wrapText="1"/>
    </xf>
    <xf numFmtId="49" fontId="29" fillId="10" borderId="17">
      <alignment horizontal="left" vertical="center" indent="2"/>
    </xf>
    <xf numFmtId="49" fontId="79" fillId="0" borderId="14" applyFill="0">
      <alignment horizontal="left" vertical="center" wrapText="1" indent="2"/>
    </xf>
    <xf numFmtId="49" fontId="79" fillId="0" borderId="14" applyFill="0">
      <alignment vertical="center" wrapText="1"/>
    </xf>
    <xf numFmtId="0" fontId="8" fillId="0" borderId="0" applyFill="0" applyBorder="0">
      <alignment horizontal="right" vertical="top" wrapText="1"/>
    </xf>
    <xf numFmtId="0" fontId="8" fillId="0" borderId="0" applyFill="0" applyBorder="0">
      <alignment horizontal="left" vertical="top" wrapText="1"/>
    </xf>
    <xf numFmtId="0" fontId="25" fillId="0" borderId="36" applyFill="0">
      <alignment vertical="center" wrapText="1"/>
    </xf>
    <xf numFmtId="0" fontId="8" fillId="6" borderId="11">
      <alignment horizontal="left" vertical="top" wrapText="1"/>
    </xf>
    <xf numFmtId="49" fontId="8" fillId="15" borderId="0" applyBorder="0">
      <alignment horizontal="center" vertical="center" textRotation="90" wrapText="1"/>
    </xf>
    <xf numFmtId="0" fontId="61" fillId="0" borderId="19" applyFill="0">
      <alignment vertical="center" wrapText="1"/>
    </xf>
    <xf numFmtId="3" fontId="8" fillId="4" borderId="12">
      <alignment horizontal="right" vertical="center" wrapText="1"/>
      <protection locked="0"/>
    </xf>
    <xf numFmtId="4" fontId="8" fillId="4" borderId="12">
      <alignment horizontal="right" vertical="center" wrapText="1"/>
      <protection locked="0"/>
    </xf>
    <xf numFmtId="0" fontId="8" fillId="0" borderId="0" applyFill="0" applyBorder="0">
      <alignment vertical="top" wrapText="1"/>
    </xf>
    <xf numFmtId="0" fontId="8" fillId="0" borderId="0" applyFill="0" applyBorder="0">
      <alignment vertical="top"/>
    </xf>
    <xf numFmtId="49" fontId="17" fillId="0" borderId="14" applyFill="0">
      <alignment horizontal="left" vertical="center" wrapText="1"/>
    </xf>
    <xf numFmtId="49" fontId="8" fillId="0" borderId="41" applyFill="0">
      <alignment horizontal="center" vertical="center" wrapText="1"/>
    </xf>
    <xf numFmtId="0" fontId="8" fillId="0" borderId="41" applyFill="0">
      <alignment horizontal="left" vertical="center" wrapText="1"/>
    </xf>
    <xf numFmtId="4" fontId="8" fillId="0" borderId="42" applyFill="0">
      <alignment horizontal="center" vertical="center" wrapText="1"/>
    </xf>
    <xf numFmtId="49" fontId="17" fillId="0" borderId="26" applyFill="0">
      <alignment horizontal="left" vertical="center" wrapText="1"/>
    </xf>
    <xf numFmtId="49" fontId="8" fillId="0" borderId="43" applyFill="0">
      <alignment horizontal="center" vertical="center" wrapText="1"/>
    </xf>
    <xf numFmtId="0" fontId="8" fillId="0" borderId="44" applyFill="0">
      <alignment horizontal="left" vertical="center" wrapText="1" indent="1"/>
    </xf>
    <xf numFmtId="4" fontId="8" fillId="7" borderId="43">
      <alignment horizontal="right" vertical="center" wrapText="1"/>
      <protection locked="0"/>
    </xf>
    <xf numFmtId="49" fontId="17" fillId="0" borderId="12" applyFill="0">
      <alignment horizontal="left" vertical="center" wrapText="1"/>
    </xf>
    <xf numFmtId="4" fontId="8" fillId="0" borderId="23" applyFill="0">
      <alignment horizontal="center" vertical="center" wrapText="1"/>
    </xf>
    <xf numFmtId="4" fontId="8" fillId="7" borderId="45">
      <alignment horizontal="right" vertical="center" wrapText="1"/>
      <protection locked="0"/>
    </xf>
    <xf numFmtId="0" fontId="8" fillId="0" borderId="44" applyFill="0">
      <alignment horizontal="left" vertical="center" wrapText="1"/>
    </xf>
    <xf numFmtId="49" fontId="17" fillId="0" borderId="16" applyFill="0">
      <alignment horizontal="left" vertical="center" wrapText="1"/>
    </xf>
    <xf numFmtId="0" fontId="8" fillId="0" borderId="43" applyFill="0">
      <alignment horizontal="left" vertical="center" wrapText="1" indent="1"/>
    </xf>
    <xf numFmtId="4" fontId="8" fillId="0" borderId="41" applyFill="0">
      <alignment horizontal="center" vertical="center" wrapText="1"/>
    </xf>
    <xf numFmtId="0" fontId="8" fillId="0" borderId="43" applyFill="0">
      <alignment horizontal="left" vertical="center" wrapText="1"/>
    </xf>
    <xf numFmtId="0" fontId="8" fillId="0" borderId="43" applyFill="0">
      <alignment horizontal="left" vertical="center" wrapText="1" indent="2"/>
    </xf>
    <xf numFmtId="4" fontId="8" fillId="0" borderId="43" applyFill="0">
      <alignment horizontal="center" vertical="center" wrapText="1"/>
    </xf>
    <xf numFmtId="49" fontId="8" fillId="0" borderId="46" applyFill="0">
      <alignment horizontal="center" vertical="center" wrapText="1"/>
    </xf>
    <xf numFmtId="0" fontId="8" fillId="0" borderId="45" applyFill="0">
      <alignment horizontal="left" vertical="center" wrapText="1"/>
    </xf>
    <xf numFmtId="4" fontId="8" fillId="0" borderId="45" applyFill="0">
      <alignment horizontal="center" vertical="center" wrapText="1"/>
    </xf>
    <xf numFmtId="49" fontId="17" fillId="0" borderId="24" applyFill="0">
      <alignment horizontal="left" vertical="center" wrapText="1"/>
    </xf>
    <xf numFmtId="49" fontId="8" fillId="0" borderId="44" applyFill="0">
      <alignment horizontal="center" vertical="center" wrapText="1"/>
    </xf>
    <xf numFmtId="4" fontId="8" fillId="7" borderId="44">
      <alignment horizontal="right" vertical="center" wrapText="1"/>
      <protection locked="0"/>
    </xf>
    <xf numFmtId="4" fontId="8" fillId="0" borderId="44" applyFill="0">
      <alignment horizontal="center" vertical="center" wrapText="1"/>
    </xf>
    <xf numFmtId="4" fontId="8" fillId="7" borderId="46">
      <alignment horizontal="right" vertical="center" wrapText="1"/>
      <protection locked="0"/>
    </xf>
    <xf numFmtId="0" fontId="28" fillId="0" borderId="20" applyFill="0">
      <alignment horizontal="center" vertical="center" wrapText="1"/>
    </xf>
    <xf numFmtId="0" fontId="79" fillId="0" borderId="12" applyFill="0">
      <alignment horizontal="center" vertical="center"/>
    </xf>
    <xf numFmtId="168" fontId="79" fillId="4" borderId="14">
      <alignment horizontal="left" vertical="center" wrapText="1" indent="1"/>
      <protection locked="0"/>
    </xf>
    <xf numFmtId="0" fontId="8" fillId="6" borderId="12">
      <alignment horizontal="left" vertical="top" wrapText="1" indent="1"/>
    </xf>
    <xf numFmtId="0" fontId="8" fillId="6" borderId="11">
      <alignment horizontal="left" vertical="top" wrapText="1" indent="1"/>
    </xf>
    <xf numFmtId="49" fontId="79" fillId="0" borderId="12" applyFill="0">
      <alignment horizontal="center" vertical="center"/>
    </xf>
    <xf numFmtId="0" fontId="8" fillId="10" borderId="17">
      <alignment vertical="center" wrapText="1"/>
    </xf>
    <xf numFmtId="0" fontId="8" fillId="0" borderId="11" applyFill="0">
      <alignment vertical="center" wrapText="1"/>
    </xf>
    <xf numFmtId="0" fontId="8" fillId="10" borderId="36">
      <alignment vertical="center" wrapText="1"/>
    </xf>
    <xf numFmtId="0" fontId="28" fillId="0" borderId="0" applyFill="0" applyBorder="0">
      <alignment horizontal="center" vertical="center" wrapText="1"/>
    </xf>
    <xf numFmtId="0" fontId="62" fillId="0" borderId="0" applyFill="0" applyBorder="0">
      <alignment vertical="center" wrapText="1"/>
    </xf>
    <xf numFmtId="0" fontId="79" fillId="8" borderId="23">
      <alignment horizontal="center" vertical="center" wrapText="1"/>
    </xf>
    <xf numFmtId="0" fontId="79" fillId="0" borderId="14" applyFill="0">
      <alignment horizontal="left" vertical="center" wrapText="1" indent="1"/>
    </xf>
    <xf numFmtId="49" fontId="8" fillId="0" borderId="12" applyFill="0">
      <alignment horizontal="center" vertical="center" wrapText="1"/>
    </xf>
    <xf numFmtId="0" fontId="8" fillId="10" borderId="25">
      <alignment vertical="center" wrapText="1"/>
    </xf>
    <xf numFmtId="0" fontId="8" fillId="8" borderId="10">
      <alignment vertical="center" wrapText="1"/>
    </xf>
    <xf numFmtId="49" fontId="38" fillId="0" borderId="10" applyFill="0">
      <alignment vertical="top"/>
    </xf>
    <xf numFmtId="0" fontId="12" fillId="8" borderId="10">
      <alignment horizontal="center" wrapText="1"/>
    </xf>
    <xf numFmtId="0" fontId="8" fillId="0" borderId="6" applyFill="0">
      <alignment horizontal="center" vertical="center"/>
    </xf>
    <xf numFmtId="0" fontId="8" fillId="0" borderId="7" applyFill="0">
      <alignment horizontal="center" vertical="center"/>
    </xf>
    <xf numFmtId="0" fontId="8" fillId="0" borderId="8" applyFill="0">
      <alignment horizontal="center" vertical="center"/>
    </xf>
    <xf numFmtId="0" fontId="8" fillId="0" borderId="4" applyFill="0">
      <alignment vertical="center" wrapText="1"/>
    </xf>
    <xf numFmtId="0" fontId="8" fillId="8" borderId="17">
      <alignment vertical="center" wrapText="1"/>
    </xf>
    <xf numFmtId="0" fontId="25" fillId="0" borderId="10" applyFill="0">
      <alignment vertical="center" wrapText="1"/>
    </xf>
    <xf numFmtId="0" fontId="8" fillId="0" borderId="47" applyFill="0">
      <alignment horizontal="center" vertical="center"/>
    </xf>
    <xf numFmtId="0" fontId="8" fillId="0" borderId="35" applyFill="0">
      <alignment horizontal="center" vertical="center"/>
    </xf>
    <xf numFmtId="0" fontId="8" fillId="0" borderId="4" applyFill="0">
      <alignment vertical="center"/>
    </xf>
    <xf numFmtId="49" fontId="79" fillId="0" borderId="23" applyFill="0">
      <alignment horizontal="center" vertical="center" wrapText="1"/>
    </xf>
    <xf numFmtId="49" fontId="8" fillId="0" borderId="19" applyFill="0">
      <alignment vertical="top"/>
    </xf>
    <xf numFmtId="49" fontId="79" fillId="0" borderId="33" applyFill="0">
      <alignment horizontal="center" vertical="center" wrapText="1"/>
    </xf>
    <xf numFmtId="0" fontId="79" fillId="6" borderId="14">
      <alignment horizontal="center" vertical="center" wrapText="1"/>
    </xf>
    <xf numFmtId="49" fontId="79" fillId="0" borderId="21" applyFill="0">
      <alignment horizontal="center" vertical="center" wrapText="1"/>
    </xf>
    <xf numFmtId="49" fontId="79" fillId="6" borderId="14">
      <alignment horizontal="center" vertical="center"/>
    </xf>
    <xf numFmtId="0" fontId="8" fillId="0" borderId="19" applyFill="0">
      <alignment vertical="center" wrapText="1"/>
    </xf>
    <xf numFmtId="4" fontId="79" fillId="6" borderId="14">
      <alignment horizontal="right" vertical="center" wrapText="1"/>
    </xf>
    <xf numFmtId="4" fontId="79" fillId="4" borderId="14">
      <alignment horizontal="right" vertical="center" wrapText="1"/>
      <protection locked="0"/>
    </xf>
    <xf numFmtId="49" fontId="79" fillId="0" borderId="14" applyFill="0">
      <alignment horizontal="left" vertical="center" wrapText="1" indent="3"/>
    </xf>
    <xf numFmtId="49" fontId="30" fillId="0" borderId="0" applyFill="0" applyBorder="0">
      <alignment vertical="center"/>
    </xf>
    <xf numFmtId="49" fontId="30" fillId="0" borderId="0" applyFill="0" applyBorder="0">
      <alignment vertical="center" wrapText="1"/>
    </xf>
    <xf numFmtId="49" fontId="8" fillId="8" borderId="0" applyBorder="0">
      <alignment horizontal="center" vertical="top" wrapText="1"/>
    </xf>
    <xf numFmtId="0" fontId="8" fillId="0" borderId="18" applyFill="0">
      <alignment horizontal="left" vertical="top" wrapText="1"/>
    </xf>
    <xf numFmtId="49" fontId="8" fillId="0" borderId="0" applyFill="0" applyBorder="0">
      <alignment horizontal="center" vertical="top" wrapText="1"/>
    </xf>
    <xf numFmtId="49" fontId="8" fillId="0" borderId="0" applyFill="0" applyBorder="0">
      <alignment horizontal="center" vertical="center" wrapText="1"/>
    </xf>
    <xf numFmtId="49" fontId="30" fillId="0" borderId="0" applyFill="0" applyBorder="0">
      <alignment horizontal="center" vertical="center" wrapText="1"/>
    </xf>
    <xf numFmtId="0" fontId="8" fillId="16" borderId="12">
      <alignment horizontal="center" vertical="center" wrapText="1"/>
    </xf>
    <xf numFmtId="0" fontId="8" fillId="16" borderId="16">
      <alignment horizontal="center" vertical="center" wrapText="1"/>
    </xf>
    <xf numFmtId="0" fontId="8" fillId="16" borderId="11">
      <alignment horizontal="center" vertical="center" wrapText="1"/>
    </xf>
    <xf numFmtId="49" fontId="18" fillId="17" borderId="12">
      <alignment horizontal="center" vertical="center" wrapText="1"/>
    </xf>
    <xf numFmtId="49" fontId="18" fillId="17" borderId="16">
      <alignment horizontal="center" vertical="center" wrapText="1"/>
    </xf>
    <xf numFmtId="49" fontId="18" fillId="17" borderId="11">
      <alignment horizontal="center" vertical="center" wrapText="1"/>
    </xf>
    <xf numFmtId="49" fontId="18" fillId="18" borderId="12">
      <alignment horizontal="center" vertical="center" wrapText="1"/>
    </xf>
    <xf numFmtId="49" fontId="18" fillId="18" borderId="16">
      <alignment horizontal="center" vertical="center" wrapText="1"/>
    </xf>
    <xf numFmtId="49" fontId="18" fillId="18" borderId="11">
      <alignment horizontal="center" vertical="center" wrapText="1"/>
    </xf>
    <xf numFmtId="49" fontId="8" fillId="19" borderId="12">
      <alignment horizontal="center" vertical="center" wrapText="1"/>
    </xf>
    <xf numFmtId="49" fontId="8" fillId="19" borderId="16">
      <alignment horizontal="center" vertical="center" wrapText="1"/>
    </xf>
    <xf numFmtId="49" fontId="8" fillId="20" borderId="17">
      <alignment horizontal="center" vertical="center" wrapText="1"/>
    </xf>
    <xf numFmtId="49" fontId="8" fillId="20" borderId="0" applyBorder="0">
      <alignment horizontal="center" vertical="center" wrapText="1"/>
    </xf>
    <xf numFmtId="49" fontId="8" fillId="0" borderId="16" applyFill="0">
      <alignment horizontal="center" vertical="center" wrapText="1"/>
    </xf>
    <xf numFmtId="49" fontId="8" fillId="0" borderId="11" applyFill="0">
      <alignment horizontal="center" vertical="center" wrapText="1"/>
    </xf>
    <xf numFmtId="49" fontId="30" fillId="8" borderId="0" applyBorder="0">
      <alignment vertical="center" wrapText="1"/>
    </xf>
    <xf numFmtId="49" fontId="8" fillId="20" borderId="14">
      <alignment horizontal="center" vertical="center" wrapText="1"/>
    </xf>
    <xf numFmtId="0" fontId="8" fillId="20" borderId="14">
      <alignment horizontal="center" vertical="center" wrapText="1"/>
    </xf>
    <xf numFmtId="0" fontId="8" fillId="20" borderId="12">
      <alignment horizontal="center" vertical="center" wrapText="1"/>
    </xf>
    <xf numFmtId="0" fontId="8" fillId="8" borderId="11">
      <alignment horizontal="center" vertical="center" wrapText="1"/>
    </xf>
    <xf numFmtId="0" fontId="8" fillId="20" borderId="11">
      <alignment horizontal="center" vertical="center" wrapText="1"/>
    </xf>
    <xf numFmtId="49" fontId="8" fillId="20" borderId="36">
      <alignment horizontal="center" vertical="center" wrapText="1"/>
    </xf>
    <xf numFmtId="49" fontId="30" fillId="8" borderId="0" applyBorder="0">
      <alignment vertical="center"/>
    </xf>
    <xf numFmtId="49" fontId="28" fillId="0" borderId="14" applyFill="0">
      <alignment horizontal="center" vertical="center"/>
    </xf>
    <xf numFmtId="49" fontId="28" fillId="20" borderId="14">
      <alignment horizontal="center" vertical="center"/>
    </xf>
    <xf numFmtId="0" fontId="28" fillId="0" borderId="14" applyFill="0">
      <alignment horizontal="center" vertical="center"/>
    </xf>
    <xf numFmtId="49" fontId="28" fillId="0" borderId="21" applyFill="0">
      <alignment horizontal="center" vertical="center"/>
    </xf>
    <xf numFmtId="49" fontId="18" fillId="0" borderId="23" applyFill="0">
      <alignment horizontal="center" vertical="center"/>
    </xf>
    <xf numFmtId="0" fontId="8" fillId="0" borderId="23" applyFill="0">
      <alignment horizontal="right" vertical="center"/>
    </xf>
    <xf numFmtId="0" fontId="8" fillId="0" borderId="23" applyFill="0">
      <alignment horizontal="center" vertical="center"/>
    </xf>
    <xf numFmtId="0" fontId="8" fillId="0" borderId="14" applyFill="0">
      <alignment horizontal="right" vertical="center"/>
    </xf>
    <xf numFmtId="4" fontId="30" fillId="8" borderId="0" applyBorder="0">
      <alignment vertical="center"/>
    </xf>
    <xf numFmtId="49" fontId="63" fillId="0" borderId="0" applyFill="0" applyBorder="0">
      <alignment vertical="center" wrapText="1"/>
    </xf>
    <xf numFmtId="49" fontId="28" fillId="0" borderId="0" applyFill="0" applyBorder="0">
      <alignment horizontal="center" vertical="center" wrapText="1"/>
    </xf>
    <xf numFmtId="3" fontId="8" fillId="7" borderId="12">
      <alignment vertical="center" wrapText="1"/>
      <protection locked="0"/>
    </xf>
    <xf numFmtId="4" fontId="8" fillId="6" borderId="12">
      <alignment horizontal="right" vertical="center" wrapText="1"/>
    </xf>
    <xf numFmtId="0" fontId="18" fillId="0" borderId="14" applyFill="0">
      <alignment vertical="top" wrapText="1"/>
    </xf>
    <xf numFmtId="0" fontId="79" fillId="0" borderId="14" applyFill="0">
      <alignment vertical="center" wrapText="1"/>
    </xf>
    <xf numFmtId="0" fontId="79" fillId="7" borderId="14">
      <alignment horizontal="left" vertical="center" wrapText="1" indent="2"/>
      <protection locked="0"/>
    </xf>
    <xf numFmtId="49" fontId="60" fillId="10" borderId="16">
      <alignment horizontal="center" vertical="top"/>
    </xf>
    <xf numFmtId="49" fontId="37" fillId="0" borderId="14" applyFill="0">
      <alignment horizontal="center" vertical="center" wrapText="1"/>
    </xf>
    <xf numFmtId="0" fontId="37" fillId="0" borderId="14" applyFill="0">
      <alignment horizontal="left" vertical="center" wrapText="1" indent="2"/>
    </xf>
    <xf numFmtId="49" fontId="64" fillId="0" borderId="12" applyFill="0">
      <alignment horizontal="left" vertical="center" wrapText="1"/>
    </xf>
    <xf numFmtId="0" fontId="8" fillId="0" borderId="23" applyFill="0">
      <alignment vertical="top" wrapText="1"/>
    </xf>
    <xf numFmtId="0" fontId="79" fillId="7" borderId="14">
      <alignment horizontal="left" vertical="center" wrapText="1"/>
      <protection locked="0"/>
    </xf>
    <xf numFmtId="0" fontId="79" fillId="0" borderId="14" applyFill="0">
      <alignment horizontal="left" vertical="center" wrapText="1" indent="2"/>
    </xf>
    <xf numFmtId="168" fontId="79" fillId="7" borderId="14">
      <alignment horizontal="left" vertical="center" wrapText="1"/>
      <protection locked="0"/>
    </xf>
    <xf numFmtId="49" fontId="18" fillId="0" borderId="0" applyFill="0" applyBorder="0">
      <alignment vertical="top"/>
    </xf>
    <xf numFmtId="168" fontId="79" fillId="7" borderId="11">
      <alignment horizontal="left" vertical="center" wrapText="1"/>
      <protection locked="0"/>
    </xf>
    <xf numFmtId="168" fontId="79" fillId="7" borderId="12">
      <alignment horizontal="left" vertical="center" wrapText="1"/>
      <protection locked="0"/>
    </xf>
    <xf numFmtId="0" fontId="8" fillId="0" borderId="16" applyFill="0">
      <alignment horizontal="left" vertical="top" wrapText="1" indent="1"/>
    </xf>
    <xf numFmtId="0" fontId="79" fillId="8" borderId="12">
      <alignment horizontal="right" vertical="center" wrapText="1" indent="1"/>
    </xf>
    <xf numFmtId="49" fontId="28" fillId="8" borderId="17">
      <alignment horizontal="center" vertical="center" wrapText="1"/>
    </xf>
    <xf numFmtId="49" fontId="79" fillId="8" borderId="23">
      <alignment horizontal="center" vertical="center" wrapText="1"/>
    </xf>
    <xf numFmtId="0" fontId="79" fillId="0" borderId="23" applyFill="0">
      <alignment horizontal="left" vertical="center" wrapText="1"/>
    </xf>
    <xf numFmtId="0" fontId="48" fillId="8" borderId="0" applyBorder="0">
      <alignment horizontal="center" vertical="top" wrapText="1"/>
    </xf>
    <xf numFmtId="0" fontId="79" fillId="6" borderId="12">
      <alignment horizontal="left" vertical="center" wrapText="1" indent="1"/>
    </xf>
    <xf numFmtId="49" fontId="29" fillId="10" borderId="36">
      <alignment horizontal="left" vertical="center" indent="2"/>
    </xf>
    <xf numFmtId="0" fontId="48" fillId="8" borderId="20">
      <alignment horizontal="center" vertical="top" wrapText="1"/>
    </xf>
    <xf numFmtId="49" fontId="79" fillId="8" borderId="21">
      <alignment horizontal="center" vertical="center" wrapText="1"/>
    </xf>
    <xf numFmtId="0" fontId="79" fillId="6" borderId="21">
      <alignment horizontal="left" vertical="center" wrapText="1" indent="1"/>
    </xf>
    <xf numFmtId="49" fontId="79" fillId="8" borderId="12">
      <alignment horizontal="center" vertical="center" wrapText="1"/>
    </xf>
    <xf numFmtId="49" fontId="8" fillId="0" borderId="17" applyFill="0">
      <alignment vertical="top"/>
    </xf>
    <xf numFmtId="49" fontId="8" fillId="0" borderId="0" applyFill="0" applyBorder="0">
      <alignment vertical="top" wrapText="1"/>
    </xf>
    <xf numFmtId="0" fontId="8" fillId="0" borderId="17" applyFill="0">
      <alignment horizontal="left" vertical="top" wrapText="1"/>
    </xf>
    <xf numFmtId="3" fontId="8" fillId="0" borderId="12" applyFill="0">
      <alignment vertical="center" wrapText="1"/>
    </xf>
    <xf numFmtId="4" fontId="8" fillId="0" borderId="12" applyFill="0">
      <alignment horizontal="right" vertical="center" wrapText="1"/>
    </xf>
    <xf numFmtId="49" fontId="9" fillId="17" borderId="0" applyBorder="0">
      <alignment horizontal="center" vertical="center"/>
    </xf>
    <xf numFmtId="49" fontId="8" fillId="0" borderId="14" applyFill="0">
      <alignment horizontal="center" vertical="top"/>
    </xf>
    <xf numFmtId="49" fontId="18" fillId="17" borderId="0" applyBorder="0">
      <alignment horizontal="center" vertical="center" wrapText="1"/>
    </xf>
    <xf numFmtId="0" fontId="79" fillId="16" borderId="14">
      <alignment horizontal="center" vertical="center"/>
    </xf>
    <xf numFmtId="49" fontId="18" fillId="17" borderId="14">
      <alignment horizontal="center" vertical="center"/>
    </xf>
    <xf numFmtId="49" fontId="18" fillId="18" borderId="14">
      <alignment horizontal="center" vertical="center"/>
    </xf>
    <xf numFmtId="49" fontId="79" fillId="19" borderId="14">
      <alignment horizontal="center" vertical="center"/>
    </xf>
    <xf numFmtId="0" fontId="8" fillId="0" borderId="14" applyFill="0">
      <alignment vertical="center"/>
    </xf>
    <xf numFmtId="0" fontId="79" fillId="0" borderId="14" applyFill="0">
      <alignment vertical="center"/>
    </xf>
    <xf numFmtId="0" fontId="79" fillId="0" borderId="12" applyFill="0">
      <alignment vertical="center"/>
    </xf>
    <xf numFmtId="0" fontId="8" fillId="0" borderId="12" applyFill="0">
      <alignment horizontal="left" vertical="center"/>
    </xf>
    <xf numFmtId="49" fontId="8" fillId="0" borderId="48" applyFill="0">
      <alignment vertical="center"/>
    </xf>
    <xf numFmtId="49" fontId="8" fillId="0" borderId="49" applyFill="0">
      <alignment vertical="top"/>
    </xf>
    <xf numFmtId="49" fontId="8" fillId="0" borderId="50" applyFill="0">
      <alignment vertical="top"/>
    </xf>
    <xf numFmtId="0" fontId="79" fillId="0" borderId="11" applyFill="0">
      <alignment vertical="center"/>
    </xf>
    <xf numFmtId="0" fontId="79" fillId="0" borderId="14" applyFill="0">
      <alignment horizontal="right" vertical="top"/>
    </xf>
    <xf numFmtId="0" fontId="79" fillId="0" borderId="14" applyFill="0">
      <alignment vertical="top"/>
    </xf>
    <xf numFmtId="0" fontId="8" fillId="0" borderId="11" applyFill="0">
      <alignment vertical="center"/>
    </xf>
    <xf numFmtId="49" fontId="8" fillId="0" borderId="14" applyFill="0">
      <alignment vertical="center"/>
    </xf>
    <xf numFmtId="0" fontId="8" fillId="0" borderId="14" applyFill="0">
      <alignment vertical="top"/>
    </xf>
    <xf numFmtId="0" fontId="79" fillId="21" borderId="0" applyBorder="0">
      <alignment horizontal="right" vertical="center"/>
    </xf>
    <xf numFmtId="0" fontId="79" fillId="21" borderId="0" applyBorder="0">
      <alignment horizontal="left" vertical="center"/>
    </xf>
    <xf numFmtId="0" fontId="79" fillId="0" borderId="0" applyFill="0" applyBorder="0">
      <alignment horizontal="right" vertical="top"/>
    </xf>
    <xf numFmtId="49" fontId="8" fillId="0" borderId="12" applyFill="0">
      <alignment vertical="top"/>
    </xf>
    <xf numFmtId="0" fontId="53" fillId="21" borderId="0" applyBorder="0">
      <alignment horizontal="left" vertical="center"/>
    </xf>
    <xf numFmtId="49" fontId="79" fillId="0" borderId="12" applyFill="0">
      <alignment vertical="top"/>
    </xf>
    <xf numFmtId="49" fontId="8" fillId="0" borderId="14" applyFill="0">
      <alignment horizontal="right" vertical="top"/>
    </xf>
    <xf numFmtId="0" fontId="79" fillId="0" borderId="12" applyFill="0">
      <alignment horizontal="left" vertical="center"/>
    </xf>
    <xf numFmtId="49" fontId="8" fillId="0" borderId="23" applyFill="0">
      <alignment horizontal="right" vertical="top"/>
    </xf>
    <xf numFmtId="0" fontId="79" fillId="0" borderId="23" applyFill="0">
      <alignment vertical="top"/>
    </xf>
    <xf numFmtId="0" fontId="8" fillId="0" borderId="23" applyFill="0">
      <alignment vertical="center"/>
    </xf>
    <xf numFmtId="49" fontId="8" fillId="0" borderId="43" applyFill="0">
      <alignment horizontal="center" vertical="center"/>
    </xf>
    <xf numFmtId="49" fontId="8" fillId="0" borderId="14" applyFill="0">
      <alignment horizontal="right" vertical="center"/>
    </xf>
    <xf numFmtId="49" fontId="8" fillId="0" borderId="14" applyFill="0">
      <alignment vertical="top"/>
    </xf>
    <xf numFmtId="0" fontId="8" fillId="21" borderId="0" applyBorder="0">
      <alignment horizontal="left" vertical="center"/>
    </xf>
    <xf numFmtId="0" fontId="79" fillId="21" borderId="51">
      <alignment horizontal="center"/>
    </xf>
    <xf numFmtId="49" fontId="65" fillId="0" borderId="50" applyFill="0">
      <alignment vertical="top"/>
    </xf>
    <xf numFmtId="49" fontId="30" fillId="13" borderId="0" applyBorder="0">
      <alignment vertical="center" wrapText="1"/>
    </xf>
    <xf numFmtId="0" fontId="79" fillId="0" borderId="51" applyFill="0">
      <alignment horizontal="center"/>
    </xf>
    <xf numFmtId="49" fontId="9" fillId="17" borderId="0" applyBorder="0">
      <alignment horizontal="center" vertical="center" wrapText="1"/>
    </xf>
    <xf numFmtId="49" fontId="8" fillId="21" borderId="0" applyBorder="0">
      <alignment horizontal="center" vertical="center"/>
    </xf>
    <xf numFmtId="49" fontId="79" fillId="4" borderId="43">
      <alignment horizontal="left" vertical="center"/>
      <protection locked="0"/>
    </xf>
    <xf numFmtId="49" fontId="79" fillId="0" borderId="43" applyFill="0">
      <alignment horizontal="right" vertical="center"/>
    </xf>
    <xf numFmtId="0" fontId="79" fillId="6" borderId="43">
      <alignment horizontal="center" vertical="center"/>
    </xf>
    <xf numFmtId="49" fontId="79" fillId="0" borderId="43" applyFill="0">
      <alignment horizontal="center" vertical="center"/>
    </xf>
    <xf numFmtId="0" fontId="2" fillId="0" borderId="52" applyFill="0">
      <alignment horizontal="center" vertical="center"/>
    </xf>
    <xf numFmtId="0" fontId="79" fillId="0" borderId="52" applyFill="0">
      <alignment horizontal="center" vertical="center"/>
    </xf>
    <xf numFmtId="49" fontId="9" fillId="17" borderId="14">
      <alignment horizontal="right" vertical="center"/>
    </xf>
    <xf numFmtId="49" fontId="8" fillId="4" borderId="24">
      <alignment vertical="top"/>
      <protection locked="0"/>
    </xf>
    <xf numFmtId="0" fontId="79" fillId="20" borderId="14">
      <alignment horizontal="right" vertical="center"/>
    </xf>
    <xf numFmtId="49" fontId="8" fillId="20" borderId="21">
      <alignment vertical="top"/>
    </xf>
    <xf numFmtId="49" fontId="8" fillId="20" borderId="14">
      <alignment vertical="top"/>
    </xf>
    <xf numFmtId="49" fontId="8" fillId="0" borderId="12" applyFill="0">
      <alignment horizontal="center" vertical="top"/>
    </xf>
    <xf numFmtId="49" fontId="8" fillId="0" borderId="11" applyFill="0">
      <alignment horizontal="center" vertical="top"/>
    </xf>
    <xf numFmtId="0" fontId="8" fillId="6" borderId="26">
      <alignment horizontal="center" vertical="top"/>
    </xf>
    <xf numFmtId="0" fontId="8" fillId="6" borderId="26">
      <alignment horizontal="left" vertical="top"/>
    </xf>
    <xf numFmtId="0" fontId="79" fillId="0" borderId="41" applyFill="0">
      <alignment horizontal="center" vertical="center"/>
    </xf>
    <xf numFmtId="0" fontId="79" fillId="0" borderId="46" applyFill="0">
      <alignment horizontal="center" vertical="center"/>
    </xf>
    <xf numFmtId="0" fontId="8" fillId="0" borderId="14" applyFill="0">
      <alignment horizontal="left" vertical="top"/>
    </xf>
    <xf numFmtId="0" fontId="79" fillId="0" borderId="44" applyFill="0">
      <alignment horizontal="center" vertical="center"/>
    </xf>
    <xf numFmtId="49" fontId="9" fillId="17" borderId="12">
      <alignment horizontal="right" vertical="center"/>
    </xf>
    <xf numFmtId="49" fontId="79" fillId="0" borderId="0" applyFill="0" applyBorder="0">
      <alignment vertical="center"/>
    </xf>
    <xf numFmtId="0" fontId="79" fillId="21" borderId="0" applyBorder="0">
      <alignment horizontal="right" vertical="top" wrapText="1"/>
    </xf>
    <xf numFmtId="49" fontId="8" fillId="8" borderId="14">
      <alignment horizontal="center" vertical="center"/>
    </xf>
    <xf numFmtId="0" fontId="18" fillId="8" borderId="0" applyBorder="0"/>
    <xf numFmtId="0" fontId="66" fillId="8" borderId="0" applyBorder="0"/>
    <xf numFmtId="0" fontId="25" fillId="8" borderId="0" applyBorder="0">
      <alignment horizontal="center" vertical="center" wrapText="1"/>
    </xf>
    <xf numFmtId="0" fontId="79" fillId="8" borderId="23">
      <alignment horizontal="left" vertical="top" wrapText="1"/>
    </xf>
    <xf numFmtId="0" fontId="36" fillId="8" borderId="0" applyBorder="0">
      <alignment vertical="center" wrapText="1"/>
    </xf>
    <xf numFmtId="0" fontId="25" fillId="8" borderId="14">
      <alignment horizontal="center" vertical="center"/>
    </xf>
    <xf numFmtId="0" fontId="79" fillId="8" borderId="33">
      <alignment horizontal="left" vertical="top" wrapText="1"/>
    </xf>
    <xf numFmtId="0" fontId="37" fillId="8" borderId="0" applyBorder="0"/>
    <xf numFmtId="0" fontId="79" fillId="8" borderId="21">
      <alignment horizontal="left" vertical="top" wrapText="1"/>
    </xf>
    <xf numFmtId="0" fontId="58" fillId="8" borderId="0" applyBorder="0"/>
    <xf numFmtId="0" fontId="8" fillId="8" borderId="14">
      <alignment horizontal="left" vertical="top" wrapText="1"/>
    </xf>
    <xf numFmtId="49" fontId="17" fillId="4" borderId="21">
      <alignment horizontal="left" vertical="center" wrapText="1"/>
      <protection locked="0"/>
    </xf>
    <xf numFmtId="0" fontId="8" fillId="8" borderId="14">
      <alignment vertical="top" wrapText="1"/>
    </xf>
    <xf numFmtId="14" fontId="8" fillId="7" borderId="12">
      <alignment horizontal="left" vertical="center" wrapText="1" indent="1"/>
      <protection locked="0"/>
    </xf>
    <xf numFmtId="0" fontId="18" fillId="0" borderId="33" applyFill="0">
      <alignment horizontal="left" vertical="center" wrapText="1" indent="1"/>
    </xf>
    <xf numFmtId="169" fontId="8" fillId="0" borderId="24" applyFill="0">
      <alignment horizontal="center" vertical="center" wrapText="1"/>
    </xf>
    <xf numFmtId="169" fontId="8" fillId="0" borderId="23" applyFill="0">
      <alignment horizontal="center" vertical="center" wrapText="1"/>
    </xf>
    <xf numFmtId="4" fontId="8" fillId="0" borderId="21" applyFill="0">
      <alignment horizontal="center" vertical="center" wrapText="1"/>
    </xf>
    <xf numFmtId="14" fontId="8" fillId="9" borderId="14">
      <alignment horizontal="left" vertical="center" wrapText="1"/>
    </xf>
    <xf numFmtId="14" fontId="8" fillId="7" borderId="14">
      <alignment horizontal="left" vertical="center" wrapText="1" indent="1"/>
      <protection locked="0"/>
    </xf>
    <xf numFmtId="49" fontId="12" fillId="10" borderId="26">
      <alignment horizontal="right" vertical="center" wrapText="1"/>
    </xf>
    <xf numFmtId="49" fontId="79" fillId="10" borderId="36">
      <alignment horizontal="right" vertical="center" wrapText="1"/>
    </xf>
    <xf numFmtId="49" fontId="79" fillId="10" borderId="25">
      <alignment horizontal="right" vertical="center" wrapText="1"/>
    </xf>
    <xf numFmtId="168" fontId="79" fillId="7" borderId="16">
      <alignment horizontal="left" vertical="center" wrapText="1" indent="1"/>
      <protection locked="0"/>
    </xf>
    <xf numFmtId="172" fontId="8" fillId="7" borderId="14">
      <alignment horizontal="left" vertical="center" wrapText="1" indent="1"/>
      <protection locked="0"/>
    </xf>
    <xf numFmtId="0" fontId="67" fillId="0" borderId="0" applyFill="0" applyBorder="0">
      <alignment vertical="center"/>
    </xf>
    <xf numFmtId="168" fontId="25" fillId="0" borderId="0" applyFill="0" applyBorder="0">
      <alignment horizontal="center" vertical="center" wrapText="1"/>
    </xf>
    <xf numFmtId="169" fontId="8" fillId="0" borderId="16" applyFill="0">
      <alignment horizontal="center" vertical="center" wrapText="1"/>
    </xf>
    <xf numFmtId="169" fontId="8" fillId="0" borderId="11" applyFill="0">
      <alignment horizontal="center" vertical="center" wrapText="1"/>
    </xf>
    <xf numFmtId="4" fontId="8" fillId="0" borderId="33" applyFill="0">
      <alignment horizontal="center" vertical="center" wrapText="1"/>
    </xf>
    <xf numFmtId="169" fontId="8" fillId="0" borderId="21" applyFill="0">
      <alignment horizontal="center" vertical="center" wrapText="1"/>
    </xf>
    <xf numFmtId="0" fontId="8" fillId="6" borderId="21">
      <alignment horizontal="left" vertical="center" wrapText="1" indent="1"/>
    </xf>
    <xf numFmtId="14" fontId="8" fillId="7" borderId="21">
      <alignment horizontal="left" vertical="center" wrapText="1" indent="1"/>
      <protection locked="0"/>
    </xf>
    <xf numFmtId="0" fontId="8" fillId="0" borderId="25" applyFill="0">
      <alignment horizontal="left" vertical="top" wrapText="1"/>
    </xf>
    <xf numFmtId="14" fontId="8" fillId="0" borderId="21" applyFill="0">
      <alignment horizontal="left" vertical="center" wrapText="1" indent="1"/>
    </xf>
    <xf numFmtId="49" fontId="17" fillId="10" borderId="36">
      <alignment horizontal="left" vertical="center" wrapText="1"/>
    </xf>
    <xf numFmtId="49" fontId="17" fillId="10" borderId="25">
      <alignment horizontal="left" vertical="center" wrapText="1"/>
    </xf>
    <xf numFmtId="0" fontId="8" fillId="8" borderId="33">
      <alignment vertical="center" wrapText="1"/>
    </xf>
    <xf numFmtId="0" fontId="25" fillId="0" borderId="36" applyFill="0">
      <alignment horizontal="center" vertical="center" wrapText="1"/>
    </xf>
    <xf numFmtId="0" fontId="8" fillId="8" borderId="19">
      <alignment vertical="center" wrapText="1"/>
    </xf>
    <xf numFmtId="0" fontId="28" fillId="0" borderId="14" applyFill="0">
      <alignment horizontal="center" vertical="center" wrapText="1"/>
    </xf>
    <xf numFmtId="0" fontId="8" fillId="0" borderId="16" applyFill="0">
      <alignment horizontal="left" vertical="center" wrapText="1"/>
    </xf>
    <xf numFmtId="169" fontId="30" fillId="0" borderId="17" applyFill="0">
      <alignment horizontal="center" vertical="center" wrapText="1"/>
    </xf>
    <xf numFmtId="169" fontId="30" fillId="0" borderId="18" applyFill="0">
      <alignment horizontal="center" vertical="center" wrapText="1"/>
    </xf>
    <xf numFmtId="0" fontId="27" fillId="0" borderId="0" applyFill="0" applyBorder="0">
      <alignment horizontal="center" vertical="center" wrapText="1"/>
    </xf>
    <xf numFmtId="169" fontId="8" fillId="0" borderId="33" applyFill="0">
      <alignment horizontal="center" vertical="center" wrapText="1"/>
    </xf>
    <xf numFmtId="0" fontId="8" fillId="6" borderId="25">
      <alignment horizontal="left" vertical="center" wrapText="1"/>
    </xf>
    <xf numFmtId="49" fontId="8" fillId="9" borderId="26">
      <alignment horizontal="left" vertical="center" wrapText="1"/>
    </xf>
    <xf numFmtId="49" fontId="8" fillId="7" borderId="36">
      <alignment horizontal="left" vertical="center" wrapText="1"/>
      <protection locked="0"/>
    </xf>
    <xf numFmtId="49" fontId="8" fillId="7" borderId="26">
      <alignment horizontal="left" vertical="center" wrapText="1"/>
      <protection locked="0"/>
    </xf>
    <xf numFmtId="49" fontId="8" fillId="0" borderId="14" applyFill="0">
      <alignment horizontal="left" vertical="top" wrapText="1"/>
    </xf>
    <xf numFmtId="49" fontId="8" fillId="9" borderId="21">
      <alignment horizontal="left" vertical="center" wrapText="1"/>
    </xf>
    <xf numFmtId="49" fontId="68" fillId="0" borderId="14" applyFill="0">
      <alignment horizontal="left" vertical="top" wrapText="1"/>
    </xf>
    <xf numFmtId="0" fontId="69" fillId="8" borderId="0" applyBorder="0">
      <alignment horizontal="center" vertical="center" wrapText="1"/>
    </xf>
    <xf numFmtId="0" fontId="9" fillId="8" borderId="0" applyBorder="0"/>
    <xf numFmtId="49" fontId="8" fillId="0" borderId="0" applyFill="0" applyBorder="0">
      <alignment horizontal="left" vertical="top" wrapText="1"/>
    </xf>
    <xf numFmtId="49" fontId="31" fillId="0" borderId="0" applyFill="0" applyBorder="0">
      <alignment horizontal="center" vertical="center"/>
    </xf>
    <xf numFmtId="0" fontId="8" fillId="0" borderId="0" applyFill="0" applyBorder="0"/>
    <xf numFmtId="0" fontId="31" fillId="8" borderId="0" applyBorder="0">
      <alignment horizontal="center" vertical="center"/>
    </xf>
    <xf numFmtId="0" fontId="8" fillId="8" borderId="23">
      <alignment horizontal="center" vertical="center"/>
    </xf>
    <xf numFmtId="49" fontId="8" fillId="0" borderId="23" applyFill="0">
      <alignment horizontal="left" vertical="center" wrapText="1"/>
    </xf>
    <xf numFmtId="49" fontId="29" fillId="10" borderId="11">
      <alignment horizontal="left" vertical="center"/>
    </xf>
    <xf numFmtId="0" fontId="31" fillId="0" borderId="0" applyFill="0" applyBorder="0">
      <alignment horizontal="center" vertical="center"/>
    </xf>
    <xf numFmtId="0" fontId="31" fillId="8" borderId="0" applyBorder="0">
      <alignment horizontal="center"/>
    </xf>
    <xf numFmtId="49" fontId="79" fillId="0" borderId="16" applyFill="0">
      <alignment horizontal="left" vertical="center" indent="1"/>
    </xf>
    <xf numFmtId="49" fontId="79" fillId="0" borderId="53" applyFill="0">
      <alignment horizontal="center" vertical="center"/>
    </xf>
    <xf numFmtId="49" fontId="79" fillId="22" borderId="0" applyBorder="0">
      <alignment vertical="top"/>
    </xf>
    <xf numFmtId="0" fontId="28" fillId="0" borderId="0" applyFill="0" applyBorder="0">
      <alignment vertical="top" wrapText="1"/>
    </xf>
    <xf numFmtId="14" fontId="8" fillId="9" borderId="14">
      <alignment horizontal="left" vertical="center" wrapText="1" indent="1"/>
    </xf>
    <xf numFmtId="49" fontId="8" fillId="6" borderId="14">
      <alignment horizontal="center" vertical="center" wrapText="1"/>
    </xf>
    <xf numFmtId="49" fontId="40" fillId="22" borderId="0" applyBorder="0">
      <alignment vertical="top"/>
    </xf>
    <xf numFmtId="14" fontId="35" fillId="0" borderId="23" applyFill="0">
      <alignment horizontal="center" vertical="center" wrapText="1"/>
    </xf>
    <xf numFmtId="0" fontId="34" fillId="0" borderId="14" applyFill="0">
      <alignment horizontal="left" vertical="center" wrapText="1" indent="1"/>
    </xf>
    <xf numFmtId="0" fontId="35" fillId="0" borderId="23" applyFill="0">
      <alignment horizontal="center" vertical="center" wrapText="1"/>
    </xf>
    <xf numFmtId="14" fontId="35" fillId="0" borderId="33" applyFill="0">
      <alignment horizontal="center" vertical="center" wrapText="1"/>
    </xf>
    <xf numFmtId="0" fontId="34" fillId="0" borderId="14" applyFill="0">
      <alignment horizontal="left" vertical="top" indent="1"/>
    </xf>
    <xf numFmtId="49" fontId="34" fillId="7" borderId="14">
      <alignment horizontal="left" vertical="center" wrapText="1" indent="1"/>
      <protection locked="0"/>
    </xf>
    <xf numFmtId="0" fontId="8" fillId="8" borderId="0" applyBorder="0">
      <alignment horizontal="center" vertical="top" wrapText="1"/>
    </xf>
    <xf numFmtId="0" fontId="25" fillId="8" borderId="14">
      <alignment horizontal="center" vertical="center" wrapText="1"/>
    </xf>
    <xf numFmtId="14" fontId="8" fillId="9" borderId="25">
      <alignment horizontal="left" vertical="center" wrapText="1"/>
    </xf>
    <xf numFmtId="49" fontId="70" fillId="7" borderId="14">
      <alignment horizontal="left" vertical="center" wrapText="1"/>
      <protection locked="0"/>
    </xf>
    <xf numFmtId="0" fontId="79" fillId="7" borderId="12">
      <alignment horizontal="left" vertical="center" wrapText="1" indent="2"/>
      <protection locked="0"/>
    </xf>
    <xf numFmtId="0" fontId="31" fillId="0" borderId="20" applyFill="0">
      <alignment horizontal="center" vertical="center" wrapText="1"/>
    </xf>
    <xf numFmtId="49" fontId="8" fillId="0" borderId="14" applyFill="0">
      <alignment horizontal="center" vertical="top" wrapText="1"/>
    </xf>
    <xf numFmtId="0" fontId="79" fillId="6" borderId="14">
      <alignment horizontal="left" vertical="top" wrapText="1" indent="1"/>
    </xf>
    <xf numFmtId="49" fontId="8" fillId="9" borderId="23">
      <alignment horizontal="center" vertical="top" wrapText="1"/>
    </xf>
    <xf numFmtId="168" fontId="79" fillId="7" borderId="14">
      <alignment horizontal="center" vertical="top" wrapText="1"/>
      <protection locked="0"/>
    </xf>
    <xf numFmtId="168" fontId="79" fillId="4" borderId="14">
      <alignment horizontal="center" vertical="top" wrapText="1"/>
      <protection locked="0"/>
    </xf>
    <xf numFmtId="49" fontId="8" fillId="9" borderId="14">
      <alignment horizontal="left" vertical="top" wrapText="1"/>
    </xf>
    <xf numFmtId="49" fontId="8" fillId="7" borderId="14">
      <alignment horizontal="left" vertical="top" wrapText="1"/>
      <protection locked="0"/>
    </xf>
    <xf numFmtId="49" fontId="79" fillId="6" borderId="14">
      <alignment horizontal="center" vertical="top" wrapText="1"/>
    </xf>
    <xf numFmtId="0" fontId="8" fillId="6" borderId="14">
      <alignment horizontal="center" vertical="top" wrapText="1"/>
    </xf>
    <xf numFmtId="0" fontId="8" fillId="4" borderId="14">
      <alignment horizontal="left" vertical="top" wrapText="1"/>
      <protection locked="0"/>
    </xf>
    <xf numFmtId="49" fontId="8" fillId="9" borderId="14">
      <alignment horizontal="center" vertical="top" wrapText="1"/>
    </xf>
    <xf numFmtId="49" fontId="8" fillId="7" borderId="23">
      <alignment horizontal="left" vertical="center" wrapText="1" indent="1"/>
      <protection locked="0"/>
    </xf>
    <xf numFmtId="0" fontId="8" fillId="0" borderId="20" applyFill="0">
      <alignment vertical="top" wrapText="1"/>
    </xf>
    <xf numFmtId="49" fontId="8" fillId="9" borderId="21">
      <alignment horizontal="center" vertical="top" wrapText="1"/>
    </xf>
    <xf numFmtId="49" fontId="79" fillId="7" borderId="14">
      <alignment horizontal="center" vertical="top" wrapText="1"/>
      <protection locked="0"/>
    </xf>
    <xf numFmtId="49" fontId="79" fillId="4" borderId="14">
      <alignment horizontal="center" vertical="top" wrapText="1"/>
      <protection locked="0"/>
    </xf>
    <xf numFmtId="49" fontId="8" fillId="9" borderId="12">
      <alignment horizontal="center" vertical="top" wrapText="1"/>
    </xf>
    <xf numFmtId="49" fontId="8" fillId="0" borderId="33" applyFill="0">
      <alignment horizontal="center" vertical="top" wrapText="1"/>
    </xf>
    <xf numFmtId="0" fontId="79" fillId="6" borderId="33">
      <alignment horizontal="left" vertical="top" wrapText="1" indent="1"/>
    </xf>
    <xf numFmtId="49" fontId="8" fillId="9" borderId="33">
      <alignment horizontal="center" vertical="top" wrapText="1"/>
    </xf>
    <xf numFmtId="49" fontId="79" fillId="7" borderId="33">
      <alignment horizontal="center" vertical="top" wrapText="1"/>
      <protection locked="0"/>
    </xf>
    <xf numFmtId="49" fontId="79" fillId="4" borderId="33">
      <alignment horizontal="center" vertical="top" wrapText="1"/>
      <protection locked="0"/>
    </xf>
    <xf numFmtId="49" fontId="8" fillId="9" borderId="33">
      <alignment horizontal="left" vertical="top" wrapText="1"/>
    </xf>
    <xf numFmtId="49" fontId="8" fillId="7" borderId="33">
      <alignment horizontal="left" vertical="top" wrapText="1"/>
      <protection locked="0"/>
    </xf>
    <xf numFmtId="49" fontId="79" fillId="6" borderId="33">
      <alignment horizontal="center" vertical="top" wrapText="1"/>
    </xf>
    <xf numFmtId="0" fontId="8" fillId="6" borderId="33">
      <alignment horizontal="center" vertical="top" wrapText="1"/>
    </xf>
    <xf numFmtId="0" fontId="8" fillId="4" borderId="33">
      <alignment horizontal="left" vertical="top" wrapText="1"/>
      <protection locked="0"/>
    </xf>
    <xf numFmtId="0" fontId="71" fillId="0" borderId="54" applyFill="0">
      <alignment horizontal="left" vertical="center" indent="1"/>
    </xf>
    <xf numFmtId="0" fontId="71" fillId="0" borderId="55" applyFill="0">
      <alignment horizontal="left" vertical="center" indent="1"/>
    </xf>
    <xf numFmtId="0" fontId="79" fillId="0" borderId="55" applyFill="0">
      <alignment horizontal="left" vertical="center" wrapText="1"/>
    </xf>
    <xf numFmtId="0" fontId="8" fillId="0" borderId="55" applyFill="0">
      <alignment vertical="center" wrapText="1"/>
    </xf>
    <xf numFmtId="0" fontId="8" fillId="0" borderId="56" applyFill="0">
      <alignment vertical="center" wrapText="1"/>
    </xf>
    <xf numFmtId="0" fontId="8" fillId="0" borderId="57" applyFill="0">
      <alignment vertical="center" wrapText="1"/>
    </xf>
    <xf numFmtId="49" fontId="18" fillId="0" borderId="11" applyFill="0">
      <alignment horizontal="center" vertical="center" wrapText="1"/>
    </xf>
    <xf numFmtId="49" fontId="18" fillId="0" borderId="11" applyFill="0">
      <alignment horizontal="left" vertical="center" wrapText="1"/>
    </xf>
    <xf numFmtId="49" fontId="18" fillId="0" borderId="12" applyFill="0">
      <alignment horizontal="center" vertical="center" wrapText="1"/>
    </xf>
    <xf numFmtId="49" fontId="72" fillId="0" borderId="35" applyFill="0">
      <alignment horizontal="left" vertical="center" indent="1"/>
    </xf>
    <xf numFmtId="49" fontId="72" fillId="0" borderId="35" applyFill="0">
      <alignment horizontal="center" vertical="center"/>
    </xf>
    <xf numFmtId="3" fontId="18" fillId="0" borderId="14" applyFill="0">
      <alignment horizontal="center" vertical="center" wrapText="1"/>
    </xf>
    <xf numFmtId="49" fontId="73" fillId="0" borderId="11" applyFill="0">
      <alignment horizontal="center" vertical="center" wrapText="1"/>
    </xf>
    <xf numFmtId="0" fontId="72" fillId="0" borderId="14" applyFill="0">
      <alignment horizontal="center" vertical="center"/>
    </xf>
    <xf numFmtId="49" fontId="18" fillId="0" borderId="23" applyFill="0">
      <alignment horizontal="left" vertical="center" wrapText="1" indent="1"/>
    </xf>
    <xf numFmtId="49" fontId="72" fillId="0" borderId="12" applyFill="0">
      <alignment horizontal="left" vertical="center" indent="1"/>
    </xf>
    <xf numFmtId="49" fontId="72" fillId="0" borderId="16" applyFill="0">
      <alignment horizontal="left" vertical="center" indent="1"/>
    </xf>
    <xf numFmtId="49" fontId="72" fillId="0" borderId="16" applyFill="0">
      <alignment vertical="top" wrapText="1"/>
    </xf>
    <xf numFmtId="49" fontId="72" fillId="0" borderId="11" applyFill="0">
      <alignment vertical="top" wrapText="1"/>
    </xf>
    <xf numFmtId="49" fontId="18" fillId="0" borderId="33" applyFill="0">
      <alignment horizontal="left" vertical="center" wrapText="1" indent="1"/>
    </xf>
    <xf numFmtId="0" fontId="72" fillId="0" borderId="14" applyFill="0">
      <alignment horizontal="left" vertical="center" wrapText="1" indent="1"/>
    </xf>
    <xf numFmtId="4" fontId="18" fillId="0" borderId="43" applyFill="0">
      <alignment horizontal="right" vertical="center" wrapText="1"/>
    </xf>
    <xf numFmtId="49" fontId="18" fillId="0" borderId="21" applyFill="0">
      <alignment horizontal="left" vertical="center" wrapText="1" indent="1"/>
    </xf>
    <xf numFmtId="49" fontId="18" fillId="0" borderId="16" applyFill="0">
      <alignment horizontal="left" vertical="center" indent="1"/>
    </xf>
    <xf numFmtId="49" fontId="72" fillId="0" borderId="58" applyFill="0">
      <alignment vertical="top" wrapText="1"/>
    </xf>
    <xf numFmtId="49" fontId="72" fillId="0" borderId="58" applyFill="0">
      <alignment horizontal="left" vertical="center" indent="1"/>
    </xf>
    <xf numFmtId="49" fontId="8" fillId="6" borderId="59">
      <alignment horizontal="center" vertical="center" wrapText="1"/>
    </xf>
    <xf numFmtId="0" fontId="79" fillId="10" borderId="60">
      <alignment horizontal="left" vertical="center"/>
    </xf>
    <xf numFmtId="49" fontId="29" fillId="10" borderId="61">
      <alignment horizontal="left" vertical="center" indent="1"/>
    </xf>
    <xf numFmtId="0" fontId="8" fillId="10" borderId="60">
      <alignment vertical="center" wrapText="1"/>
    </xf>
    <xf numFmtId="0" fontId="8" fillId="10" borderId="61">
      <alignment vertical="center" wrapText="1"/>
    </xf>
    <xf numFmtId="49" fontId="79" fillId="6" borderId="33">
      <alignment vertical="top"/>
    </xf>
    <xf numFmtId="49" fontId="79" fillId="0" borderId="33" applyFill="0">
      <alignment vertical="top"/>
    </xf>
    <xf numFmtId="49" fontId="8" fillId="9" borderId="23">
      <alignment vertical="center" wrapText="1"/>
    </xf>
    <xf numFmtId="49" fontId="79" fillId="7" borderId="33">
      <alignment vertical="top"/>
      <protection locked="0"/>
    </xf>
    <xf numFmtId="49" fontId="74" fillId="0" borderId="14" applyFill="0">
      <alignment horizontal="center" vertical="center" wrapText="1"/>
    </xf>
    <xf numFmtId="0" fontId="30" fillId="0" borderId="14" applyFill="0">
      <alignment horizontal="center" vertical="center"/>
    </xf>
    <xf numFmtId="49" fontId="8" fillId="9" borderId="23">
      <alignment horizontal="left" vertical="center" wrapText="1" indent="1"/>
    </xf>
    <xf numFmtId="49" fontId="75" fillId="10" borderId="12">
      <alignment horizontal="left" vertical="center" indent="1"/>
    </xf>
    <xf numFmtId="49" fontId="75" fillId="10" borderId="16">
      <alignment horizontal="left" vertical="center" indent="1"/>
    </xf>
    <xf numFmtId="49" fontId="30" fillId="10" borderId="16">
      <alignment vertical="top" wrapText="1"/>
    </xf>
    <xf numFmtId="49" fontId="79" fillId="7" borderId="23">
      <alignment vertical="top"/>
      <protection locked="0"/>
    </xf>
    <xf numFmtId="14" fontId="8" fillId="9" borderId="33">
      <alignment horizontal="left" vertical="center" wrapText="1" indent="1"/>
    </xf>
    <xf numFmtId="14" fontId="8" fillId="9" borderId="19">
      <alignment horizontal="left" vertical="center" wrapText="1" indent="1"/>
    </xf>
    <xf numFmtId="49" fontId="8" fillId="9" borderId="33">
      <alignment vertical="center" wrapText="1"/>
    </xf>
    <xf numFmtId="49" fontId="8" fillId="9" borderId="33">
      <alignment horizontal="left" vertical="center" wrapText="1" indent="1"/>
    </xf>
    <xf numFmtId="49" fontId="8" fillId="6" borderId="14">
      <alignment horizontal="left" vertical="center" wrapText="1"/>
    </xf>
    <xf numFmtId="0" fontId="30" fillId="9" borderId="14">
      <alignment horizontal="left" vertical="center" wrapText="1" indent="1"/>
    </xf>
    <xf numFmtId="49" fontId="8" fillId="9" borderId="21">
      <alignment vertical="center" wrapText="1"/>
    </xf>
    <xf numFmtId="49" fontId="8" fillId="9" borderId="21">
      <alignment horizontal="left" vertical="center" wrapText="1" indent="1"/>
    </xf>
    <xf numFmtId="49" fontId="79" fillId="7" borderId="21">
      <alignment vertical="top"/>
      <protection locked="0"/>
    </xf>
    <xf numFmtId="49" fontId="74" fillId="0" borderId="33" applyFill="0">
      <alignment horizontal="center" vertical="top" wrapText="1"/>
    </xf>
    <xf numFmtId="0" fontId="30" fillId="0" borderId="11" applyFill="0">
      <alignment horizontal="center" vertical="center"/>
    </xf>
    <xf numFmtId="49" fontId="8" fillId="9" borderId="11">
      <alignment horizontal="left" vertical="center" wrapText="1"/>
    </xf>
    <xf numFmtId="49" fontId="75" fillId="10" borderId="34">
      <alignment horizontal="left" vertical="center" indent="1"/>
    </xf>
    <xf numFmtId="49" fontId="72" fillId="10" borderId="35">
      <alignment horizontal="center" vertical="center"/>
    </xf>
    <xf numFmtId="49" fontId="75" fillId="10" borderId="35">
      <alignment horizontal="left" vertical="center" indent="1"/>
    </xf>
    <xf numFmtId="3" fontId="8" fillId="7" borderId="14">
      <alignment horizontal="center" vertical="center" wrapText="1"/>
      <protection locked="0"/>
    </xf>
    <xf numFmtId="49" fontId="8" fillId="9" borderId="12">
      <alignment horizontal="center" vertical="center" wrapText="1"/>
    </xf>
    <xf numFmtId="49" fontId="30" fillId="10" borderId="11">
      <alignment vertical="top" wrapText="1"/>
    </xf>
    <xf numFmtId="49" fontId="30" fillId="10" borderId="58">
      <alignment vertical="top" wrapText="1"/>
    </xf>
    <xf numFmtId="49" fontId="75" fillId="10" borderId="58">
      <alignment horizontal="left" vertical="center" indent="1"/>
    </xf>
    <xf numFmtId="0" fontId="71" fillId="0" borderId="62" applyFill="0">
      <alignment horizontal="left" vertical="center" indent="1"/>
    </xf>
    <xf numFmtId="49" fontId="8" fillId="0" borderId="63" applyFill="0">
      <alignment horizontal="center" vertical="center"/>
    </xf>
    <xf numFmtId="0" fontId="8" fillId="0" borderId="63" applyFill="0">
      <alignment horizontal="right" vertical="center"/>
    </xf>
    <xf numFmtId="0" fontId="8" fillId="0" borderId="63" applyFill="0">
      <alignment horizontal="center" vertical="center"/>
    </xf>
    <xf numFmtId="0" fontId="8" fillId="0" borderId="16" applyFill="0">
      <alignment horizontal="right" vertical="center"/>
    </xf>
    <xf numFmtId="0" fontId="8" fillId="0" borderId="11" applyFill="0">
      <alignment horizontal="right" vertical="center"/>
    </xf>
    <xf numFmtId="49" fontId="8" fillId="4" borderId="14">
      <alignment horizontal="left" vertical="center" indent="1"/>
      <protection locked="0"/>
    </xf>
    <xf numFmtId="0" fontId="8" fillId="20" borderId="14">
      <alignment horizontal="right" vertical="center"/>
    </xf>
    <xf numFmtId="4" fontId="8" fillId="4" borderId="14">
      <alignment horizontal="right" vertical="center"/>
      <protection locked="0"/>
    </xf>
    <xf numFmtId="49" fontId="29" fillId="10" borderId="64">
      <alignment horizontal="left" vertical="center" indent="1"/>
    </xf>
    <xf numFmtId="49" fontId="29" fillId="23" borderId="11">
      <alignment horizontal="left" vertical="center" indent="1"/>
    </xf>
    <xf numFmtId="49" fontId="8" fillId="0" borderId="33" applyFill="0">
      <alignment horizontal="center" vertical="center" wrapText="1"/>
    </xf>
    <xf numFmtId="0" fontId="29" fillId="0" borderId="14" applyFill="0">
      <alignment horizontal="left" vertical="center" indent="1"/>
    </xf>
    <xf numFmtId="49" fontId="8" fillId="0" borderId="21" applyFill="0">
      <alignment horizontal="center" vertical="center" wrapText="1"/>
    </xf>
    <xf numFmtId="0" fontId="25" fillId="0" borderId="21" applyFill="0">
      <alignment vertical="center" wrapText="1"/>
    </xf>
    <xf numFmtId="2" fontId="25" fillId="0" borderId="21" applyFill="0">
      <alignment horizontal="center" vertical="center" wrapText="1"/>
    </xf>
    <xf numFmtId="49" fontId="25" fillId="0" borderId="12" applyFill="0">
      <alignment horizontal="left" vertical="center"/>
    </xf>
    <xf numFmtId="49" fontId="25" fillId="0" borderId="16" applyFill="0">
      <alignment horizontal="left" vertical="center" indent="1"/>
    </xf>
    <xf numFmtId="49" fontId="25" fillId="0" borderId="16" applyFill="0">
      <alignment horizontal="left" vertical="center"/>
    </xf>
    <xf numFmtId="49" fontId="25" fillId="0" borderId="11" applyFill="0">
      <alignment horizontal="left" vertical="center" indent="1"/>
    </xf>
    <xf numFmtId="0" fontId="25" fillId="0" borderId="14" applyFill="0">
      <alignment horizontal="left" vertical="center" indent="1"/>
    </xf>
    <xf numFmtId="49" fontId="79" fillId="0" borderId="17" applyFill="0">
      <alignment vertical="top"/>
    </xf>
    <xf numFmtId="49" fontId="31" fillId="0" borderId="23" applyFill="0">
      <alignment horizontal="center" vertical="top" wrapText="1"/>
    </xf>
    <xf numFmtId="49" fontId="8" fillId="7" borderId="12">
      <alignment horizontal="left" vertical="center" wrapText="1" indent="1"/>
      <protection locked="0"/>
    </xf>
    <xf numFmtId="49" fontId="79" fillId="0" borderId="11" applyFill="0">
      <alignment horizontal="center" vertical="center" wrapText="1"/>
    </xf>
    <xf numFmtId="49" fontId="79" fillId="7" borderId="12">
      <alignment horizontal="left" vertical="center" wrapText="1"/>
      <protection locked="0"/>
    </xf>
    <xf numFmtId="49" fontId="79" fillId="0" borderId="25" applyFill="0">
      <alignment horizontal="center" vertical="center" wrapText="1"/>
    </xf>
    <xf numFmtId="49" fontId="79" fillId="10" borderId="26">
      <alignment horizontal="center" vertical="center"/>
    </xf>
    <xf numFmtId="49" fontId="79" fillId="10" borderId="16">
      <alignment horizontal="center" vertical="center"/>
    </xf>
    <xf numFmtId="49" fontId="8" fillId="0" borderId="21" applyFill="0">
      <alignment horizontal="center" vertical="top" wrapText="1"/>
    </xf>
    <xf numFmtId="49" fontId="79" fillId="0" borderId="19" applyFill="0">
      <alignment vertical="top"/>
    </xf>
    <xf numFmtId="49" fontId="79" fillId="0" borderId="20" applyFill="0">
      <alignment vertical="top"/>
    </xf>
    <xf numFmtId="0" fontId="8" fillId="9" borderId="14">
      <alignment horizontal="left" vertical="top" wrapText="1"/>
    </xf>
    <xf numFmtId="0" fontId="79" fillId="9" borderId="14">
      <alignment horizontal="left" vertical="center" wrapText="1"/>
    </xf>
    <xf numFmtId="0" fontId="29" fillId="10" borderId="12">
      <alignment horizontal="left" vertical="center"/>
    </xf>
    <xf numFmtId="0" fontId="29" fillId="10" borderId="16">
      <alignment horizontal="left" vertical="center"/>
    </xf>
    <xf numFmtId="0" fontId="29" fillId="10" borderId="11">
      <alignment horizontal="left" vertical="center"/>
    </xf>
    <xf numFmtId="49" fontId="79" fillId="9" borderId="14">
      <alignment horizontal="left" vertical="top"/>
    </xf>
    <xf numFmtId="49" fontId="79" fillId="4" borderId="14">
      <alignment horizontal="left" vertical="top"/>
      <protection locked="0"/>
    </xf>
    <xf numFmtId="49" fontId="79" fillId="9" borderId="14">
      <alignment horizontal="left" vertical="center" wrapText="1"/>
    </xf>
    <xf numFmtId="0" fontId="79" fillId="10" borderId="16">
      <alignment vertical="center"/>
    </xf>
    <xf numFmtId="49" fontId="79" fillId="0" borderId="33" applyFill="0">
      <alignment horizontal="left" vertical="top"/>
    </xf>
    <xf numFmtId="49" fontId="79" fillId="9" borderId="33">
      <alignment horizontal="left" vertical="top"/>
    </xf>
    <xf numFmtId="49" fontId="79" fillId="4" borderId="33">
      <alignment horizontal="left" vertical="top"/>
      <protection locked="0"/>
    </xf>
    <xf numFmtId="49" fontId="8" fillId="9" borderId="0" applyBorder="0">
      <alignment horizontal="center" vertical="center" wrapText="1"/>
    </xf>
    <xf numFmtId="0" fontId="29" fillId="0" borderId="33" applyFill="0">
      <alignment horizontal="left" vertical="center"/>
    </xf>
    <xf numFmtId="49" fontId="79" fillId="9" borderId="33">
      <alignment horizontal="left" vertical="center" wrapText="1"/>
    </xf>
    <xf numFmtId="0" fontId="29" fillId="4" borderId="33">
      <alignment horizontal="left" vertical="center"/>
      <protection locked="0"/>
    </xf>
    <xf numFmtId="0" fontId="29" fillId="7" borderId="33">
      <alignment horizontal="left" vertical="center"/>
      <protection locked="0"/>
    </xf>
    <xf numFmtId="49" fontId="25" fillId="0" borderId="12" applyFill="0">
      <alignment horizontal="left" vertical="center" wrapText="1"/>
    </xf>
    <xf numFmtId="0" fontId="25" fillId="0" borderId="12" applyFill="0">
      <alignment horizontal="left" vertical="center"/>
    </xf>
    <xf numFmtId="0" fontId="25" fillId="0" borderId="16" applyFill="0">
      <alignment horizontal="left" vertical="center"/>
    </xf>
    <xf numFmtId="0" fontId="29" fillId="10" borderId="25">
      <alignment horizontal="left" vertical="center"/>
    </xf>
    <xf numFmtId="49" fontId="79" fillId="4" borderId="33">
      <alignment vertical="top"/>
      <protection locked="0"/>
    </xf>
    <xf numFmtId="49" fontId="8" fillId="0" borderId="33" applyFill="0">
      <alignment horizontal="center" vertical="center"/>
    </xf>
    <xf numFmtId="49" fontId="8" fillId="0" borderId="33" applyFill="0">
      <alignment vertical="center" wrapText="1"/>
    </xf>
    <xf numFmtId="0" fontId="8" fillId="0" borderId="20" applyFill="0">
      <alignment horizontal="center" vertical="center"/>
    </xf>
    <xf numFmtId="49" fontId="31" fillId="0" borderId="33" applyFill="0">
      <alignment vertical="center" wrapText="1"/>
    </xf>
    <xf numFmtId="0" fontId="8" fillId="9" borderId="23">
      <alignment horizontal="left" vertical="center" wrapText="1"/>
    </xf>
    <xf numFmtId="49" fontId="8" fillId="9" borderId="23">
      <alignment horizontal="left" vertical="center" wrapText="1"/>
    </xf>
    <xf numFmtId="0" fontId="8" fillId="0" borderId="33" applyFill="0">
      <alignment horizontal="left" vertical="center" wrapText="1"/>
    </xf>
    <xf numFmtId="49" fontId="8" fillId="0" borderId="33" applyFill="0">
      <alignment horizontal="left" vertical="center" wrapText="1"/>
    </xf>
    <xf numFmtId="0" fontId="8" fillId="9" borderId="33">
      <alignment horizontal="left" vertical="center" wrapText="1"/>
    </xf>
    <xf numFmtId="0" fontId="29" fillId="0" borderId="21" applyFill="0">
      <alignment horizontal="left" vertical="center"/>
    </xf>
    <xf numFmtId="0" fontId="29" fillId="10" borderId="24">
      <alignment horizontal="left" vertical="center"/>
    </xf>
    <xf numFmtId="0" fontId="29" fillId="10" borderId="17">
      <alignment horizontal="left" vertical="center"/>
    </xf>
    <xf numFmtId="0" fontId="29" fillId="10" borderId="18">
      <alignment horizontal="left" vertical="center"/>
    </xf>
    <xf numFmtId="49" fontId="8" fillId="7" borderId="23">
      <alignment horizontal="left" vertical="center" wrapText="1"/>
      <protection locked="0"/>
    </xf>
    <xf numFmtId="49" fontId="31" fillId="0" borderId="33" applyFill="0">
      <alignment horizontal="center" vertical="center" wrapText="1"/>
    </xf>
    <xf numFmtId="0" fontId="29" fillId="10" borderId="24">
      <alignment vertical="center"/>
    </xf>
    <xf numFmtId="49" fontId="8" fillId="4" borderId="23">
      <alignment horizontal="left" vertical="center" wrapText="1"/>
      <protection locked="0"/>
    </xf>
    <xf numFmtId="49" fontId="37" fillId="10" borderId="12">
      <alignment vertical="top"/>
    </xf>
    <xf numFmtId="49" fontId="37" fillId="10" borderId="16">
      <alignment vertical="top"/>
    </xf>
    <xf numFmtId="49" fontId="76" fillId="0" borderId="14" applyFill="0">
      <alignment vertical="top" wrapText="1"/>
    </xf>
    <xf numFmtId="49" fontId="14" fillId="0" borderId="14" applyFill="0">
      <alignment horizontal="center" vertical="top" wrapText="1"/>
    </xf>
    <xf numFmtId="49" fontId="14" fillId="20" borderId="14">
      <alignment horizontal="center" vertical="top"/>
    </xf>
    <xf numFmtId="49" fontId="14" fillId="0" borderId="14" applyFill="0">
      <alignment vertical="top" wrapText="1"/>
    </xf>
    <xf numFmtId="0" fontId="14" fillId="0" borderId="14" applyFill="0">
      <alignment vertical="top" wrapText="1"/>
    </xf>
    <xf numFmtId="49" fontId="14" fillId="0" borderId="14" applyFill="0">
      <alignment vertical="top"/>
    </xf>
    <xf numFmtId="49" fontId="76" fillId="0" borderId="14" applyFill="0">
      <alignment vertical="top"/>
    </xf>
    <xf numFmtId="0" fontId="76" fillId="0" borderId="14" applyFill="0">
      <alignment vertical="top" wrapText="1"/>
    </xf>
    <xf numFmtId="49" fontId="76" fillId="0" borderId="14" applyFill="0">
      <alignment horizontal="center" vertical="top" wrapText="1"/>
    </xf>
    <xf numFmtId="49" fontId="76" fillId="20" borderId="14">
      <alignment horizontal="center" vertical="top" wrapText="1"/>
    </xf>
    <xf numFmtId="49" fontId="14" fillId="20" borderId="14">
      <alignment horizontal="center" vertical="top" wrapText="1"/>
    </xf>
    <xf numFmtId="49" fontId="76" fillId="0" borderId="14" applyFill="0">
      <alignment horizontal="left" vertical="top" wrapText="1"/>
    </xf>
    <xf numFmtId="0" fontId="14" fillId="20" borderId="14">
      <alignment horizontal="center" vertical="top" wrapText="1"/>
    </xf>
    <xf numFmtId="0" fontId="76" fillId="20" borderId="14">
      <alignment horizontal="right" vertical="center" wrapText="1"/>
    </xf>
    <xf numFmtId="49" fontId="76" fillId="0" borderId="12" applyFill="0">
      <alignment horizontal="center" vertical="top" wrapText="1"/>
    </xf>
    <xf numFmtId="49" fontId="76" fillId="0" borderId="16" applyFill="0">
      <alignment horizontal="center" vertical="top" wrapText="1"/>
    </xf>
    <xf numFmtId="49" fontId="76" fillId="0" borderId="11" applyFill="0">
      <alignment horizontal="center" vertical="top" wrapText="1"/>
    </xf>
    <xf numFmtId="0" fontId="76" fillId="0" borderId="14" applyFill="0">
      <alignment horizontal="left" vertical="top" wrapText="1"/>
    </xf>
    <xf numFmtId="49" fontId="76" fillId="20" borderId="14">
      <alignment horizontal="left" vertical="top" wrapText="1"/>
    </xf>
    <xf numFmtId="0" fontId="76" fillId="20" borderId="14">
      <alignment horizontal="center" vertical="center" wrapText="1"/>
    </xf>
    <xf numFmtId="49" fontId="76" fillId="0" borderId="23" applyFill="0">
      <alignment horizontal="center" vertical="top" wrapText="1"/>
    </xf>
    <xf numFmtId="49" fontId="76" fillId="0" borderId="33" applyFill="0">
      <alignment horizontal="center" vertical="top" wrapText="1"/>
    </xf>
    <xf numFmtId="0" fontId="76" fillId="0" borderId="23" applyFill="0">
      <alignment horizontal="left" vertical="top" wrapText="1"/>
    </xf>
    <xf numFmtId="49" fontId="76" fillId="0" borderId="24" applyFill="0">
      <alignment horizontal="center" vertical="top" wrapText="1"/>
    </xf>
    <xf numFmtId="0" fontId="76" fillId="0" borderId="11" applyFill="0">
      <alignment horizontal="left" vertical="top" wrapText="1"/>
    </xf>
    <xf numFmtId="49" fontId="76" fillId="0" borderId="21" applyFill="0">
      <alignment horizontal="center" vertical="top" wrapText="1"/>
    </xf>
    <xf numFmtId="49" fontId="76" fillId="0" borderId="26" applyFill="0">
      <alignment horizontal="center" vertical="top" wrapText="1"/>
    </xf>
    <xf numFmtId="49" fontId="76" fillId="0" borderId="19" applyFill="0">
      <alignment horizontal="center" vertical="top" wrapText="1"/>
    </xf>
    <xf numFmtId="0" fontId="76" fillId="0" borderId="23" applyFill="0">
      <alignment vertical="top" wrapText="1"/>
    </xf>
    <xf numFmtId="49" fontId="14" fillId="0" borderId="14" applyFill="0">
      <alignment horizontal="left" vertical="top" wrapText="1"/>
    </xf>
    <xf numFmtId="0" fontId="14" fillId="0" borderId="12" applyFill="0">
      <alignment horizontal="center" vertical="center" wrapText="1"/>
    </xf>
    <xf numFmtId="0" fontId="14" fillId="0" borderId="12" applyFill="0">
      <alignment horizontal="center" vertical="center"/>
    </xf>
    <xf numFmtId="49" fontId="14" fillId="0" borderId="14" applyFill="0">
      <alignment horizontal="center" vertical="center" wrapText="1"/>
    </xf>
    <xf numFmtId="0" fontId="14" fillId="0" borderId="14" applyFill="0">
      <alignment vertical="center" wrapText="1"/>
    </xf>
    <xf numFmtId="49" fontId="76" fillId="0" borderId="12" applyFill="0">
      <alignment horizontal="left" vertical="top" wrapText="1"/>
    </xf>
    <xf numFmtId="0" fontId="14" fillId="0" borderId="14" applyFill="0">
      <alignment horizontal="center" vertical="center" wrapText="1"/>
    </xf>
    <xf numFmtId="0" fontId="14" fillId="0" borderId="23" applyFill="0">
      <alignment vertical="center" wrapText="1"/>
    </xf>
    <xf numFmtId="0" fontId="14" fillId="0" borderId="21" applyFill="0">
      <alignment vertical="center" wrapText="1"/>
    </xf>
    <xf numFmtId="49" fontId="76" fillId="0" borderId="26" applyFill="0">
      <alignment horizontal="left" vertical="top" wrapText="1"/>
    </xf>
    <xf numFmtId="49" fontId="76" fillId="0" borderId="11" applyFill="0">
      <alignment horizontal="left" vertical="top" wrapText="1"/>
    </xf>
    <xf numFmtId="49" fontId="14" fillId="0" borderId="23" applyFill="0">
      <alignment horizontal="center" vertical="center" wrapText="1"/>
    </xf>
    <xf numFmtId="49" fontId="14" fillId="0" borderId="21" applyFill="0">
      <alignment horizontal="center" vertical="center" wrapText="1"/>
    </xf>
    <xf numFmtId="0" fontId="14" fillId="0" borderId="23" applyFill="0">
      <alignment horizontal="center" vertical="center" wrapText="1"/>
    </xf>
    <xf numFmtId="49" fontId="76" fillId="0" borderId="33" applyFill="0">
      <alignment horizontal="left" vertical="top" wrapText="1"/>
    </xf>
    <xf numFmtId="0" fontId="76" fillId="0" borderId="33" applyFill="0">
      <alignment horizontal="left" vertical="top" wrapText="1"/>
    </xf>
    <xf numFmtId="0" fontId="3" fillId="0" borderId="17" applyFill="0">
      <alignment horizontal="left" vertical="center" wrapText="1" indent="1"/>
    </xf>
    <xf numFmtId="0" fontId="3" fillId="0" borderId="36" applyFill="0">
      <alignment horizontal="left" vertical="center" wrapText="1" indent="1"/>
    </xf>
    <xf numFmtId="4" fontId="8" fillId="6" borderId="14">
      <alignment horizontal="left" vertical="center" wrapText="1"/>
    </xf>
    <xf numFmtId="49" fontId="54" fillId="10" borderId="12">
      <alignment horizontal="left" vertical="center"/>
    </xf>
    <xf numFmtId="49" fontId="77" fillId="10" borderId="16">
      <alignment horizontal="left" vertical="center" indent="3"/>
    </xf>
    <xf numFmtId="49" fontId="36" fillId="10" borderId="16">
      <alignment horizontal="center" vertical="center" wrapText="1"/>
    </xf>
    <xf numFmtId="49" fontId="37" fillId="10" borderId="16">
      <alignment horizontal="center" vertical="center" wrapText="1"/>
    </xf>
    <xf numFmtId="49" fontId="37" fillId="10" borderId="11">
      <alignment horizontal="center" vertical="center" wrapText="1"/>
    </xf>
    <xf numFmtId="49" fontId="77" fillId="10" borderId="16">
      <alignment horizontal="left" vertical="center" indent="2"/>
    </xf>
    <xf numFmtId="49" fontId="77" fillId="10" borderId="16">
      <alignment horizontal="left" vertical="center" indent="1"/>
    </xf>
    <xf numFmtId="49" fontId="37" fillId="10" borderId="12">
      <alignment horizontal="left" vertical="top"/>
    </xf>
    <xf numFmtId="49" fontId="77" fillId="10" borderId="16">
      <alignment horizontal="left" vertical="center"/>
    </xf>
    <xf numFmtId="49" fontId="79" fillId="0" borderId="14" applyFill="0">
      <alignment horizontal="center" vertical="top"/>
    </xf>
    <xf numFmtId="49" fontId="79" fillId="0" borderId="12" applyFill="0">
      <alignment horizontal="center" vertical="top"/>
    </xf>
    <xf numFmtId="49" fontId="79" fillId="24" borderId="23">
      <alignment vertical="top"/>
    </xf>
    <xf numFmtId="49" fontId="79" fillId="25" borderId="14">
      <alignment vertical="top"/>
    </xf>
    <xf numFmtId="49" fontId="79" fillId="0" borderId="16" applyFill="0">
      <alignment horizontal="center" vertical="top"/>
    </xf>
    <xf numFmtId="49" fontId="79" fillId="26" borderId="14">
      <alignment vertical="top"/>
    </xf>
    <xf numFmtId="49" fontId="79" fillId="27" borderId="14">
      <alignment vertical="top"/>
    </xf>
    <xf numFmtId="49" fontId="79" fillId="28" borderId="23">
      <alignment vertical="top"/>
    </xf>
    <xf numFmtId="49" fontId="79" fillId="29" borderId="12">
      <alignment vertical="top"/>
    </xf>
    <xf numFmtId="49" fontId="79" fillId="29" borderId="14">
      <alignment vertical="top"/>
    </xf>
    <xf numFmtId="49" fontId="79" fillId="28" borderId="14">
      <alignment vertical="top"/>
    </xf>
    <xf numFmtId="49" fontId="79" fillId="8" borderId="0" applyBorder="0">
      <alignment vertical="top"/>
    </xf>
    <xf numFmtId="0" fontId="79" fillId="0" borderId="0" applyFill="0" applyBorder="0"/>
    <xf numFmtId="49" fontId="8" fillId="6" borderId="51">
      <alignment horizontal="center" vertical="top"/>
    </xf>
    <xf numFmtId="49" fontId="78" fillId="0" borderId="15" applyFill="0">
      <alignment vertical="top" wrapText="1"/>
    </xf>
    <xf numFmtId="0" fontId="79" fillId="0" borderId="15" applyFill="0">
      <alignment vertical="top" wrapText="1"/>
    </xf>
    <xf numFmtId="0" fontId="3" fillId="0" borderId="65" applyFill="0">
      <alignment vertical="top" wrapText="1"/>
    </xf>
    <xf numFmtId="0" fontId="79" fillId="0" borderId="14" applyFill="0">
      <alignment vertical="top" wrapText="1"/>
    </xf>
    <xf numFmtId="49" fontId="79" fillId="0" borderId="23" applyFill="0">
      <alignment vertical="top"/>
    </xf>
    <xf numFmtId="0" fontId="12" fillId="0" borderId="15" applyFill="0">
      <alignment vertical="center" wrapText="1"/>
    </xf>
    <xf numFmtId="0" fontId="3" fillId="0" borderId="0" applyFill="0" applyBorder="0">
      <alignment vertical="top" wrapText="1"/>
    </xf>
    <xf numFmtId="0" fontId="8" fillId="0" borderId="15" applyFill="0">
      <alignment vertical="center" wrapText="1"/>
    </xf>
  </cellStyleXfs>
  <cellXfs count="1278">
    <xf numFmtId="49" fontId="0" fillId="0" borderId="0" xfId="0" applyNumberFormat="1" applyFont="1">
      <alignment vertical="top"/>
    </xf>
    <xf numFmtId="0" fontId="7" fillId="0" borderId="0" xfId="29" applyFont="1">
      <alignment vertical="center" wrapText="1"/>
    </xf>
    <xf numFmtId="0" fontId="9" fillId="0" borderId="0" xfId="31" applyFont="1">
      <alignment vertical="center" wrapText="1"/>
    </xf>
    <xf numFmtId="0" fontId="8" fillId="0" borderId="0" xfId="33" applyFont="1">
      <alignment vertical="center" wrapText="1"/>
    </xf>
    <xf numFmtId="0" fontId="10" fillId="8" borderId="0" xfId="34" applyFont="1" applyFill="1">
      <alignment vertical="center" wrapText="1"/>
    </xf>
    <xf numFmtId="0" fontId="10" fillId="0" borderId="0" xfId="35" applyFont="1">
      <alignment vertical="center" wrapText="1"/>
    </xf>
    <xf numFmtId="0" fontId="8" fillId="0" borderId="11" xfId="37" applyFont="1" applyBorder="1">
      <alignment horizontal="center" vertical="center" wrapText="1"/>
    </xf>
    <xf numFmtId="0" fontId="8" fillId="0" borderId="12" xfId="38" applyFont="1" applyBorder="1">
      <alignment horizontal="center" vertical="center" wrapText="1"/>
    </xf>
    <xf numFmtId="0" fontId="8" fillId="8" borderId="0" xfId="47" applyFont="1" applyFill="1">
      <alignment horizontal="center" vertical="center" wrapText="1"/>
    </xf>
    <xf numFmtId="0" fontId="8" fillId="0" borderId="0" xfId="49" applyFont="1">
      <alignment horizontal="left" vertical="center" wrapText="1"/>
    </xf>
    <xf numFmtId="168" fontId="0" fillId="7" borderId="14" xfId="52" applyNumberFormat="1" applyFont="1" applyFill="1" applyBorder="1">
      <alignment horizontal="left" vertical="center" wrapText="1" indent="1"/>
      <protection locked="0"/>
    </xf>
    <xf numFmtId="0" fontId="18" fillId="0" borderId="0" xfId="54" applyFont="1">
      <alignment vertical="center" wrapText="1"/>
    </xf>
    <xf numFmtId="0" fontId="8" fillId="8" borderId="0" xfId="55" applyFont="1" applyFill="1">
      <alignment vertical="center" wrapText="1"/>
    </xf>
    <xf numFmtId="49" fontId="18" fillId="0" borderId="0" xfId="58" applyNumberFormat="1" applyFont="1">
      <alignment vertical="center" wrapText="1"/>
    </xf>
    <xf numFmtId="0" fontId="0" fillId="7" borderId="14" xfId="59" applyFont="1" applyFill="1" applyBorder="1">
      <alignment horizontal="left" vertical="center" wrapText="1" indent="1"/>
      <protection locked="0"/>
    </xf>
    <xf numFmtId="49" fontId="8" fillId="7" borderId="14" xfId="60" applyNumberFormat="1" applyFont="1" applyFill="1" applyBorder="1">
      <alignment horizontal="left" vertical="center" wrapText="1" indent="1"/>
      <protection locked="0"/>
    </xf>
    <xf numFmtId="168" fontId="0" fillId="0" borderId="14" xfId="61" applyNumberFormat="1" applyFont="1" applyBorder="1">
      <alignment horizontal="left" vertical="center" wrapText="1" indent="1"/>
    </xf>
    <xf numFmtId="0" fontId="8" fillId="0" borderId="0" xfId="65" applyFont="1">
      <alignment horizontal="center" vertical="center" wrapText="1"/>
    </xf>
    <xf numFmtId="0" fontId="8" fillId="7" borderId="14" xfId="74" applyFont="1" applyFill="1" applyBorder="1">
      <alignment horizontal="left" vertical="center" wrapText="1" indent="1"/>
      <protection locked="0"/>
    </xf>
    <xf numFmtId="0" fontId="8" fillId="9" borderId="14" xfId="78" applyFont="1" applyFill="1" applyBorder="1">
      <alignment horizontal="left" vertical="center" wrapText="1" indent="1"/>
    </xf>
    <xf numFmtId="49" fontId="18" fillId="0" borderId="0" xfId="84" applyNumberFormat="1" applyFont="1">
      <alignment horizontal="center" vertical="center" wrapText="1"/>
    </xf>
    <xf numFmtId="0" fontId="25" fillId="0" borderId="0" xfId="90" applyFont="1">
      <alignment horizontal="left" vertical="center" indent="1"/>
    </xf>
    <xf numFmtId="0" fontId="25" fillId="0" borderId="0" xfId="91" applyFont="1">
      <alignment horizontal="center" vertical="center" wrapText="1"/>
    </xf>
    <xf numFmtId="0" fontId="25" fillId="0" borderId="0" xfId="92" applyFont="1">
      <alignment horizontal="left" vertical="center" wrapText="1" indent="1"/>
    </xf>
    <xf numFmtId="0" fontId="25" fillId="0" borderId="0" xfId="93" applyFont="1">
      <alignment vertical="center" wrapText="1"/>
    </xf>
    <xf numFmtId="0" fontId="27" fillId="0" borderId="0" xfId="95" applyFont="1">
      <alignment vertical="center" wrapText="1"/>
    </xf>
    <xf numFmtId="0" fontId="8" fillId="0" borderId="16" xfId="97" applyFont="1" applyBorder="1">
      <alignment horizontal="center" vertical="center" wrapText="1"/>
    </xf>
    <xf numFmtId="4" fontId="8" fillId="0" borderId="14" xfId="98" applyNumberFormat="1" applyFont="1" applyBorder="1">
      <alignment horizontal="center" vertical="center" wrapText="1"/>
    </xf>
    <xf numFmtId="169" fontId="8" fillId="0" borderId="14" xfId="100" applyNumberFormat="1" applyFont="1" applyBorder="1">
      <alignment horizontal="center" vertical="center" wrapText="1"/>
    </xf>
    <xf numFmtId="0" fontId="25" fillId="0" borderId="0" xfId="106" applyFont="1">
      <alignment vertical="center"/>
    </xf>
    <xf numFmtId="0" fontId="8" fillId="0" borderId="14" xfId="107" applyFont="1" applyBorder="1">
      <alignment horizontal="center" vertical="center" wrapText="1"/>
    </xf>
    <xf numFmtId="0" fontId="25" fillId="0" borderId="14" xfId="108" applyFont="1" applyBorder="1">
      <alignment horizontal="center" vertical="center" wrapText="1"/>
    </xf>
    <xf numFmtId="49" fontId="8" fillId="7" borderId="14" xfId="109" applyNumberFormat="1" applyFont="1" applyFill="1" applyBorder="1">
      <alignment vertical="center" wrapText="1"/>
      <protection locked="0"/>
    </xf>
    <xf numFmtId="49" fontId="18" fillId="0" borderId="14" xfId="110" applyNumberFormat="1" applyFont="1" applyBorder="1">
      <alignment horizontal="left" vertical="center" wrapText="1"/>
    </xf>
    <xf numFmtId="0" fontId="28" fillId="0" borderId="20" xfId="111" applyFont="1" applyBorder="1">
      <alignment vertical="top" wrapText="1"/>
    </xf>
    <xf numFmtId="0" fontId="8" fillId="0" borderId="21" xfId="112" applyFont="1" applyBorder="1">
      <alignment horizontal="center" vertical="center" wrapText="1"/>
    </xf>
    <xf numFmtId="0" fontId="25" fillId="0" borderId="21" xfId="113" applyFont="1" applyBorder="1">
      <alignment horizontal="center" vertical="center" wrapText="1"/>
    </xf>
    <xf numFmtId="14" fontId="8" fillId="9" borderId="21" xfId="114" applyNumberFormat="1" applyFont="1" applyFill="1" applyBorder="1">
      <alignment horizontal="left" vertical="center" wrapText="1" indent="1"/>
    </xf>
    <xf numFmtId="49" fontId="8" fillId="6" borderId="21" xfId="115" applyNumberFormat="1" applyFont="1" applyFill="1" applyBorder="1">
      <alignment horizontal="center" vertical="center" wrapText="1"/>
    </xf>
    <xf numFmtId="49" fontId="0" fillId="0" borderId="0" xfId="116" applyNumberFormat="1" applyFont="1">
      <alignment vertical="top"/>
    </xf>
    <xf numFmtId="49" fontId="12" fillId="10" borderId="12" xfId="117" applyNumberFormat="1" applyFont="1" applyFill="1" applyBorder="1">
      <alignment horizontal="right" vertical="center" wrapText="1"/>
    </xf>
    <xf numFmtId="49" fontId="12" fillId="10" borderId="16" xfId="118" applyNumberFormat="1" applyFont="1" applyFill="1" applyBorder="1">
      <alignment horizontal="right" vertical="center" wrapText="1"/>
    </xf>
    <xf numFmtId="49" fontId="29" fillId="10" borderId="16" xfId="119" applyNumberFormat="1" applyFont="1" applyFill="1" applyBorder="1">
      <alignment horizontal="left" vertical="center" indent="1"/>
    </xf>
    <xf numFmtId="49" fontId="0" fillId="10" borderId="16" xfId="120" applyNumberFormat="1" applyFont="1" applyFill="1" applyBorder="1">
      <alignment horizontal="right" vertical="center" wrapText="1"/>
    </xf>
    <xf numFmtId="49" fontId="0" fillId="10" borderId="11" xfId="121" applyNumberFormat="1" applyFont="1" applyFill="1" applyBorder="1">
      <alignment horizontal="right" vertical="center" wrapText="1"/>
    </xf>
    <xf numFmtId="49" fontId="29" fillId="10" borderId="16" xfId="124" applyNumberFormat="1" applyFont="1" applyFill="1" applyBorder="1">
      <alignment horizontal="left" vertical="center"/>
    </xf>
    <xf numFmtId="0" fontId="8" fillId="0" borderId="22" xfId="126" applyFont="1" applyBorder="1">
      <alignment vertical="center" wrapText="1"/>
    </xf>
    <xf numFmtId="0" fontId="30" fillId="0" borderId="0" xfId="127" applyFont="1">
      <alignment vertical="center" wrapText="1"/>
    </xf>
    <xf numFmtId="0" fontId="31" fillId="0" borderId="0" xfId="128" applyFont="1">
      <alignment horizontal="center" vertical="center" wrapText="1"/>
    </xf>
    <xf numFmtId="0" fontId="32" fillId="0" borderId="0" xfId="129" applyFont="1">
      <alignment vertical="center"/>
    </xf>
    <xf numFmtId="0" fontId="0" fillId="0" borderId="0" xfId="130" applyFont="1">
      <alignment vertical="center"/>
    </xf>
    <xf numFmtId="0" fontId="8" fillId="0" borderId="23" xfId="132" applyFont="1" applyBorder="1">
      <alignment horizontal="left" vertical="center" wrapText="1" indent="1"/>
    </xf>
    <xf numFmtId="0" fontId="33" fillId="0" borderId="0" xfId="137" applyFont="1">
      <alignment vertical="center"/>
    </xf>
    <xf numFmtId="0" fontId="18" fillId="0" borderId="19" xfId="145" applyFont="1" applyBorder="1">
      <alignment vertical="center"/>
    </xf>
    <xf numFmtId="49" fontId="8" fillId="10" borderId="16" xfId="152" applyNumberFormat="1" applyFont="1" applyFill="1" applyBorder="1">
      <alignment horizontal="center" vertical="center" wrapText="1"/>
    </xf>
    <xf numFmtId="49" fontId="8" fillId="0" borderId="14" xfId="156" applyNumberFormat="1" applyFont="1" applyBorder="1">
      <alignment horizontal="center" vertical="center" wrapText="1"/>
    </xf>
    <xf numFmtId="49" fontId="8" fillId="9" borderId="14" xfId="162" applyNumberFormat="1" applyFont="1" applyFill="1" applyBorder="1">
      <alignment horizontal="center" vertical="center" wrapText="1"/>
    </xf>
    <xf numFmtId="49" fontId="8" fillId="0" borderId="23" xfId="163" applyNumberFormat="1" applyFont="1" applyBorder="1">
      <alignment horizontal="center" vertical="center" wrapText="1"/>
    </xf>
    <xf numFmtId="49" fontId="34" fillId="0" borderId="14" xfId="164" applyNumberFormat="1" applyFont="1" applyBorder="1">
      <alignment horizontal="left" vertical="center" wrapText="1" indent="1"/>
    </xf>
    <xf numFmtId="0" fontId="8" fillId="0" borderId="0" xfId="165" applyFont="1">
      <alignment vertical="center"/>
    </xf>
    <xf numFmtId="0" fontId="18" fillId="0" borderId="0" xfId="166" applyFont="1">
      <alignment vertical="center"/>
    </xf>
    <xf numFmtId="49" fontId="29" fillId="10" borderId="11" xfId="169" applyNumberFormat="1" applyFont="1" applyFill="1" applyBorder="1">
      <alignment horizontal="left" vertical="center" indent="1"/>
    </xf>
    <xf numFmtId="49" fontId="12" fillId="10" borderId="11" xfId="173" applyNumberFormat="1" applyFont="1" applyFill="1" applyBorder="1">
      <alignment horizontal="right" vertical="center" wrapText="1"/>
    </xf>
    <xf numFmtId="49" fontId="29" fillId="10" borderId="16" xfId="175" applyNumberFormat="1" applyFont="1" applyFill="1" applyBorder="1">
      <alignment horizontal="left" vertical="center" indent="2"/>
    </xf>
    <xf numFmtId="0" fontId="37" fillId="0" borderId="0" xfId="183" applyFont="1">
      <alignment vertical="center"/>
    </xf>
    <xf numFmtId="0" fontId="0" fillId="0" borderId="14" xfId="184" applyFont="1" applyBorder="1">
      <alignment horizontal="center" vertical="center" wrapText="1"/>
    </xf>
    <xf numFmtId="49" fontId="25" fillId="8" borderId="0" xfId="185" applyNumberFormat="1" applyFont="1" applyFill="1">
      <alignment horizontal="center" vertical="center" wrapText="1"/>
    </xf>
    <xf numFmtId="0" fontId="25" fillId="0" borderId="14" xfId="187" applyFont="1" applyBorder="1">
      <alignment horizontal="center" vertical="center"/>
    </xf>
    <xf numFmtId="0" fontId="0" fillId="0" borderId="14" xfId="188" applyFont="1" applyBorder="1">
      <alignment horizontal="center" vertical="center"/>
    </xf>
    <xf numFmtId="49" fontId="0" fillId="0" borderId="14" xfId="189" applyNumberFormat="1" applyFont="1" applyBorder="1">
      <alignment horizontal="center" vertical="center"/>
    </xf>
    <xf numFmtId="49" fontId="0" fillId="0" borderId="14" xfId="190" applyNumberFormat="1" applyFont="1" applyBorder="1">
      <alignment horizontal="left" vertical="center"/>
    </xf>
    <xf numFmtId="0" fontId="8" fillId="0" borderId="14" xfId="192" applyFont="1" applyBorder="1">
      <alignment horizontal="left" vertical="top" wrapText="1"/>
    </xf>
    <xf numFmtId="49" fontId="8" fillId="0" borderId="17" xfId="196" applyNumberFormat="1" applyFont="1" applyBorder="1">
      <alignment horizontal="left" vertical="center" wrapText="1"/>
    </xf>
    <xf numFmtId="49" fontId="8" fillId="0" borderId="17" xfId="197" applyNumberFormat="1" applyFont="1" applyBorder="1">
      <alignment horizontal="center" vertical="center" wrapText="1"/>
    </xf>
    <xf numFmtId="49" fontId="0" fillId="0" borderId="17" xfId="199" applyNumberFormat="1" applyFont="1" applyBorder="1">
      <alignment horizontal="left" vertical="center" wrapText="1"/>
    </xf>
    <xf numFmtId="49" fontId="8" fillId="0" borderId="18" xfId="200" applyNumberFormat="1" applyFont="1" applyBorder="1">
      <alignment horizontal="left" vertical="center" wrapText="1"/>
    </xf>
    <xf numFmtId="0" fontId="8" fillId="0" borderId="0" xfId="201" applyFont="1">
      <alignment horizontal="left" vertical="center" indent="1"/>
    </xf>
    <xf numFmtId="0" fontId="8" fillId="9" borderId="33" xfId="202" applyFont="1" applyFill="1" applyBorder="1">
      <alignment horizontal="center" vertical="top" wrapText="1"/>
    </xf>
    <xf numFmtId="0" fontId="29" fillId="0" borderId="20" xfId="204" applyFont="1" applyBorder="1">
      <alignment horizontal="left" vertical="center"/>
    </xf>
    <xf numFmtId="49" fontId="0" fillId="0" borderId="14" xfId="205" applyNumberFormat="1" applyFont="1" applyBorder="1">
      <alignment vertical="top"/>
    </xf>
    <xf numFmtId="0" fontId="29" fillId="0" borderId="26" xfId="208" applyFont="1" applyBorder="1">
      <alignment horizontal="left" vertical="center"/>
    </xf>
    <xf numFmtId="0" fontId="29" fillId="0" borderId="36" xfId="209" applyFont="1" applyBorder="1">
      <alignment horizontal="left" vertical="center"/>
    </xf>
    <xf numFmtId="0" fontId="0" fillId="0" borderId="36" xfId="210" applyFont="1" applyBorder="1">
      <alignment vertical="center"/>
    </xf>
    <xf numFmtId="0" fontId="29" fillId="0" borderId="25" xfId="211" applyFont="1" applyBorder="1">
      <alignment horizontal="left" vertical="center"/>
    </xf>
    <xf numFmtId="49" fontId="8" fillId="0" borderId="0" xfId="213" applyNumberFormat="1" applyFont="1">
      <alignment horizontal="left" vertical="center" indent="1"/>
    </xf>
    <xf numFmtId="0" fontId="8" fillId="0" borderId="33" xfId="218" applyFont="1" applyBorder="1">
      <alignment horizontal="left" vertical="top" wrapText="1"/>
    </xf>
    <xf numFmtId="49" fontId="25" fillId="0" borderId="0" xfId="223" applyNumberFormat="1" applyFont="1">
      <alignment vertical="top"/>
    </xf>
    <xf numFmtId="49" fontId="25" fillId="0" borderId="0" xfId="224" applyNumberFormat="1" applyFont="1">
      <alignment horizontal="center" vertical="center"/>
    </xf>
    <xf numFmtId="49" fontId="37" fillId="0" borderId="0" xfId="225" applyNumberFormat="1" applyFont="1">
      <alignment vertical="top"/>
    </xf>
    <xf numFmtId="0" fontId="8" fillId="0" borderId="24" xfId="228" applyFont="1" applyBorder="1">
      <alignment horizontal="center" vertical="center" wrapText="1"/>
    </xf>
    <xf numFmtId="0" fontId="8" fillId="0" borderId="18" xfId="229" applyFont="1" applyBorder="1">
      <alignment horizontal="center" vertical="center" wrapText="1"/>
    </xf>
    <xf numFmtId="0" fontId="8" fillId="0" borderId="33" xfId="230" applyFont="1" applyBorder="1">
      <alignment horizontal="center" vertical="center" wrapText="1"/>
    </xf>
    <xf numFmtId="0" fontId="8" fillId="0" borderId="23" xfId="231" applyFont="1" applyBorder="1">
      <alignment horizontal="center" vertical="center" wrapText="1"/>
    </xf>
    <xf numFmtId="0" fontId="8" fillId="0" borderId="19" xfId="232" applyFont="1" applyBorder="1">
      <alignment horizontal="center" vertical="center" wrapText="1"/>
    </xf>
    <xf numFmtId="49" fontId="8" fillId="0" borderId="0" xfId="236" applyNumberFormat="1" applyFont="1">
      <alignment vertical="top"/>
    </xf>
    <xf numFmtId="49" fontId="8" fillId="0" borderId="14" xfId="237" applyNumberFormat="1" applyFont="1" applyBorder="1">
      <alignment horizontal="center" vertical="center"/>
    </xf>
    <xf numFmtId="0" fontId="8" fillId="0" borderId="14" xfId="238" applyFont="1" applyBorder="1">
      <alignment horizontal="left" vertical="center" wrapText="1"/>
    </xf>
    <xf numFmtId="49" fontId="8" fillId="0" borderId="24" xfId="240" applyNumberFormat="1" applyFont="1" applyBorder="1">
      <alignment vertical="center" wrapText="1"/>
    </xf>
    <xf numFmtId="49" fontId="8" fillId="0" borderId="17" xfId="242" applyNumberFormat="1" applyFont="1" applyBorder="1">
      <alignment vertical="center" wrapText="1"/>
    </xf>
    <xf numFmtId="49" fontId="31" fillId="0" borderId="17" xfId="243" applyNumberFormat="1" applyFont="1" applyBorder="1">
      <alignment vertical="center" wrapText="1"/>
    </xf>
    <xf numFmtId="0" fontId="8" fillId="0" borderId="17" xfId="244" applyFont="1" applyBorder="1">
      <alignment horizontal="left" vertical="center" wrapText="1"/>
    </xf>
    <xf numFmtId="49" fontId="8" fillId="9" borderId="33" xfId="245" applyNumberFormat="1" applyFont="1" applyFill="1" applyBorder="1">
      <alignment horizontal="center" vertical="center" wrapText="1"/>
    </xf>
    <xf numFmtId="49" fontId="8" fillId="0" borderId="19" xfId="246" applyNumberFormat="1" applyFont="1" applyBorder="1">
      <alignment vertical="center" wrapText="1"/>
    </xf>
    <xf numFmtId="0" fontId="29" fillId="0" borderId="19" xfId="247" applyFont="1" applyBorder="1">
      <alignment horizontal="left" vertical="center"/>
    </xf>
    <xf numFmtId="49" fontId="8" fillId="0" borderId="23" xfId="248" applyNumberFormat="1" applyFont="1" applyBorder="1">
      <alignment horizontal="center" vertical="center"/>
    </xf>
    <xf numFmtId="0" fontId="8" fillId="0" borderId="23" xfId="249" applyFont="1" applyBorder="1">
      <alignment horizontal="left" vertical="center" wrapText="1"/>
    </xf>
    <xf numFmtId="49" fontId="37" fillId="0" borderId="26" xfId="251" applyNumberFormat="1" applyFont="1" applyBorder="1">
      <alignment vertical="top"/>
    </xf>
    <xf numFmtId="49" fontId="37" fillId="0" borderId="36" xfId="252" applyNumberFormat="1" applyFont="1" applyBorder="1">
      <alignment vertical="top"/>
    </xf>
    <xf numFmtId="49" fontId="9" fillId="0" borderId="0" xfId="253" applyNumberFormat="1" applyFont="1">
      <alignment vertical="top"/>
    </xf>
    <xf numFmtId="0" fontId="8" fillId="0" borderId="12" xfId="254" applyFont="1" applyBorder="1">
      <alignment horizontal="left" vertical="center" wrapText="1"/>
    </xf>
    <xf numFmtId="0" fontId="8" fillId="8" borderId="0" xfId="255" applyFont="1" applyFill="1"/>
    <xf numFmtId="0" fontId="0" fillId="8" borderId="0" xfId="256" applyFont="1" applyFill="1"/>
    <xf numFmtId="0" fontId="25" fillId="8" borderId="0" xfId="257" applyFont="1" applyFill="1"/>
    <xf numFmtId="0" fontId="21" fillId="8" borderId="0" xfId="258" applyFont="1" applyFill="1">
      <alignment horizontal="center"/>
    </xf>
    <xf numFmtId="0" fontId="21" fillId="8" borderId="0" xfId="259" applyFont="1" applyFill="1"/>
    <xf numFmtId="0" fontId="38" fillId="8" borderId="0" xfId="260" applyFont="1" applyFill="1">
      <alignment horizontal="right" vertical="center"/>
    </xf>
    <xf numFmtId="0" fontId="25" fillId="8" borderId="0" xfId="261" applyFont="1" applyFill="1">
      <alignment vertical="center" wrapText="1"/>
    </xf>
    <xf numFmtId="49" fontId="0" fillId="8" borderId="14" xfId="263" applyNumberFormat="1" applyFont="1" applyFill="1" applyBorder="1">
      <alignment horizontal="center" vertical="center" wrapText="1"/>
    </xf>
    <xf numFmtId="49" fontId="8" fillId="8" borderId="14" xfId="264" applyNumberFormat="1" applyFont="1" applyFill="1" applyBorder="1">
      <alignment horizontal="center" vertical="center" wrapText="1"/>
    </xf>
    <xf numFmtId="0" fontId="0" fillId="8" borderId="14" xfId="265" applyFont="1" applyFill="1" applyBorder="1">
      <alignment horizontal="center" vertical="center" wrapText="1"/>
    </xf>
    <xf numFmtId="0" fontId="8" fillId="8" borderId="14" xfId="266" applyFont="1" applyFill="1" applyBorder="1">
      <alignment horizontal="center" vertical="center" wrapText="1"/>
    </xf>
    <xf numFmtId="0" fontId="28" fillId="8" borderId="0" xfId="267" applyFont="1" applyFill="1">
      <alignment horizontal="center" vertical="center"/>
    </xf>
    <xf numFmtId="49" fontId="25" fillId="0" borderId="14" xfId="268" applyNumberFormat="1" applyFont="1" applyBorder="1">
      <alignment horizontal="center" vertical="center"/>
    </xf>
    <xf numFmtId="0" fontId="25" fillId="0" borderId="14" xfId="269" applyFont="1" applyBorder="1">
      <alignment vertical="center" wrapText="1"/>
    </xf>
    <xf numFmtId="0" fontId="25" fillId="0" borderId="14" xfId="270" applyFont="1" applyBorder="1">
      <alignment horizontal="left" vertical="center" wrapText="1"/>
    </xf>
    <xf numFmtId="0" fontId="39" fillId="8" borderId="0" xfId="271" applyFont="1" applyFill="1"/>
    <xf numFmtId="49" fontId="0" fillId="8" borderId="14" xfId="272" applyNumberFormat="1" applyFont="1" applyFill="1" applyBorder="1">
      <alignment horizontal="center" vertical="center"/>
    </xf>
    <xf numFmtId="0" fontId="0" fillId="8" borderId="14" xfId="273" applyFont="1" applyFill="1" applyBorder="1">
      <alignment vertical="center" wrapText="1"/>
    </xf>
    <xf numFmtId="0" fontId="8" fillId="8" borderId="14" xfId="274" applyFont="1" applyFill="1" applyBorder="1">
      <alignment vertical="center" wrapText="1"/>
    </xf>
    <xf numFmtId="0" fontId="0" fillId="8" borderId="14" xfId="275" applyFont="1" applyFill="1" applyBorder="1">
      <alignment horizontal="left" vertical="center" wrapText="1" indent="1"/>
    </xf>
    <xf numFmtId="49" fontId="0" fillId="7" borderId="14" xfId="276" applyNumberFormat="1" applyFont="1" applyFill="1" applyBorder="1">
      <alignment horizontal="left" vertical="center" wrapText="1"/>
      <protection locked="0"/>
    </xf>
    <xf numFmtId="0" fontId="25" fillId="0" borderId="14" xfId="277" applyFont="1" applyBorder="1">
      <alignment horizontal="left" vertical="center" wrapText="1" indent="1"/>
    </xf>
    <xf numFmtId="49" fontId="8" fillId="8" borderId="0" xfId="278" applyNumberFormat="1" applyFont="1" applyFill="1">
      <alignment horizontal="center" vertical="center" wrapText="1"/>
    </xf>
    <xf numFmtId="0" fontId="8" fillId="8" borderId="20" xfId="279" applyFont="1" applyFill="1" applyBorder="1">
      <alignment horizontal="center" vertical="center" wrapText="1"/>
    </xf>
    <xf numFmtId="0" fontId="0" fillId="8" borderId="14" xfId="280" applyFont="1" applyFill="1" applyBorder="1">
      <alignment horizontal="center" vertical="center"/>
    </xf>
    <xf numFmtId="0" fontId="0" fillId="8" borderId="14" xfId="281" applyFont="1" applyFill="1" applyBorder="1">
      <alignment horizontal="left" vertical="center" wrapText="1" indent="2"/>
    </xf>
    <xf numFmtId="49" fontId="0" fillId="0" borderId="14" xfId="282" applyNumberFormat="1" applyFont="1" applyBorder="1">
      <alignment horizontal="left" vertical="center" wrapText="1"/>
    </xf>
    <xf numFmtId="49" fontId="8" fillId="8" borderId="0" xfId="283" applyNumberFormat="1" applyFont="1" applyFill="1">
      <alignment vertical="center" wrapText="1"/>
    </xf>
    <xf numFmtId="0" fontId="8" fillId="8" borderId="20" xfId="284" applyFont="1" applyFill="1" applyBorder="1">
      <alignment vertical="center" wrapText="1"/>
    </xf>
    <xf numFmtId="0" fontId="8" fillId="10" borderId="12" xfId="285" applyFont="1" applyFill="1" applyBorder="1">
      <alignment horizontal="center"/>
    </xf>
    <xf numFmtId="0" fontId="38" fillId="10" borderId="16" xfId="286" applyFont="1" applyFill="1" applyBorder="1">
      <alignment horizontal="left" vertical="center"/>
    </xf>
    <xf numFmtId="0" fontId="38" fillId="10" borderId="11" xfId="287" applyFont="1" applyFill="1" applyBorder="1">
      <alignment horizontal="left" vertical="center"/>
    </xf>
    <xf numFmtId="49" fontId="25" fillId="8" borderId="14" xfId="288" applyNumberFormat="1" applyFont="1" applyFill="1" applyBorder="1">
      <alignment horizontal="center" vertical="center"/>
    </xf>
    <xf numFmtId="0" fontId="25" fillId="8" borderId="14" xfId="289" applyFont="1" applyFill="1" applyBorder="1">
      <alignment vertical="center" wrapText="1"/>
    </xf>
    <xf numFmtId="0" fontId="25" fillId="8" borderId="14" xfId="290" applyFont="1" applyFill="1" applyBorder="1">
      <alignment horizontal="left" vertical="center" wrapText="1" indent="1"/>
    </xf>
    <xf numFmtId="0" fontId="25" fillId="8" borderId="14" xfId="291" applyFont="1" applyFill="1" applyBorder="1">
      <alignment horizontal="left" vertical="center" wrapText="1" indent="2"/>
    </xf>
    <xf numFmtId="49" fontId="25" fillId="0" borderId="14" xfId="292" applyNumberFormat="1" applyFont="1" applyBorder="1">
      <alignment horizontal="left" vertical="center" wrapText="1"/>
    </xf>
    <xf numFmtId="0" fontId="0" fillId="8" borderId="14" xfId="293" applyFont="1" applyFill="1" applyBorder="1">
      <alignment horizontal="left" vertical="center" wrapText="1"/>
    </xf>
    <xf numFmtId="49" fontId="0" fillId="4" borderId="14" xfId="294" applyNumberFormat="1" applyFont="1" applyFill="1" applyBorder="1">
      <alignment horizontal="left" vertical="center" wrapText="1"/>
      <protection locked="0"/>
    </xf>
    <xf numFmtId="0" fontId="0" fillId="8" borderId="23" xfId="295" applyFont="1" applyFill="1" applyBorder="1">
      <alignment horizontal="left" vertical="center" wrapText="1"/>
    </xf>
    <xf numFmtId="49" fontId="0" fillId="0" borderId="14" xfId="297" applyNumberFormat="1" applyFont="1" applyBorder="1">
      <alignment horizontal="left" vertical="center" wrapText="1" indent="1"/>
    </xf>
    <xf numFmtId="0" fontId="31" fillId="8" borderId="0" xfId="299" applyFont="1" applyFill="1">
      <alignment horizontal="center" vertical="center" wrapText="1"/>
    </xf>
    <xf numFmtId="49" fontId="0" fillId="7" borderId="14" xfId="300" applyNumberFormat="1" applyFont="1" applyFill="1" applyBorder="1">
      <alignment horizontal="left" vertical="center" wrapText="1" indent="1"/>
      <protection locked="0"/>
    </xf>
    <xf numFmtId="49" fontId="8" fillId="7" borderId="12" xfId="301" applyNumberFormat="1" applyFont="1" applyFill="1" applyBorder="1">
      <alignment horizontal="left" vertical="center" wrapText="1"/>
      <protection locked="0"/>
    </xf>
    <xf numFmtId="0" fontId="40" fillId="8" borderId="0" xfId="303" applyFont="1" applyFill="1"/>
    <xf numFmtId="49" fontId="8" fillId="7" borderId="14" xfId="304" quotePrefix="1" applyNumberFormat="1" applyFont="1" applyFill="1" applyBorder="1">
      <alignment horizontal="left" vertical="center" wrapText="1"/>
      <protection locked="0"/>
    </xf>
    <xf numFmtId="49" fontId="8" fillId="4" borderId="14" xfId="305" applyNumberFormat="1" applyFont="1" applyFill="1" applyBorder="1">
      <alignment horizontal="left" vertical="center" wrapText="1"/>
      <protection locked="0"/>
    </xf>
    <xf numFmtId="49" fontId="8" fillId="9" borderId="14" xfId="306" applyNumberFormat="1" applyFont="1" applyFill="1" applyBorder="1">
      <alignment horizontal="left" vertical="center" wrapText="1"/>
    </xf>
    <xf numFmtId="0" fontId="0" fillId="8" borderId="12" xfId="307" applyFont="1" applyFill="1" applyBorder="1">
      <alignment horizontal="left" vertical="center" wrapText="1" indent="1"/>
    </xf>
    <xf numFmtId="49" fontId="8" fillId="9" borderId="12" xfId="308" applyNumberFormat="1" applyFont="1" applyFill="1" applyBorder="1">
      <alignment horizontal="left" vertical="center" wrapText="1"/>
    </xf>
    <xf numFmtId="0" fontId="0" fillId="8" borderId="14" xfId="309" applyFont="1" applyFill="1" applyBorder="1">
      <alignment vertical="top" wrapText="1"/>
    </xf>
    <xf numFmtId="0" fontId="0" fillId="8" borderId="12" xfId="310" applyFont="1" applyFill="1" applyBorder="1">
      <alignment horizontal="left" vertical="center" wrapText="1"/>
    </xf>
    <xf numFmtId="0" fontId="0" fillId="8" borderId="21" xfId="311" applyFont="1" applyFill="1" applyBorder="1">
      <alignment vertical="center" wrapText="1"/>
    </xf>
    <xf numFmtId="0" fontId="41" fillId="8" borderId="0" xfId="313" applyFont="1" applyFill="1"/>
    <xf numFmtId="0" fontId="34" fillId="8" borderId="0" xfId="314" applyFont="1" applyFill="1">
      <alignment horizontal="center"/>
    </xf>
    <xf numFmtId="0" fontId="34" fillId="8" borderId="0" xfId="315" applyFont="1" applyFill="1"/>
    <xf numFmtId="0" fontId="42" fillId="8" borderId="0" xfId="316" applyFont="1" applyFill="1">
      <alignment horizontal="right" vertical="center"/>
    </xf>
    <xf numFmtId="0" fontId="43" fillId="8" borderId="0" xfId="317" applyFont="1" applyFill="1">
      <alignment vertical="center"/>
    </xf>
    <xf numFmtId="0" fontId="42" fillId="8" borderId="0" xfId="318" applyFont="1" applyFill="1">
      <alignment horizontal="right" vertical="top"/>
    </xf>
    <xf numFmtId="0" fontId="43" fillId="8" borderId="0" xfId="319" applyFont="1" applyFill="1">
      <alignment vertical="center" wrapText="1"/>
    </xf>
    <xf numFmtId="0" fontId="0" fillId="8" borderId="0" xfId="320" applyFont="1" applyFill="1">
      <alignment horizontal="center"/>
    </xf>
    <xf numFmtId="0" fontId="18" fillId="0" borderId="0" xfId="321" applyFont="1">
      <alignment horizontal="center" vertical="center" wrapText="1"/>
    </xf>
    <xf numFmtId="0" fontId="44" fillId="8" borderId="0" xfId="322" applyFont="1" applyFill="1">
      <alignment horizontal="center" vertical="center" wrapText="1"/>
    </xf>
    <xf numFmtId="0" fontId="44" fillId="8" borderId="0" xfId="323" applyFont="1" applyFill="1">
      <alignment horizontal="right" vertical="center" wrapText="1"/>
    </xf>
    <xf numFmtId="0" fontId="44" fillId="0" borderId="0" xfId="324" applyFont="1">
      <alignment vertical="center" wrapText="1"/>
    </xf>
    <xf numFmtId="0" fontId="8" fillId="0" borderId="21" xfId="326" applyFont="1" applyBorder="1">
      <alignment horizontal="left" vertical="center" wrapText="1" indent="1"/>
    </xf>
    <xf numFmtId="0" fontId="45" fillId="8" borderId="0" xfId="328" applyFont="1" applyFill="1">
      <alignment horizontal="center" vertical="center" wrapText="1"/>
    </xf>
    <xf numFmtId="0" fontId="0" fillId="0" borderId="12" xfId="329" applyFont="1" applyBorder="1">
      <alignment horizontal="center" vertical="center" wrapText="1"/>
    </xf>
    <xf numFmtId="0" fontId="0" fillId="0" borderId="11" xfId="331" applyFont="1" applyBorder="1">
      <alignment horizontal="center" vertical="center" wrapText="1"/>
    </xf>
    <xf numFmtId="0" fontId="0" fillId="0" borderId="23" xfId="332" applyFont="1" applyBorder="1">
      <alignment horizontal="center" vertical="center" wrapText="1"/>
    </xf>
    <xf numFmtId="0" fontId="0" fillId="0" borderId="18" xfId="334" applyFont="1" applyBorder="1">
      <alignment horizontal="center" vertical="center" wrapText="1"/>
    </xf>
    <xf numFmtId="0" fontId="0" fillId="0" borderId="21" xfId="335" applyFont="1" applyBorder="1">
      <alignment horizontal="center" vertical="center" wrapText="1"/>
    </xf>
    <xf numFmtId="0" fontId="0" fillId="0" borderId="25" xfId="337" applyFont="1" applyBorder="1">
      <alignment horizontal="center" vertical="center" wrapText="1"/>
    </xf>
    <xf numFmtId="0" fontId="28" fillId="8" borderId="0" xfId="338" applyFont="1" applyFill="1">
      <alignment horizontal="center" vertical="center" wrapText="1"/>
    </xf>
    <xf numFmtId="49" fontId="28" fillId="8" borderId="0" xfId="339" applyNumberFormat="1" applyFont="1" applyFill="1">
      <alignment horizontal="center" vertical="center" wrapText="1"/>
    </xf>
    <xf numFmtId="0" fontId="46" fillId="8" borderId="0" xfId="340" applyFont="1" applyFill="1">
      <alignment horizontal="center" vertical="center" wrapText="1"/>
    </xf>
    <xf numFmtId="49" fontId="36" fillId="0" borderId="23" xfId="341" applyNumberFormat="1" applyFont="1" applyBorder="1">
      <alignment horizontal="left" vertical="center" wrapText="1"/>
    </xf>
    <xf numFmtId="49" fontId="36" fillId="0" borderId="14" xfId="342" applyNumberFormat="1" applyFont="1" applyBorder="1">
      <alignment horizontal="left" vertical="center" wrapText="1"/>
    </xf>
    <xf numFmtId="49" fontId="0" fillId="0" borderId="14" xfId="343" applyNumberFormat="1" applyFont="1" applyBorder="1">
      <alignment vertical="top" wrapText="1"/>
    </xf>
    <xf numFmtId="0" fontId="36" fillId="0" borderId="0" xfId="344" applyFont="1">
      <alignment vertical="center" wrapText="1"/>
    </xf>
    <xf numFmtId="49" fontId="0" fillId="0" borderId="14" xfId="345" applyNumberFormat="1" applyFont="1" applyBorder="1">
      <alignment horizontal="center" vertical="center" wrapText="1"/>
    </xf>
    <xf numFmtId="0" fontId="8" fillId="9" borderId="12" xfId="346" applyFont="1" applyFill="1" applyBorder="1">
      <alignment horizontal="left" vertical="center" wrapText="1"/>
    </xf>
    <xf numFmtId="49" fontId="28" fillId="8" borderId="14" xfId="347" applyNumberFormat="1" applyFont="1" applyFill="1" applyBorder="1">
      <alignment horizontal="center" vertical="center" wrapText="1"/>
    </xf>
    <xf numFmtId="4" fontId="0" fillId="7" borderId="14" xfId="348" applyNumberFormat="1" applyFont="1" applyFill="1" applyBorder="1">
      <alignment horizontal="right" vertical="center" wrapText="1"/>
      <protection locked="0"/>
    </xf>
    <xf numFmtId="3" fontId="0" fillId="7" borderId="14" xfId="349" applyNumberFormat="1" applyFont="1" applyFill="1" applyBorder="1">
      <alignment horizontal="right" vertical="center" wrapText="1"/>
      <protection locked="0"/>
    </xf>
    <xf numFmtId="4" fontId="0" fillId="7" borderId="11" xfId="350" applyNumberFormat="1" applyFont="1" applyFill="1" applyBorder="1">
      <alignment horizontal="right" vertical="center" wrapText="1"/>
      <protection locked="0"/>
    </xf>
    <xf numFmtId="0" fontId="0" fillId="4" borderId="14" xfId="351" applyFont="1" applyFill="1" applyBorder="1">
      <alignment horizontal="right" vertical="center" wrapText="1"/>
      <protection locked="0"/>
    </xf>
    <xf numFmtId="3" fontId="0" fillId="0" borderId="11" xfId="352" applyNumberFormat="1" applyFont="1" applyBorder="1">
      <alignment horizontal="right" vertical="center" wrapText="1"/>
    </xf>
    <xf numFmtId="49" fontId="12" fillId="10" borderId="12" xfId="354" applyNumberFormat="1" applyFont="1" applyFill="1" applyBorder="1">
      <alignment horizontal="center" vertical="center"/>
    </xf>
    <xf numFmtId="0" fontId="29" fillId="10" borderId="16" xfId="355" applyFont="1" applyFill="1" applyBorder="1">
      <alignment vertical="center"/>
    </xf>
    <xf numFmtId="49" fontId="29" fillId="10" borderId="16" xfId="356" applyNumberFormat="1" applyFont="1" applyFill="1" applyBorder="1">
      <alignment vertical="center"/>
    </xf>
    <xf numFmtId="49" fontId="38" fillId="10" borderId="16" xfId="357" applyNumberFormat="1" applyFont="1" applyFill="1" applyBorder="1">
      <alignment vertical="center"/>
    </xf>
    <xf numFmtId="49" fontId="38" fillId="10" borderId="11" xfId="358" applyNumberFormat="1" applyFont="1" applyFill="1" applyBorder="1">
      <alignment vertical="center"/>
    </xf>
    <xf numFmtId="0" fontId="31" fillId="8" borderId="14" xfId="362" applyFont="1" applyFill="1" applyBorder="1">
      <alignment horizontal="center" vertical="center" wrapText="1"/>
    </xf>
    <xf numFmtId="49" fontId="8" fillId="7" borderId="14" xfId="363" applyNumberFormat="1" applyFont="1" applyFill="1" applyBorder="1">
      <alignment horizontal="left" vertical="center" wrapText="1"/>
      <protection locked="0"/>
    </xf>
    <xf numFmtId="3" fontId="8" fillId="7" borderId="14" xfId="364" applyNumberFormat="1" applyFont="1" applyFill="1" applyBorder="1">
      <alignment horizontal="right" vertical="center" wrapText="1"/>
      <protection locked="0"/>
    </xf>
    <xf numFmtId="0" fontId="10" fillId="8" borderId="0" xfId="368" applyFont="1" applyFill="1">
      <alignment horizontal="right" vertical="center"/>
    </xf>
    <xf numFmtId="0" fontId="10" fillId="8" borderId="0" xfId="369" applyFont="1" applyFill="1">
      <alignment horizontal="right" vertical="center" wrapText="1"/>
    </xf>
    <xf numFmtId="49" fontId="28" fillId="8" borderId="16" xfId="370" applyNumberFormat="1" applyFont="1" applyFill="1" applyBorder="1">
      <alignment horizontal="center" vertical="center" wrapText="1"/>
    </xf>
    <xf numFmtId="49" fontId="8" fillId="0" borderId="14" xfId="371" applyNumberFormat="1" applyFont="1" applyBorder="1">
      <alignment horizontal="left" vertical="center" wrapText="1"/>
    </xf>
    <xf numFmtId="0" fontId="31" fillId="8" borderId="20" xfId="372" applyFont="1" applyFill="1" applyBorder="1">
      <alignment vertical="top" wrapText="1"/>
    </xf>
    <xf numFmtId="14" fontId="8" fillId="10" borderId="16" xfId="373" applyNumberFormat="1" applyFont="1" applyFill="1" applyBorder="1">
      <alignment horizontal="center" vertical="center" wrapText="1"/>
    </xf>
    <xf numFmtId="14" fontId="35" fillId="10" borderId="16" xfId="374" applyNumberFormat="1" applyFont="1" applyFill="1" applyBorder="1">
      <alignment horizontal="center" vertical="center" wrapText="1"/>
    </xf>
    <xf numFmtId="49" fontId="17" fillId="10" borderId="11" xfId="375" applyNumberFormat="1" applyFont="1" applyFill="1" applyBorder="1">
      <alignment horizontal="left" vertical="center" wrapText="1"/>
    </xf>
    <xf numFmtId="0" fontId="31" fillId="8" borderId="0" xfId="377" applyFont="1" applyFill="1">
      <alignment vertical="top" wrapText="1"/>
    </xf>
    <xf numFmtId="0" fontId="25" fillId="8" borderId="21" xfId="378" applyFont="1" applyFill="1" applyBorder="1">
      <alignment horizontal="center" vertical="center" wrapText="1"/>
    </xf>
    <xf numFmtId="14" fontId="8" fillId="9" borderId="21" xfId="379" applyNumberFormat="1" applyFont="1" applyFill="1" applyBorder="1">
      <alignment horizontal="left" vertical="center" wrapText="1"/>
    </xf>
    <xf numFmtId="14" fontId="8" fillId="9" borderId="14" xfId="380" applyNumberFormat="1" applyFont="1" applyFill="1" applyBorder="1">
      <alignment horizontal="center" vertical="center" wrapText="1"/>
    </xf>
    <xf numFmtId="49" fontId="17" fillId="7" borderId="14" xfId="381" applyNumberFormat="1" applyFont="1" applyFill="1" applyBorder="1">
      <alignment horizontal="left" vertical="center" wrapText="1"/>
      <protection locked="0"/>
    </xf>
    <xf numFmtId="0" fontId="25" fillId="0" borderId="0" xfId="382" applyFont="1">
      <alignment horizontal="left" vertical="center" wrapText="1"/>
    </xf>
    <xf numFmtId="49" fontId="25" fillId="0" borderId="0" xfId="383" applyNumberFormat="1" applyFont="1">
      <alignment horizontal="left" vertical="center" wrapText="1"/>
    </xf>
    <xf numFmtId="49" fontId="12" fillId="10" borderId="16" xfId="384" applyNumberFormat="1" applyFont="1" applyFill="1" applyBorder="1">
      <alignment horizontal="center" vertical="center"/>
    </xf>
    <xf numFmtId="49" fontId="38" fillId="10" borderId="16" xfId="385" applyNumberFormat="1" applyFont="1" applyFill="1" applyBorder="1">
      <alignment horizontal="left" vertical="center" indent="1"/>
    </xf>
    <xf numFmtId="49" fontId="38" fillId="10" borderId="11" xfId="386" applyNumberFormat="1" applyFont="1" applyFill="1" applyBorder="1">
      <alignment horizontal="left" vertical="center" indent="1"/>
    </xf>
    <xf numFmtId="0" fontId="30" fillId="0" borderId="0" xfId="387" applyFont="1">
      <alignment vertical="top"/>
    </xf>
    <xf numFmtId="49" fontId="8" fillId="0" borderId="20" xfId="389" applyNumberFormat="1" applyFont="1" applyBorder="1">
      <alignment vertical="top"/>
    </xf>
    <xf numFmtId="0" fontId="8" fillId="8" borderId="14" xfId="390" applyFont="1" applyFill="1" applyBorder="1">
      <alignment horizontal="left" vertical="center" wrapText="1"/>
    </xf>
    <xf numFmtId="0" fontId="8" fillId="0" borderId="14" xfId="391" applyFont="1" applyBorder="1">
      <alignment vertical="center" wrapText="1"/>
    </xf>
    <xf numFmtId="0" fontId="8" fillId="0" borderId="14" xfId="392" applyFont="1" applyBorder="1">
      <alignment horizontal="left" vertical="center" wrapText="1" indent="6"/>
    </xf>
    <xf numFmtId="0" fontId="8" fillId="6" borderId="16" xfId="394" applyFont="1" applyFill="1" applyBorder="1">
      <alignment horizontal="left" vertical="center" wrapText="1"/>
    </xf>
    <xf numFmtId="0" fontId="30" fillId="0" borderId="14" xfId="396" applyFont="1" applyBorder="1">
      <alignment vertical="top" wrapText="1"/>
    </xf>
    <xf numFmtId="0" fontId="27" fillId="8" borderId="0" xfId="398" applyFont="1" applyFill="1">
      <alignment horizontal="center" vertical="center" wrapText="1"/>
    </xf>
    <xf numFmtId="0" fontId="8" fillId="0" borderId="20" xfId="399" applyFont="1" applyBorder="1">
      <alignment vertical="center" wrapText="1"/>
    </xf>
    <xf numFmtId="0" fontId="8" fillId="8" borderId="14" xfId="400" applyFont="1" applyFill="1" applyBorder="1">
      <alignment horizontal="left" vertical="center" wrapText="1" indent="1"/>
    </xf>
    <xf numFmtId="0" fontId="8" fillId="8" borderId="14" xfId="401" applyFont="1" applyFill="1" applyBorder="1">
      <alignment horizontal="left" vertical="center" wrapText="1" indent="2"/>
    </xf>
    <xf numFmtId="0" fontId="8" fillId="8" borderId="14" xfId="402" applyFont="1" applyFill="1" applyBorder="1">
      <alignment horizontal="left" vertical="center" wrapText="1" indent="3"/>
    </xf>
    <xf numFmtId="0" fontId="18" fillId="0" borderId="14" xfId="403" applyFont="1" applyBorder="1">
      <alignment horizontal="center" vertical="center" wrapText="1"/>
    </xf>
    <xf numFmtId="0" fontId="18" fillId="0" borderId="0" xfId="404" applyFont="1">
      <alignment horizontal="center" vertical="center"/>
    </xf>
    <xf numFmtId="0" fontId="25" fillId="0" borderId="20" xfId="405" applyFont="1" applyBorder="1">
      <alignment horizontal="center" vertical="center" wrapText="1"/>
    </xf>
    <xf numFmtId="0" fontId="8" fillId="8" borderId="14" xfId="406" applyFont="1" applyFill="1" applyBorder="1">
      <alignment horizontal="left" vertical="center" wrapText="1" indent="4"/>
    </xf>
    <xf numFmtId="0" fontId="25" fillId="0" borderId="20" xfId="410" applyFont="1" applyBorder="1">
      <alignment vertical="center" wrapText="1"/>
    </xf>
    <xf numFmtId="0" fontId="8" fillId="8" borderId="14" xfId="411" applyFont="1" applyFill="1" applyBorder="1">
      <alignment horizontal="left" vertical="center" wrapText="1" indent="5"/>
    </xf>
    <xf numFmtId="0" fontId="8" fillId="9" borderId="14" xfId="412" applyFont="1" applyFill="1" applyBorder="1">
      <alignment horizontal="left" vertical="center" wrapText="1" indent="6"/>
    </xf>
    <xf numFmtId="4" fontId="8" fillId="4" borderId="14" xfId="413" applyNumberFormat="1" applyFont="1" applyFill="1" applyBorder="1">
      <alignment horizontal="right" vertical="center" wrapText="1"/>
      <protection locked="0"/>
    </xf>
    <xf numFmtId="4" fontId="8" fillId="0" borderId="14" xfId="414" applyNumberFormat="1" applyFont="1" applyBorder="1">
      <alignment horizontal="right" vertical="center" wrapText="1"/>
    </xf>
    <xf numFmtId="170" fontId="8" fillId="4" borderId="14" xfId="415" applyNumberFormat="1" applyFont="1" applyFill="1" applyBorder="1">
      <alignment horizontal="right" vertical="center" wrapText="1"/>
      <protection locked="0"/>
    </xf>
    <xf numFmtId="168" fontId="0" fillId="7" borderId="14" xfId="416" applyNumberFormat="1" applyFont="1" applyFill="1" applyBorder="1">
      <alignment horizontal="center" vertical="center" wrapText="1"/>
      <protection locked="0"/>
    </xf>
    <xf numFmtId="4" fontId="25" fillId="0" borderId="14" xfId="418" applyNumberFormat="1" applyFont="1" applyBorder="1">
      <alignment horizontal="center" vertical="center" wrapText="1"/>
    </xf>
    <xf numFmtId="49" fontId="0" fillId="7" borderId="14" xfId="419" applyNumberFormat="1" applyFont="1" applyFill="1" applyBorder="1">
      <alignment horizontal="center" vertical="center" wrapText="1"/>
      <protection locked="0"/>
    </xf>
    <xf numFmtId="49" fontId="38" fillId="10" borderId="12" xfId="421" applyNumberFormat="1" applyFont="1" applyFill="1" applyBorder="1">
      <alignment horizontal="left" vertical="center"/>
    </xf>
    <xf numFmtId="49" fontId="29" fillId="10" borderId="16" xfId="422" applyNumberFormat="1" applyFont="1" applyFill="1" applyBorder="1">
      <alignment horizontal="left" vertical="center" indent="6"/>
    </xf>
    <xf numFmtId="49" fontId="8" fillId="10" borderId="11" xfId="423" applyNumberFormat="1" applyFont="1" applyFill="1" applyBorder="1">
      <alignment horizontal="center" vertical="center" wrapText="1"/>
    </xf>
    <xf numFmtId="49" fontId="29" fillId="10" borderId="16" xfId="425" applyNumberFormat="1" applyFont="1" applyFill="1" applyBorder="1">
      <alignment horizontal="left" vertical="center" indent="5"/>
    </xf>
    <xf numFmtId="49" fontId="0" fillId="10" borderId="16" xfId="426" applyNumberFormat="1" applyFont="1" applyFill="1" applyBorder="1">
      <alignment horizontal="center" vertical="center" wrapText="1"/>
    </xf>
    <xf numFmtId="49" fontId="0" fillId="10" borderId="11" xfId="427" applyNumberFormat="1" applyFont="1" applyFill="1" applyBorder="1">
      <alignment horizontal="center" vertical="center" wrapText="1"/>
    </xf>
    <xf numFmtId="49" fontId="29" fillId="10" borderId="16" xfId="428" applyNumberFormat="1" applyFont="1" applyFill="1" applyBorder="1">
      <alignment horizontal="left" vertical="center" indent="4"/>
    </xf>
    <xf numFmtId="49" fontId="47" fillId="0" borderId="17" xfId="429" applyNumberFormat="1" applyFont="1" applyBorder="1">
      <alignment horizontal="left" vertical="center"/>
    </xf>
    <xf numFmtId="49" fontId="25" fillId="0" borderId="17" xfId="430" applyNumberFormat="1" applyFont="1" applyBorder="1">
      <alignment horizontal="left" vertical="center" indent="3"/>
    </xf>
    <xf numFmtId="49" fontId="25" fillId="0" borderId="17" xfId="431" applyNumberFormat="1" applyFont="1" applyBorder="1">
      <alignment horizontal="center" vertical="center" wrapText="1"/>
    </xf>
    <xf numFmtId="49" fontId="25" fillId="0" borderId="0" xfId="432" applyNumberFormat="1" applyFont="1">
      <alignment horizontal="left" vertical="center" indent="2"/>
    </xf>
    <xf numFmtId="49" fontId="25" fillId="0" borderId="0" xfId="433" applyNumberFormat="1" applyFont="1">
      <alignment horizontal="left" vertical="center" indent="1"/>
    </xf>
    <xf numFmtId="4" fontId="18" fillId="0" borderId="14" xfId="434" applyNumberFormat="1" applyFont="1" applyBorder="1">
      <alignment horizontal="right" vertical="center" wrapText="1"/>
    </xf>
    <xf numFmtId="170" fontId="18" fillId="0" borderId="14" xfId="435" applyNumberFormat="1" applyFont="1" applyBorder="1">
      <alignment horizontal="right" vertical="center" wrapText="1"/>
    </xf>
    <xf numFmtId="49" fontId="18" fillId="0" borderId="14" xfId="438" applyNumberFormat="1" applyFont="1" applyBorder="1">
      <alignment vertical="center" wrapText="1"/>
    </xf>
    <xf numFmtId="0" fontId="48" fillId="8" borderId="0" xfId="439" applyFont="1" applyFill="1">
      <alignment vertical="center" wrapText="1"/>
    </xf>
    <xf numFmtId="0" fontId="8" fillId="8" borderId="0" xfId="440" applyFont="1" applyFill="1">
      <alignment horizontal="left" vertical="center" wrapText="1"/>
    </xf>
    <xf numFmtId="0" fontId="12" fillId="8" borderId="0" xfId="441" applyFont="1" applyFill="1">
      <alignment horizontal="center" vertical="center" wrapText="1"/>
    </xf>
    <xf numFmtId="0" fontId="0" fillId="8" borderId="14" xfId="442" applyFont="1" applyFill="1" applyBorder="1">
      <alignment horizontal="right" vertical="center" wrapText="1" indent="1"/>
    </xf>
    <xf numFmtId="0" fontId="0" fillId="0" borderId="16" xfId="443" applyFont="1" applyBorder="1">
      <alignment vertical="center"/>
    </xf>
    <xf numFmtId="0" fontId="8" fillId="6" borderId="14" xfId="444" applyFont="1" applyFill="1" applyBorder="1">
      <alignment horizontal="left" vertical="center" wrapText="1" indent="1"/>
    </xf>
    <xf numFmtId="0" fontId="8" fillId="8" borderId="36" xfId="446" applyFont="1" applyFill="1" applyBorder="1">
      <alignment vertical="center" wrapText="1"/>
    </xf>
    <xf numFmtId="0" fontId="31" fillId="0" borderId="36" xfId="447" applyFont="1" applyBorder="1">
      <alignment horizontal="center" vertical="center" wrapText="1"/>
    </xf>
    <xf numFmtId="0" fontId="8" fillId="0" borderId="23" xfId="448" applyFont="1" applyBorder="1">
      <alignment vertical="center" wrapText="1"/>
    </xf>
    <xf numFmtId="0" fontId="8" fillId="8" borderId="23" xfId="452" applyFont="1" applyFill="1" applyBorder="1">
      <alignment horizontal="center" vertical="center" wrapText="1"/>
    </xf>
    <xf numFmtId="0" fontId="8" fillId="0" borderId="33" xfId="454" applyFont="1" applyBorder="1">
      <alignment vertical="center" wrapText="1"/>
    </xf>
    <xf numFmtId="0" fontId="8" fillId="0" borderId="21" xfId="458" applyFont="1" applyBorder="1">
      <alignment vertical="center" wrapText="1"/>
    </xf>
    <xf numFmtId="0" fontId="18" fillId="0" borderId="21" xfId="459" applyFont="1" applyBorder="1">
      <alignment horizontal="center" vertical="center" wrapText="1"/>
    </xf>
    <xf numFmtId="0" fontId="8" fillId="8" borderId="21" xfId="460" applyFont="1" applyFill="1" applyBorder="1">
      <alignment horizontal="center" vertical="center" wrapText="1"/>
    </xf>
    <xf numFmtId="0" fontId="49" fillId="8" borderId="0" xfId="462" applyFont="1" applyFill="1">
      <alignment vertical="center" wrapText="1"/>
    </xf>
    <xf numFmtId="0" fontId="50" fillId="8" borderId="0" xfId="463" applyFont="1" applyFill="1">
      <alignment vertical="center" wrapText="1"/>
    </xf>
    <xf numFmtId="49" fontId="46" fillId="8" borderId="17" xfId="464" applyNumberFormat="1" applyFont="1" applyFill="1" applyBorder="1">
      <alignment horizontal="left" vertical="center" wrapText="1"/>
    </xf>
    <xf numFmtId="49" fontId="46" fillId="8" borderId="17" xfId="465" applyNumberFormat="1" applyFont="1" applyFill="1" applyBorder="1">
      <alignment horizontal="center" vertical="center" wrapText="1"/>
    </xf>
    <xf numFmtId="0" fontId="25" fillId="8" borderId="17" xfId="466" applyFont="1" applyFill="1" applyBorder="1">
      <alignment horizontal="center" vertical="center" wrapText="1"/>
    </xf>
    <xf numFmtId="0" fontId="46" fillId="8" borderId="17" xfId="467" applyFont="1" applyFill="1" applyBorder="1">
      <alignment horizontal="center" vertical="center" wrapText="1"/>
    </xf>
    <xf numFmtId="0" fontId="18" fillId="0" borderId="0" xfId="468" applyFont="1">
      <alignment horizontal="left" vertical="center" indent="1"/>
    </xf>
    <xf numFmtId="4" fontId="8" fillId="0" borderId="23" xfId="470" applyNumberFormat="1" applyFont="1" applyBorder="1">
      <alignment horizontal="right" vertical="center" wrapText="1"/>
    </xf>
    <xf numFmtId="4" fontId="8" fillId="0" borderId="21" xfId="472" applyNumberFormat="1" applyFont="1" applyBorder="1">
      <alignment horizontal="right" vertical="center" wrapText="1"/>
    </xf>
    <xf numFmtId="49" fontId="8" fillId="0" borderId="0" xfId="473" applyNumberFormat="1" applyFont="1">
      <alignment vertical="center" wrapText="1"/>
    </xf>
    <xf numFmtId="0" fontId="48" fillId="0" borderId="0" xfId="474" applyFont="1">
      <alignment vertical="center" wrapText="1"/>
    </xf>
    <xf numFmtId="0" fontId="8" fillId="0" borderId="0" xfId="477" applyFont="1">
      <alignment horizontal="center" vertical="center"/>
    </xf>
    <xf numFmtId="49" fontId="8" fillId="0" borderId="14" xfId="478" applyNumberFormat="1" applyFont="1" applyBorder="1">
      <alignment vertical="center" wrapText="1"/>
    </xf>
    <xf numFmtId="0" fontId="36" fillId="0" borderId="0" xfId="479" applyFont="1">
      <alignment horizontal="left" vertical="center" indent="1"/>
    </xf>
    <xf numFmtId="170" fontId="8" fillId="0" borderId="14" xfId="480" applyNumberFormat="1" applyFont="1" applyBorder="1">
      <alignment horizontal="right" vertical="center" wrapText="1"/>
    </xf>
    <xf numFmtId="0" fontId="25" fillId="0" borderId="23" xfId="482" applyFont="1" applyBorder="1">
      <alignment horizontal="center" vertical="center" wrapText="1"/>
    </xf>
    <xf numFmtId="0" fontId="25" fillId="0" borderId="14" xfId="483" applyFont="1" applyBorder="1">
      <alignment horizontal="left" vertical="center" wrapText="1" indent="4"/>
    </xf>
    <xf numFmtId="0" fontId="25" fillId="0" borderId="14" xfId="484" applyFont="1" applyBorder="1">
      <alignment horizontal="left" vertical="center" wrapText="1" indent="6"/>
    </xf>
    <xf numFmtId="0" fontId="25" fillId="0" borderId="16" xfId="486" applyFont="1" applyBorder="1">
      <alignment horizontal="left" vertical="center" wrapText="1"/>
    </xf>
    <xf numFmtId="0" fontId="25" fillId="0" borderId="14" xfId="488" applyFont="1" applyBorder="1">
      <alignment vertical="top" wrapText="1"/>
    </xf>
    <xf numFmtId="49" fontId="47" fillId="0" borderId="12" xfId="489" applyNumberFormat="1" applyFont="1" applyBorder="1">
      <alignment horizontal="left" vertical="center"/>
    </xf>
    <xf numFmtId="49" fontId="25" fillId="0" borderId="16" xfId="490" applyNumberFormat="1" applyFont="1" applyBorder="1">
      <alignment horizontal="left" vertical="center" indent="4"/>
    </xf>
    <xf numFmtId="49" fontId="25" fillId="0" borderId="16" xfId="491" applyNumberFormat="1" applyFont="1" applyBorder="1">
      <alignment horizontal="center" vertical="center" wrapText="1"/>
    </xf>
    <xf numFmtId="49" fontId="25" fillId="0" borderId="11" xfId="492" applyNumberFormat="1" applyFont="1" applyBorder="1">
      <alignment horizontal="center" vertical="center" wrapText="1"/>
    </xf>
    <xf numFmtId="0" fontId="25" fillId="0" borderId="0" xfId="493" applyFont="1">
      <alignment horizontal="center" vertical="center"/>
    </xf>
    <xf numFmtId="0" fontId="8" fillId="8" borderId="23" xfId="494" applyFont="1" applyFill="1" applyBorder="1">
      <alignment horizontal="left" vertical="center" wrapText="1"/>
    </xf>
    <xf numFmtId="0" fontId="8" fillId="8" borderId="23" xfId="495" applyFont="1" applyFill="1" applyBorder="1">
      <alignment horizontal="left" vertical="center" wrapText="1" indent="2"/>
    </xf>
    <xf numFmtId="0" fontId="8" fillId="0" borderId="23" xfId="496" applyFont="1" applyBorder="1">
      <alignment horizontal="left" vertical="center" wrapText="1" indent="6"/>
    </xf>
    <xf numFmtId="0" fontId="8" fillId="6" borderId="14" xfId="500" applyFont="1" applyFill="1" applyBorder="1">
      <alignment horizontal="left" vertical="center" wrapText="1"/>
    </xf>
    <xf numFmtId="0" fontId="30" fillId="0" borderId="11" xfId="501" applyFont="1" applyBorder="1">
      <alignment vertical="top" wrapText="1"/>
    </xf>
    <xf numFmtId="0" fontId="25" fillId="0" borderId="11" xfId="502" applyFont="1" applyBorder="1">
      <alignment vertical="top" wrapText="1"/>
    </xf>
    <xf numFmtId="0" fontId="8" fillId="9" borderId="14" xfId="503" applyFont="1" applyFill="1" applyBorder="1">
      <alignment horizontal="left" vertical="center" wrapText="1"/>
    </xf>
    <xf numFmtId="0" fontId="8" fillId="8" borderId="21" xfId="504" applyFont="1" applyFill="1" applyBorder="1">
      <alignment horizontal="left" vertical="center" wrapText="1"/>
    </xf>
    <xf numFmtId="0" fontId="8" fillId="9" borderId="21" xfId="505" applyFont="1" applyFill="1" applyBorder="1">
      <alignment horizontal="left" vertical="center" wrapText="1" indent="6"/>
    </xf>
    <xf numFmtId="0" fontId="8" fillId="0" borderId="21" xfId="506" applyFont="1" applyBorder="1">
      <alignment horizontal="left" vertical="center" wrapText="1" indent="6"/>
    </xf>
    <xf numFmtId="4" fontId="8" fillId="4" borderId="21" xfId="507" applyNumberFormat="1" applyFont="1" applyFill="1" applyBorder="1">
      <alignment horizontal="right" vertical="center" wrapText="1"/>
      <protection locked="0"/>
    </xf>
    <xf numFmtId="170" fontId="8" fillId="4" borderId="21" xfId="508" applyNumberFormat="1" applyFont="1" applyFill="1" applyBorder="1">
      <alignment horizontal="right" vertical="center" wrapText="1"/>
      <protection locked="0"/>
    </xf>
    <xf numFmtId="170" fontId="8" fillId="4" borderId="12" xfId="511" applyNumberFormat="1" applyFont="1" applyFill="1" applyBorder="1">
      <alignment horizontal="right" vertical="center" wrapText="1"/>
      <protection locked="0"/>
    </xf>
    <xf numFmtId="4" fontId="8" fillId="4" borderId="11" xfId="512" applyNumberFormat="1" applyFont="1" applyFill="1" applyBorder="1">
      <alignment horizontal="right" vertical="center" wrapText="1"/>
      <protection locked="0"/>
    </xf>
    <xf numFmtId="0" fontId="30" fillId="0" borderId="23" xfId="513" applyFont="1" applyBorder="1">
      <alignment vertical="top" wrapText="1"/>
    </xf>
    <xf numFmtId="0" fontId="8" fillId="4" borderId="14" xfId="514" applyFont="1" applyFill="1" applyBorder="1">
      <alignment horizontal="left" vertical="center" wrapText="1" indent="7"/>
      <protection locked="0"/>
    </xf>
    <xf numFmtId="4" fontId="25" fillId="0" borderId="12" xfId="515" applyNumberFormat="1" applyFont="1" applyBorder="1">
      <alignment horizontal="center" vertical="center" wrapText="1"/>
    </xf>
    <xf numFmtId="4" fontId="8" fillId="0" borderId="11" xfId="516" applyNumberFormat="1" applyFont="1" applyBorder="1">
      <alignment horizontal="right" vertical="center" wrapText="1"/>
    </xf>
    <xf numFmtId="0" fontId="8" fillId="10" borderId="16" xfId="517" applyFont="1" applyFill="1" applyBorder="1">
      <alignment horizontal="left" vertical="center" wrapText="1" indent="6"/>
    </xf>
    <xf numFmtId="4" fontId="8" fillId="10" borderId="16" xfId="518" applyNumberFormat="1" applyFont="1" applyFill="1" applyBorder="1">
      <alignment horizontal="right" vertical="center" wrapText="1"/>
    </xf>
    <xf numFmtId="4" fontId="25" fillId="10" borderId="16" xfId="519" applyNumberFormat="1" applyFont="1" applyFill="1" applyBorder="1">
      <alignment horizontal="center" vertical="center" wrapText="1"/>
    </xf>
    <xf numFmtId="4" fontId="8" fillId="10" borderId="11" xfId="520" applyNumberFormat="1" applyFont="1" applyFill="1" applyBorder="1">
      <alignment horizontal="right" vertical="center" wrapText="1"/>
    </xf>
    <xf numFmtId="49" fontId="8" fillId="10" borderId="36" xfId="521" applyNumberFormat="1" applyFont="1" applyFill="1" applyBorder="1">
      <alignment horizontal="center" vertical="center" wrapText="1"/>
    </xf>
    <xf numFmtId="0" fontId="0" fillId="0" borderId="33" xfId="524" applyFont="1" applyBorder="1">
      <alignment horizontal="center" vertical="center" wrapText="1"/>
    </xf>
    <xf numFmtId="0" fontId="36" fillId="0" borderId="0" xfId="525" applyFont="1">
      <alignment horizontal="center" vertical="center"/>
    </xf>
    <xf numFmtId="0" fontId="26" fillId="8" borderId="0" xfId="526" applyFont="1" applyFill="1">
      <alignment horizontal="center" vertical="center" wrapText="1"/>
    </xf>
    <xf numFmtId="0" fontId="25" fillId="0" borderId="14" xfId="527" applyFont="1" applyBorder="1">
      <alignment horizontal="left" vertical="center" wrapText="1" indent="5"/>
    </xf>
    <xf numFmtId="0" fontId="25" fillId="0" borderId="20" xfId="528" applyFont="1" applyBorder="1">
      <alignment horizontal="center" vertical="top" wrapText="1"/>
    </xf>
    <xf numFmtId="49" fontId="8" fillId="7" borderId="23" xfId="529" applyNumberFormat="1" applyFont="1" applyFill="1" applyBorder="1">
      <alignment horizontal="left" vertical="center" wrapText="1" indent="6"/>
      <protection locked="0"/>
    </xf>
    <xf numFmtId="0" fontId="8" fillId="0" borderId="14" xfId="531" applyFont="1" applyBorder="1">
      <alignment horizontal="left" vertical="center" wrapText="1" indent="4"/>
    </xf>
    <xf numFmtId="170" fontId="8" fillId="10" borderId="11" xfId="534" applyNumberFormat="1" applyFont="1" applyFill="1" applyBorder="1">
      <alignment horizontal="right" vertical="center" wrapText="1"/>
    </xf>
    <xf numFmtId="49" fontId="29" fillId="10" borderId="12" xfId="535" applyNumberFormat="1" applyFont="1" applyFill="1" applyBorder="1">
      <alignment horizontal="left" vertical="center"/>
    </xf>
    <xf numFmtId="170" fontId="8" fillId="10" borderId="16" xfId="536" applyNumberFormat="1" applyFont="1" applyFill="1" applyBorder="1">
      <alignment horizontal="right" vertical="center" wrapText="1"/>
    </xf>
    <xf numFmtId="4" fontId="8" fillId="0" borderId="33" xfId="537" applyNumberFormat="1" applyFont="1" applyBorder="1">
      <alignment horizontal="right" vertical="center" wrapText="1"/>
    </xf>
    <xf numFmtId="49" fontId="29" fillId="10" borderId="12" xfId="538" applyNumberFormat="1" applyFont="1" applyFill="1" applyBorder="1">
      <alignment horizontal="left" vertical="center" indent="1"/>
    </xf>
    <xf numFmtId="4" fontId="25" fillId="10" borderId="11" xfId="540" applyNumberFormat="1" applyFont="1" applyFill="1" applyBorder="1">
      <alignment horizontal="center" vertical="center" wrapText="1"/>
    </xf>
    <xf numFmtId="49" fontId="29" fillId="10" borderId="12" xfId="541" applyNumberFormat="1" applyFont="1" applyFill="1" applyBorder="1">
      <alignment vertical="center" wrapText="1"/>
    </xf>
    <xf numFmtId="49" fontId="29" fillId="10" borderId="16" xfId="542" applyNumberFormat="1" applyFont="1" applyFill="1" applyBorder="1">
      <alignment vertical="center" wrapText="1"/>
    </xf>
    <xf numFmtId="49" fontId="25" fillId="0" borderId="20" xfId="543" applyNumberFormat="1" applyFont="1" applyBorder="1">
      <alignment vertical="top"/>
    </xf>
    <xf numFmtId="49" fontId="25" fillId="0" borderId="0" xfId="544" applyNumberFormat="1" applyFont="1">
      <alignment horizontal="center" vertical="center" wrapText="1"/>
    </xf>
    <xf numFmtId="0" fontId="25" fillId="0" borderId="20" xfId="545" applyFont="1" applyBorder="1">
      <alignment horizontal="left" vertical="center" wrapText="1" indent="1"/>
    </xf>
    <xf numFmtId="4" fontId="25" fillId="0" borderId="14" xfId="546" applyNumberFormat="1" applyFont="1" applyBorder="1">
      <alignment horizontal="right" vertical="center" wrapText="1"/>
    </xf>
    <xf numFmtId="170" fontId="25" fillId="0" borderId="14" xfId="547" applyNumberFormat="1" applyFont="1" applyBorder="1">
      <alignment horizontal="right" vertical="center" wrapText="1"/>
    </xf>
    <xf numFmtId="168" fontId="25" fillId="0" borderId="14" xfId="548" applyNumberFormat="1" applyFont="1" applyBorder="1">
      <alignment horizontal="center" vertical="center" wrapText="1"/>
    </xf>
    <xf numFmtId="49" fontId="25" fillId="0" borderId="14" xfId="549" applyNumberFormat="1" applyFont="1" applyBorder="1">
      <alignment horizontal="center" vertical="center" wrapText="1"/>
    </xf>
    <xf numFmtId="0" fontId="18" fillId="0" borderId="0" xfId="550" applyFont="1">
      <alignment horizontal="left" vertical="center"/>
    </xf>
    <xf numFmtId="0" fontId="51" fillId="8" borderId="0" xfId="551" applyFont="1" applyFill="1">
      <alignment vertical="center" wrapText="1"/>
    </xf>
    <xf numFmtId="0" fontId="0" fillId="8" borderId="24" xfId="553" applyFont="1" applyFill="1" applyBorder="1">
      <alignment horizontal="center" vertical="center" wrapText="1"/>
    </xf>
    <xf numFmtId="0" fontId="8" fillId="7" borderId="14" xfId="560" applyFont="1" applyFill="1" applyBorder="1">
      <alignment horizontal="center" vertical="center" wrapText="1"/>
      <protection locked="0"/>
    </xf>
    <xf numFmtId="0" fontId="8" fillId="0" borderId="14" xfId="565" applyFont="1" applyBorder="1">
      <alignment horizontal="left" vertical="center" wrapText="1" indent="1"/>
    </xf>
    <xf numFmtId="49" fontId="8" fillId="10" borderId="12" xfId="566" applyNumberFormat="1" applyFont="1" applyFill="1" applyBorder="1">
      <alignment horizontal="center" vertical="center" wrapText="1"/>
    </xf>
    <xf numFmtId="49" fontId="36" fillId="0" borderId="20" xfId="567" applyNumberFormat="1" applyFont="1" applyBorder="1">
      <alignment vertical="top"/>
    </xf>
    <xf numFmtId="0" fontId="51" fillId="0" borderId="0" xfId="568" applyFont="1">
      <alignment vertical="center" wrapText="1"/>
    </xf>
    <xf numFmtId="49" fontId="8" fillId="4" borderId="12" xfId="572" applyNumberFormat="1" applyFont="1" applyFill="1" applyBorder="1">
      <alignment horizontal="left" vertical="center" wrapText="1"/>
      <protection locked="0"/>
    </xf>
    <xf numFmtId="49" fontId="8" fillId="4" borderId="14" xfId="575" applyNumberFormat="1" applyFont="1" applyFill="1" applyBorder="1">
      <alignment horizontal="left" vertical="center" wrapText="1" indent="6"/>
      <protection locked="0"/>
    </xf>
    <xf numFmtId="4" fontId="8" fillId="0" borderId="24" xfId="576" applyNumberFormat="1" applyFont="1" applyBorder="1">
      <alignment horizontal="right" vertical="center" wrapText="1"/>
    </xf>
    <xf numFmtId="4" fontId="8" fillId="0" borderId="26" xfId="578" applyNumberFormat="1" applyFont="1" applyBorder="1">
      <alignment horizontal="right" vertical="center" wrapText="1"/>
    </xf>
    <xf numFmtId="49" fontId="0" fillId="10" borderId="25" xfId="579" applyNumberFormat="1" applyFont="1" applyFill="1" applyBorder="1">
      <alignment horizontal="center" vertical="center" wrapText="1"/>
    </xf>
    <xf numFmtId="49" fontId="29" fillId="10" borderId="16" xfId="580" applyNumberFormat="1" applyFont="1" applyFill="1" applyBorder="1">
      <alignment horizontal="left" vertical="center" indent="3"/>
    </xf>
    <xf numFmtId="49" fontId="8" fillId="4" borderId="23" xfId="581" applyNumberFormat="1" applyFont="1" applyFill="1" applyBorder="1">
      <alignment horizontal="left" vertical="center" wrapText="1" indent="6"/>
      <protection locked="0"/>
    </xf>
    <xf numFmtId="4" fontId="8" fillId="7" borderId="14" xfId="582" applyNumberFormat="1" applyFont="1" applyFill="1" applyBorder="1">
      <alignment horizontal="left" vertical="center" wrapText="1" indent="1"/>
      <protection locked="0"/>
    </xf>
    <xf numFmtId="0" fontId="8" fillId="0" borderId="0" xfId="583" applyFont="1">
      <alignment horizontal="left" vertical="center"/>
    </xf>
    <xf numFmtId="0" fontId="8" fillId="8" borderId="25" xfId="585" applyFont="1" applyFill="1" applyBorder="1">
      <alignment horizontal="center" vertical="center" wrapText="1"/>
    </xf>
    <xf numFmtId="0" fontId="52" fillId="8" borderId="0" xfId="586" applyFont="1" applyFill="1">
      <alignment horizontal="center" vertical="center" wrapText="1"/>
    </xf>
    <xf numFmtId="0" fontId="25" fillId="8" borderId="14" xfId="587" applyFont="1" applyFill="1" applyBorder="1">
      <alignment horizontal="left" vertical="center" wrapText="1" indent="3"/>
    </xf>
    <xf numFmtId="49" fontId="29" fillId="10" borderId="36" xfId="592" applyNumberFormat="1" applyFont="1" applyFill="1" applyBorder="1">
      <alignment horizontal="left" vertical="center"/>
    </xf>
    <xf numFmtId="0" fontId="8" fillId="0" borderId="37" xfId="595" applyFont="1" applyBorder="1">
      <alignment horizontal="center" vertical="center" wrapText="1"/>
    </xf>
    <xf numFmtId="0" fontId="8" fillId="7" borderId="14" xfId="596" applyFont="1" applyFill="1" applyBorder="1">
      <alignment horizontal="left" vertical="center" wrapText="1" indent="2"/>
      <protection locked="0"/>
    </xf>
    <xf numFmtId="0" fontId="25" fillId="0" borderId="37" xfId="597" applyFont="1" applyBorder="1">
      <alignment horizontal="center" vertical="center" wrapText="1"/>
    </xf>
    <xf numFmtId="0" fontId="25" fillId="0" borderId="14" xfId="598" applyFont="1" applyBorder="1">
      <alignment horizontal="left" vertical="center" wrapText="1" indent="2"/>
    </xf>
    <xf numFmtId="0" fontId="8" fillId="0" borderId="14" xfId="599" applyFont="1" applyBorder="1">
      <alignment horizontal="left" vertical="center" wrapText="1" indent="3"/>
    </xf>
    <xf numFmtId="49" fontId="8" fillId="7" borderId="14" xfId="600" applyNumberFormat="1" applyFont="1" applyFill="1" applyBorder="1">
      <alignment horizontal="center" vertical="center" wrapText="1"/>
      <protection locked="0"/>
    </xf>
    <xf numFmtId="0" fontId="8" fillId="4" borderId="14" xfId="601" applyFont="1" applyFill="1" applyBorder="1">
      <alignment horizontal="left" vertical="center" wrapText="1"/>
      <protection locked="0"/>
    </xf>
    <xf numFmtId="0" fontId="8" fillId="0" borderId="11" xfId="602" applyFont="1" applyBorder="1">
      <alignment vertical="top" wrapText="1"/>
    </xf>
    <xf numFmtId="171" fontId="8" fillId="4" borderId="14" xfId="603" applyNumberFormat="1" applyFont="1" applyFill="1" applyBorder="1">
      <alignment horizontal="right" vertical="center" wrapText="1"/>
      <protection locked="0"/>
    </xf>
    <xf numFmtId="0" fontId="8" fillId="0" borderId="18" xfId="604" applyFont="1" applyBorder="1">
      <alignment vertical="center" wrapText="1"/>
    </xf>
    <xf numFmtId="0" fontId="47" fillId="8" borderId="0" xfId="605" applyFont="1" applyFill="1">
      <alignment horizontal="right" vertical="center"/>
    </xf>
    <xf numFmtId="0" fontId="8" fillId="0" borderId="12" xfId="606" applyFont="1" applyBorder="1">
      <alignment vertical="center" wrapText="1"/>
    </xf>
    <xf numFmtId="0" fontId="8" fillId="0" borderId="16" xfId="607" applyFont="1" applyBorder="1">
      <alignment horizontal="right" vertical="center" wrapText="1" indent="1"/>
    </xf>
    <xf numFmtId="0" fontId="8" fillId="0" borderId="11" xfId="608" applyFont="1" applyBorder="1">
      <alignment horizontal="right" vertical="center" wrapText="1" indent="1"/>
    </xf>
    <xf numFmtId="0" fontId="8" fillId="6" borderId="12" xfId="609" applyFont="1" applyFill="1" applyBorder="1">
      <alignment horizontal="left" vertical="top" wrapText="1"/>
    </xf>
    <xf numFmtId="4" fontId="8" fillId="7" borderId="14" xfId="612" applyNumberFormat="1" applyFont="1" applyFill="1" applyBorder="1">
      <alignment horizontal="right" vertical="center" wrapText="1"/>
      <protection locked="0"/>
    </xf>
    <xf numFmtId="4" fontId="8" fillId="6" borderId="14" xfId="613" applyNumberFormat="1" applyFont="1" applyFill="1" applyBorder="1">
      <alignment horizontal="right" vertical="center" wrapText="1"/>
    </xf>
    <xf numFmtId="49" fontId="36" fillId="0" borderId="37" xfId="616" applyNumberFormat="1" applyFont="1" applyBorder="1">
      <alignment horizontal="center" vertical="center" wrapText="1"/>
    </xf>
    <xf numFmtId="0" fontId="36" fillId="0" borderId="14" xfId="617" applyFont="1" applyBorder="1">
      <alignment horizontal="left" vertical="center" wrapText="1" indent="2"/>
    </xf>
    <xf numFmtId="0" fontId="36" fillId="0" borderId="14" xfId="618" applyFont="1" applyBorder="1">
      <alignment horizontal="center" vertical="center" wrapText="1"/>
    </xf>
    <xf numFmtId="0" fontId="36" fillId="0" borderId="14" xfId="619" applyFont="1" applyBorder="1">
      <alignment vertical="center" wrapText="1"/>
    </xf>
    <xf numFmtId="0" fontId="36" fillId="0" borderId="37" xfId="620" applyFont="1" applyBorder="1">
      <alignment horizontal="center" vertical="center" wrapText="1"/>
    </xf>
    <xf numFmtId="0" fontId="36" fillId="0" borderId="14" xfId="621" applyFont="1" applyBorder="1">
      <alignment horizontal="left" vertical="center" wrapText="1" indent="3"/>
    </xf>
    <xf numFmtId="4" fontId="36" fillId="0" borderId="14" xfId="622" applyNumberFormat="1" applyFont="1" applyBorder="1">
      <alignment horizontal="right" vertical="center" wrapText="1"/>
    </xf>
    <xf numFmtId="49" fontId="8" fillId="10" borderId="12" xfId="623" applyNumberFormat="1" applyFont="1" applyFill="1" applyBorder="1">
      <alignment vertical="center" wrapText="1"/>
    </xf>
    <xf numFmtId="0" fontId="8" fillId="10" borderId="16" xfId="624" applyFont="1" applyFill="1" applyBorder="1">
      <alignment vertical="center" wrapText="1"/>
    </xf>
    <xf numFmtId="0" fontId="18" fillId="10" borderId="11" xfId="625" applyFont="1" applyFill="1" applyBorder="1">
      <alignment vertical="center" wrapText="1"/>
    </xf>
    <xf numFmtId="0" fontId="8" fillId="0" borderId="14" xfId="626" applyFont="1" applyBorder="1">
      <alignment horizontal="left" vertical="center" wrapText="1" indent="2"/>
    </xf>
    <xf numFmtId="49" fontId="14" fillId="3" borderId="0" xfId="627" applyNumberFormat="1" applyFont="1" applyFill="1">
      <alignment horizontal="center" vertical="center" wrapText="1"/>
    </xf>
    <xf numFmtId="171" fontId="8" fillId="7" borderId="14" xfId="628" applyNumberFormat="1" applyFont="1" applyFill="1" applyBorder="1">
      <alignment horizontal="right" vertical="center" wrapText="1"/>
      <protection locked="0"/>
    </xf>
    <xf numFmtId="0" fontId="18" fillId="0" borderId="0" xfId="629" applyFont="1">
      <alignment horizontal="left" vertical="center" wrapText="1"/>
    </xf>
    <xf numFmtId="4" fontId="8" fillId="6" borderId="23" xfId="630" applyNumberFormat="1" applyFont="1" applyFill="1" applyBorder="1">
      <alignment horizontal="right" vertical="center" wrapText="1"/>
    </xf>
    <xf numFmtId="0" fontId="25" fillId="0" borderId="14" xfId="631" applyFont="1" applyBorder="1">
      <alignment horizontal="left" vertical="center" wrapText="1" indent="3"/>
    </xf>
    <xf numFmtId="49" fontId="25" fillId="0" borderId="14" xfId="632" applyNumberFormat="1" applyFont="1" applyBorder="1">
      <alignment vertical="center" wrapText="1"/>
    </xf>
    <xf numFmtId="0" fontId="25" fillId="0" borderId="23" xfId="633" applyFont="1" applyBorder="1">
      <alignment vertical="top" wrapText="1"/>
    </xf>
    <xf numFmtId="0" fontId="8" fillId="0" borderId="12" xfId="634" applyFont="1" applyBorder="1">
      <alignment horizontal="left" vertical="center" wrapText="1" indent="2"/>
    </xf>
    <xf numFmtId="4" fontId="8" fillId="7" borderId="11" xfId="635" applyNumberFormat="1" applyFont="1" applyFill="1" applyBorder="1">
      <alignment horizontal="right" vertical="center" wrapText="1"/>
      <protection locked="0"/>
    </xf>
    <xf numFmtId="0" fontId="8" fillId="0" borderId="12" xfId="636" applyFont="1" applyBorder="1">
      <alignment horizontal="left" vertical="center" wrapText="1" indent="1"/>
    </xf>
    <xf numFmtId="49" fontId="17" fillId="4" borderId="11" xfId="637" applyNumberFormat="1" applyFont="1" applyFill="1" applyBorder="1">
      <alignment horizontal="left" vertical="center" wrapText="1"/>
      <protection locked="0"/>
    </xf>
    <xf numFmtId="49" fontId="17" fillId="4" borderId="14" xfId="638" applyNumberFormat="1" applyFont="1" applyFill="1" applyBorder="1">
      <alignment horizontal="left" vertical="center" wrapText="1"/>
      <protection locked="0"/>
    </xf>
    <xf numFmtId="171" fontId="8" fillId="7" borderId="11" xfId="639" applyNumberFormat="1" applyFont="1" applyFill="1" applyBorder="1">
      <alignment horizontal="right" vertical="center" wrapText="1"/>
      <protection locked="0"/>
    </xf>
    <xf numFmtId="171" fontId="8" fillId="6" borderId="11" xfId="640" applyNumberFormat="1" applyFont="1" applyFill="1" applyBorder="1">
      <alignment horizontal="right" vertical="center" wrapText="1"/>
    </xf>
    <xf numFmtId="171" fontId="8" fillId="6" borderId="14" xfId="641" applyNumberFormat="1" applyFont="1" applyFill="1" applyBorder="1">
      <alignment horizontal="right" vertical="center" wrapText="1"/>
    </xf>
    <xf numFmtId="4" fontId="8" fillId="7" borderId="25" xfId="642" applyNumberFormat="1" applyFont="1" applyFill="1" applyBorder="1">
      <alignment horizontal="right" vertical="center" wrapText="1"/>
      <protection locked="0"/>
    </xf>
    <xf numFmtId="4" fontId="8" fillId="7" borderId="21" xfId="643" applyNumberFormat="1" applyFont="1" applyFill="1" applyBorder="1">
      <alignment horizontal="right" vertical="center" wrapText="1"/>
      <protection locked="0"/>
    </xf>
    <xf numFmtId="0" fontId="25" fillId="0" borderId="33" xfId="644" applyFont="1" applyBorder="1">
      <alignment horizontal="left" vertical="center" wrapText="1" indent="1"/>
    </xf>
    <xf numFmtId="0" fontId="25" fillId="0" borderId="33" xfId="645" applyFont="1" applyBorder="1">
      <alignment horizontal="center" vertical="center" wrapText="1"/>
    </xf>
    <xf numFmtId="0" fontId="25" fillId="0" borderId="23" xfId="646" applyFont="1" applyBorder="1">
      <alignment vertical="center" wrapText="1"/>
    </xf>
    <xf numFmtId="49" fontId="8" fillId="10" borderId="24" xfId="647" applyNumberFormat="1" applyFont="1" applyFill="1" applyBorder="1">
      <alignment vertical="center" wrapText="1"/>
    </xf>
    <xf numFmtId="49" fontId="29" fillId="10" borderId="17" xfId="648" applyNumberFormat="1" applyFont="1" applyFill="1" applyBorder="1">
      <alignment horizontal="left" vertical="center" indent="1"/>
    </xf>
    <xf numFmtId="0" fontId="8" fillId="0" borderId="21" xfId="649" applyFont="1" applyBorder="1">
      <alignment vertical="top" wrapText="1"/>
    </xf>
    <xf numFmtId="171" fontId="8" fillId="7" borderId="23" xfId="650" applyNumberFormat="1" applyFont="1" applyFill="1" applyBorder="1">
      <alignment horizontal="right" vertical="center" wrapText="1"/>
      <protection locked="0"/>
    </xf>
    <xf numFmtId="0" fontId="25" fillId="0" borderId="21" xfId="651" applyFont="1" applyBorder="1">
      <alignment horizontal="left" vertical="center" wrapText="1" indent="1"/>
    </xf>
    <xf numFmtId="0" fontId="25" fillId="0" borderId="23" xfId="652" applyFont="1" applyBorder="1">
      <alignment horizontal="left" vertical="center" wrapText="1" indent="1"/>
    </xf>
    <xf numFmtId="49" fontId="14" fillId="0" borderId="0" xfId="653" applyNumberFormat="1" applyFont="1">
      <alignment horizontal="center" vertical="center" wrapText="1"/>
    </xf>
    <xf numFmtId="0" fontId="53" fillId="0" borderId="0" xfId="654" applyFont="1">
      <alignment vertical="center" wrapText="1"/>
    </xf>
    <xf numFmtId="0" fontId="8" fillId="0" borderId="17" xfId="655" applyFont="1" applyBorder="1">
      <alignment vertical="center" wrapText="1"/>
    </xf>
    <xf numFmtId="0" fontId="8" fillId="0" borderId="36" xfId="656" applyFont="1" applyBorder="1">
      <alignment vertical="center" wrapText="1"/>
    </xf>
    <xf numFmtId="0" fontId="54" fillId="8" borderId="0" xfId="657" applyFont="1" applyFill="1">
      <alignment horizontal="right" vertical="center"/>
    </xf>
    <xf numFmtId="0" fontId="0" fillId="0" borderId="0" xfId="658" applyFont="1">
      <alignment vertical="top"/>
    </xf>
    <xf numFmtId="0" fontId="8" fillId="0" borderId="11" xfId="663" applyFont="1" applyBorder="1">
      <alignment horizontal="left" vertical="center" wrapText="1" indent="1"/>
    </xf>
    <xf numFmtId="49" fontId="25" fillId="0" borderId="19" xfId="664" applyNumberFormat="1" applyFont="1" applyBorder="1">
      <alignment vertical="top"/>
    </xf>
    <xf numFmtId="0" fontId="55" fillId="0" borderId="0" xfId="665" applyFont="1">
      <alignment vertical="top"/>
    </xf>
    <xf numFmtId="0" fontId="56" fillId="0" borderId="0" xfId="666" applyFont="1">
      <alignment vertical="top"/>
    </xf>
    <xf numFmtId="0" fontId="8" fillId="0" borderId="21" xfId="668" applyFont="1" applyBorder="1">
      <alignment horizontal="left" vertical="center" wrapText="1"/>
    </xf>
    <xf numFmtId="2" fontId="8" fillId="0" borderId="21" xfId="669" applyNumberFormat="1" applyFont="1" applyBorder="1">
      <alignment horizontal="center" vertical="center" wrapText="1"/>
    </xf>
    <xf numFmtId="0" fontId="25" fillId="0" borderId="19" xfId="670" applyFont="1" applyBorder="1">
      <alignment vertical="center" wrapText="1"/>
    </xf>
    <xf numFmtId="49" fontId="29" fillId="0" borderId="17" xfId="672" applyNumberFormat="1" applyFont="1" applyBorder="1">
      <alignment horizontal="right" vertical="center"/>
    </xf>
    <xf numFmtId="49" fontId="9" fillId="0" borderId="0" xfId="673" applyNumberFormat="1" applyFont="1">
      <alignment horizontal="center" vertical="center" wrapText="1"/>
    </xf>
    <xf numFmtId="0" fontId="18" fillId="12" borderId="14" xfId="674" applyFont="1" applyFill="1" applyBorder="1">
      <alignment horizontal="left" vertical="center" wrapText="1"/>
    </xf>
    <xf numFmtId="0" fontId="8" fillId="13" borderId="14" xfId="675" applyFont="1" applyFill="1" applyBorder="1">
      <alignment vertical="center"/>
    </xf>
    <xf numFmtId="49" fontId="0" fillId="14" borderId="14" xfId="676" applyNumberFormat="1" applyFont="1" applyFill="1" applyBorder="1">
      <alignment horizontal="center" vertical="center" wrapText="1"/>
    </xf>
    <xf numFmtId="49" fontId="57" fillId="0" borderId="23" xfId="677" applyNumberFormat="1" applyFont="1" applyBorder="1">
      <alignment horizontal="center" vertical="center" wrapText="1"/>
    </xf>
    <xf numFmtId="49" fontId="57" fillId="0" borderId="14" xfId="678" applyNumberFormat="1" applyFont="1" applyBorder="1">
      <alignment horizontal="center" vertical="center" wrapText="1"/>
    </xf>
    <xf numFmtId="0" fontId="25" fillId="0" borderId="12" xfId="679" applyFont="1" applyBorder="1">
      <alignment vertical="center" wrapText="1"/>
    </xf>
    <xf numFmtId="0" fontId="8" fillId="0" borderId="17" xfId="680" applyFont="1" applyBorder="1">
      <alignment horizontal="right" vertical="center" wrapText="1" indent="1"/>
    </xf>
    <xf numFmtId="49" fontId="8" fillId="0" borderId="37" xfId="681" applyNumberFormat="1" applyFont="1" applyBorder="1">
      <alignment horizontal="center" vertical="center" wrapText="1"/>
    </xf>
    <xf numFmtId="49" fontId="17" fillId="4" borderId="12" xfId="682" applyNumberFormat="1" applyFont="1" applyFill="1" applyBorder="1">
      <alignment horizontal="left" vertical="center" wrapText="1"/>
      <protection locked="0"/>
    </xf>
    <xf numFmtId="0" fontId="58" fillId="0" borderId="0" xfId="683" applyFont="1">
      <alignment vertical="center" wrapText="1"/>
    </xf>
    <xf numFmtId="49" fontId="8" fillId="0" borderId="38" xfId="684" applyNumberFormat="1" applyFont="1" applyBorder="1">
      <alignment horizontal="center" vertical="center" wrapText="1"/>
    </xf>
    <xf numFmtId="4" fontId="8" fillId="7" borderId="24" xfId="685" applyNumberFormat="1" applyFont="1" applyFill="1" applyBorder="1">
      <alignment horizontal="right" vertical="center" wrapText="1"/>
      <protection locked="0"/>
    </xf>
    <xf numFmtId="4" fontId="8" fillId="7" borderId="23" xfId="686" applyNumberFormat="1" applyFont="1" applyFill="1" applyBorder="1">
      <alignment horizontal="right" vertical="center" wrapText="1"/>
      <protection locked="0"/>
    </xf>
    <xf numFmtId="0" fontId="18" fillId="10" borderId="16" xfId="687" applyFont="1" applyFill="1" applyBorder="1">
      <alignment vertical="center" wrapText="1"/>
    </xf>
    <xf numFmtId="49" fontId="8" fillId="0" borderId="39" xfId="688" applyNumberFormat="1" applyFont="1" applyBorder="1">
      <alignment horizontal="center" vertical="center" wrapText="1"/>
    </xf>
    <xf numFmtId="4" fontId="8" fillId="7" borderId="12" xfId="689" applyNumberFormat="1" applyFont="1" applyFill="1" applyBorder="1">
      <alignment horizontal="right" vertical="center" wrapText="1"/>
      <protection locked="0"/>
    </xf>
    <xf numFmtId="49" fontId="8" fillId="0" borderId="40" xfId="690" applyNumberFormat="1" applyFont="1" applyBorder="1">
      <alignment horizontal="center" vertical="center" wrapText="1"/>
    </xf>
    <xf numFmtId="3" fontId="8" fillId="7" borderId="12" xfId="691" applyNumberFormat="1" applyFont="1" applyFill="1" applyBorder="1">
      <alignment horizontal="right" vertical="center" wrapText="1"/>
      <protection locked="0"/>
    </xf>
    <xf numFmtId="49" fontId="17" fillId="7" borderId="12" xfId="692" applyNumberFormat="1" applyFont="1" applyFill="1" applyBorder="1">
      <alignment horizontal="left" vertical="center" wrapText="1"/>
      <protection locked="0"/>
    </xf>
    <xf numFmtId="49" fontId="59" fillId="0" borderId="0" xfId="693" applyNumberFormat="1" applyFont="1">
      <alignment horizontal="center" vertical="center" wrapText="1"/>
    </xf>
    <xf numFmtId="0" fontId="8" fillId="0" borderId="14" xfId="694" applyFont="1" applyBorder="1">
      <alignment vertical="top" wrapText="1"/>
    </xf>
    <xf numFmtId="0" fontId="8" fillId="8" borderId="0" xfId="695" applyFont="1" applyFill="1">
      <alignment horizontal="right" vertical="center" wrapText="1"/>
    </xf>
    <xf numFmtId="0" fontId="8" fillId="8" borderId="0" xfId="696" applyFont="1" applyFill="1">
      <alignment horizontal="right" vertical="center"/>
    </xf>
    <xf numFmtId="0" fontId="8" fillId="8" borderId="12" xfId="697" applyFont="1" applyFill="1" applyBorder="1">
      <alignment horizontal="center" vertical="center" wrapText="1"/>
    </xf>
    <xf numFmtId="0" fontId="8" fillId="8" borderId="14" xfId="700" applyFont="1" applyFill="1" applyBorder="1">
      <alignment horizontal="center" vertical="center"/>
    </xf>
    <xf numFmtId="0" fontId="0" fillId="0" borderId="14" xfId="701" applyFont="1" applyBorder="1">
      <alignment horizontal="left" vertical="top" wrapText="1"/>
    </xf>
    <xf numFmtId="0" fontId="0" fillId="0" borderId="14" xfId="702" applyFont="1" applyBorder="1">
      <alignment horizontal="left" vertical="center" wrapText="1"/>
    </xf>
    <xf numFmtId="0" fontId="8" fillId="10" borderId="12" xfId="703" applyFont="1" applyFill="1" applyBorder="1">
      <alignment vertical="center" wrapText="1"/>
    </xf>
    <xf numFmtId="49" fontId="60" fillId="10" borderId="11" xfId="704" applyNumberFormat="1" applyFont="1" applyFill="1" applyBorder="1">
      <alignment horizontal="center" vertical="top"/>
    </xf>
    <xf numFmtId="49" fontId="29" fillId="0" borderId="17" xfId="705" applyNumberFormat="1" applyFont="1" applyBorder="1">
      <alignment horizontal="left" vertical="center"/>
    </xf>
    <xf numFmtId="49" fontId="29" fillId="0" borderId="17" xfId="706" applyNumberFormat="1" applyFont="1" applyBorder="1">
      <alignment horizontal="left" vertical="center" indent="2"/>
    </xf>
    <xf numFmtId="49" fontId="60" fillId="0" borderId="17" xfId="707" applyNumberFormat="1" applyFont="1" applyBorder="1">
      <alignment horizontal="center" vertical="top"/>
    </xf>
    <xf numFmtId="0" fontId="25" fillId="0" borderId="12" xfId="710" applyFont="1" applyBorder="1">
      <alignment horizontal="left" vertical="top" wrapText="1"/>
    </xf>
    <xf numFmtId="49" fontId="29" fillId="10" borderId="17" xfId="711" applyNumberFormat="1" applyFont="1" applyFill="1" applyBorder="1">
      <alignment horizontal="left" vertical="center" indent="2"/>
    </xf>
    <xf numFmtId="49" fontId="0" fillId="0" borderId="14" xfId="712" applyNumberFormat="1" applyFont="1" applyBorder="1">
      <alignment horizontal="left" vertical="center" wrapText="1" indent="2"/>
    </xf>
    <xf numFmtId="49" fontId="0" fillId="0" borderId="14" xfId="713" applyNumberFormat="1" applyFont="1" applyBorder="1">
      <alignment vertical="center" wrapText="1"/>
    </xf>
    <xf numFmtId="0" fontId="8" fillId="0" borderId="0" xfId="714" applyFont="1">
      <alignment horizontal="right" vertical="top" wrapText="1"/>
    </xf>
    <xf numFmtId="0" fontId="8" fillId="0" borderId="0" xfId="715" applyFont="1">
      <alignment horizontal="left" vertical="top" wrapText="1"/>
    </xf>
    <xf numFmtId="0" fontId="25" fillId="0" borderId="36" xfId="716" applyFont="1" applyBorder="1">
      <alignment vertical="center" wrapText="1"/>
    </xf>
    <xf numFmtId="0" fontId="61" fillId="0" borderId="19" xfId="719" applyFont="1" applyBorder="1">
      <alignment vertical="center" wrapText="1"/>
    </xf>
    <xf numFmtId="3" fontId="8" fillId="4" borderId="12" xfId="720" applyNumberFormat="1" applyFont="1" applyFill="1" applyBorder="1">
      <alignment horizontal="right" vertical="center" wrapText="1"/>
      <protection locked="0"/>
    </xf>
    <xf numFmtId="4" fontId="8" fillId="4" borderId="12" xfId="721" applyNumberFormat="1" applyFont="1" applyFill="1" applyBorder="1">
      <alignment horizontal="right" vertical="center" wrapText="1"/>
      <protection locked="0"/>
    </xf>
    <xf numFmtId="0" fontId="8" fillId="0" borderId="0" xfId="722" applyFont="1">
      <alignment vertical="top" wrapText="1"/>
    </xf>
    <xf numFmtId="0" fontId="8" fillId="0" borderId="0" xfId="723" applyFont="1">
      <alignment vertical="top"/>
    </xf>
    <xf numFmtId="49" fontId="17" fillId="0" borderId="14" xfId="724" applyNumberFormat="1" applyFont="1" applyBorder="1">
      <alignment horizontal="left" vertical="center" wrapText="1"/>
    </xf>
    <xf numFmtId="49" fontId="8" fillId="0" borderId="41" xfId="725" applyNumberFormat="1" applyFont="1" applyBorder="1">
      <alignment horizontal="center" vertical="center" wrapText="1"/>
    </xf>
    <xf numFmtId="0" fontId="8" fillId="0" borderId="41" xfId="726" applyFont="1" applyBorder="1">
      <alignment horizontal="left" vertical="center" wrapText="1"/>
    </xf>
    <xf numFmtId="4" fontId="8" fillId="0" borderId="42" xfId="727" applyNumberFormat="1" applyFont="1" applyBorder="1">
      <alignment horizontal="center" vertical="center" wrapText="1"/>
    </xf>
    <xf numFmtId="49" fontId="17" fillId="0" borderId="26" xfId="728" applyNumberFormat="1" applyFont="1" applyBorder="1">
      <alignment horizontal="left" vertical="center" wrapText="1"/>
    </xf>
    <xf numFmtId="49" fontId="8" fillId="0" borderId="43" xfId="729" applyNumberFormat="1" applyFont="1" applyBorder="1">
      <alignment horizontal="center" vertical="center" wrapText="1"/>
    </xf>
    <xf numFmtId="0" fontId="8" fillId="0" borderId="44" xfId="730" applyFont="1" applyBorder="1">
      <alignment horizontal="left" vertical="center" wrapText="1" indent="1"/>
    </xf>
    <xf numFmtId="4" fontId="8" fillId="7" borderId="43" xfId="731" applyNumberFormat="1" applyFont="1" applyFill="1" applyBorder="1">
      <alignment horizontal="right" vertical="center" wrapText="1"/>
      <protection locked="0"/>
    </xf>
    <xf numFmtId="49" fontId="17" fillId="0" borderId="12" xfId="732" applyNumberFormat="1" applyFont="1" applyBorder="1">
      <alignment horizontal="left" vertical="center" wrapText="1"/>
    </xf>
    <xf numFmtId="4" fontId="8" fillId="0" borderId="23" xfId="733" applyNumberFormat="1" applyFont="1" applyBorder="1">
      <alignment horizontal="center" vertical="center" wrapText="1"/>
    </xf>
    <xf numFmtId="4" fontId="8" fillId="7" borderId="45" xfId="734" applyNumberFormat="1" applyFont="1" applyFill="1" applyBorder="1">
      <alignment horizontal="right" vertical="center" wrapText="1"/>
      <protection locked="0"/>
    </xf>
    <xf numFmtId="0" fontId="8" fillId="0" borderId="44" xfId="735" applyFont="1" applyBorder="1">
      <alignment horizontal="left" vertical="center" wrapText="1"/>
    </xf>
    <xf numFmtId="49" fontId="17" fillId="0" borderId="16" xfId="736" applyNumberFormat="1" applyFont="1" applyBorder="1">
      <alignment horizontal="left" vertical="center" wrapText="1"/>
    </xf>
    <xf numFmtId="0" fontId="8" fillId="0" borderId="43" xfId="737" applyFont="1" applyBorder="1">
      <alignment horizontal="left" vertical="center" wrapText="1" indent="1"/>
    </xf>
    <xf numFmtId="4" fontId="8" fillId="0" borderId="41" xfId="738" applyNumberFormat="1" applyFont="1" applyBorder="1">
      <alignment horizontal="center" vertical="center" wrapText="1"/>
    </xf>
    <xf numFmtId="0" fontId="8" fillId="0" borderId="43" xfId="739" applyFont="1" applyBorder="1">
      <alignment horizontal="left" vertical="center" wrapText="1"/>
    </xf>
    <xf numFmtId="0" fontId="8" fillId="0" borderId="43" xfId="740" applyFont="1" applyBorder="1">
      <alignment horizontal="left" vertical="center" wrapText="1" indent="2"/>
    </xf>
    <xf numFmtId="4" fontId="8" fillId="0" borderId="43" xfId="741" applyNumberFormat="1" applyFont="1" applyBorder="1">
      <alignment horizontal="center" vertical="center" wrapText="1"/>
    </xf>
    <xf numFmtId="49" fontId="8" fillId="0" borderId="46" xfId="742" applyNumberFormat="1" applyFont="1" applyBorder="1">
      <alignment horizontal="center" vertical="center" wrapText="1"/>
    </xf>
    <xf numFmtId="0" fontId="8" fillId="0" borderId="45" xfId="743" applyFont="1" applyBorder="1">
      <alignment horizontal="left" vertical="center" wrapText="1"/>
    </xf>
    <xf numFmtId="4" fontId="8" fillId="0" borderId="45" xfId="744" applyNumberFormat="1" applyFont="1" applyBorder="1">
      <alignment horizontal="center" vertical="center" wrapText="1"/>
    </xf>
    <xf numFmtId="49" fontId="17" fillId="0" borderId="24" xfId="745" applyNumberFormat="1" applyFont="1" applyBorder="1">
      <alignment horizontal="left" vertical="center" wrapText="1"/>
    </xf>
    <xf numFmtId="49" fontId="8" fillId="0" borderId="44" xfId="746" applyNumberFormat="1" applyFont="1" applyBorder="1">
      <alignment horizontal="center" vertical="center" wrapText="1"/>
    </xf>
    <xf numFmtId="4" fontId="8" fillId="7" borderId="44" xfId="747" applyNumberFormat="1" applyFont="1" applyFill="1" applyBorder="1">
      <alignment horizontal="right" vertical="center" wrapText="1"/>
      <protection locked="0"/>
    </xf>
    <xf numFmtId="4" fontId="8" fillId="0" borderId="44" xfId="748" applyNumberFormat="1" applyFont="1" applyBorder="1">
      <alignment horizontal="center" vertical="center" wrapText="1"/>
    </xf>
    <xf numFmtId="4" fontId="8" fillId="7" borderId="46" xfId="749" applyNumberFormat="1" applyFont="1" applyFill="1" applyBorder="1">
      <alignment horizontal="right" vertical="center" wrapText="1"/>
      <protection locked="0"/>
    </xf>
    <xf numFmtId="0" fontId="28" fillId="0" borderId="20" xfId="750" applyFont="1" applyBorder="1">
      <alignment horizontal="center" vertical="center" wrapText="1"/>
    </xf>
    <xf numFmtId="0" fontId="0" fillId="0" borderId="12" xfId="751" applyFont="1" applyBorder="1">
      <alignment horizontal="center" vertical="center"/>
    </xf>
    <xf numFmtId="168" fontId="0" fillId="4" borderId="14" xfId="752" applyNumberFormat="1" applyFont="1" applyFill="1" applyBorder="1">
      <alignment horizontal="left" vertical="center" wrapText="1" indent="1"/>
      <protection locked="0"/>
    </xf>
    <xf numFmtId="0" fontId="8" fillId="6" borderId="12" xfId="753" applyFont="1" applyFill="1" applyBorder="1">
      <alignment horizontal="left" vertical="top" wrapText="1" indent="1"/>
    </xf>
    <xf numFmtId="49" fontId="0" fillId="0" borderId="12" xfId="755" applyNumberFormat="1" applyFont="1" applyBorder="1">
      <alignment horizontal="center" vertical="center"/>
    </xf>
    <xf numFmtId="0" fontId="8" fillId="10" borderId="17" xfId="756" applyFont="1" applyFill="1" applyBorder="1">
      <alignment vertical="center" wrapText="1"/>
    </xf>
    <xf numFmtId="0" fontId="8" fillId="0" borderId="11" xfId="757" applyFont="1" applyBorder="1">
      <alignment vertical="center" wrapText="1"/>
    </xf>
    <xf numFmtId="0" fontId="8" fillId="10" borderId="36" xfId="758" applyFont="1" applyFill="1" applyBorder="1">
      <alignment vertical="center" wrapText="1"/>
    </xf>
    <xf numFmtId="0" fontId="28" fillId="0" borderId="0" xfId="759" applyFont="1">
      <alignment horizontal="center" vertical="center" wrapText="1"/>
    </xf>
    <xf numFmtId="0" fontId="62" fillId="0" borderId="0" xfId="760" applyFont="1">
      <alignment vertical="center" wrapText="1"/>
    </xf>
    <xf numFmtId="0" fontId="0" fillId="8" borderId="23" xfId="761" applyFont="1" applyFill="1" applyBorder="1">
      <alignment horizontal="center" vertical="center" wrapText="1"/>
    </xf>
    <xf numFmtId="0" fontId="0" fillId="0" borderId="14" xfId="762" applyFont="1" applyBorder="1">
      <alignment horizontal="left" vertical="center" wrapText="1" indent="1"/>
    </xf>
    <xf numFmtId="0" fontId="8" fillId="10" borderId="25" xfId="764" applyFont="1" applyFill="1" applyBorder="1">
      <alignment vertical="center" wrapText="1"/>
    </xf>
    <xf numFmtId="0" fontId="8" fillId="8" borderId="10" xfId="765" applyFont="1" applyFill="1" applyBorder="1">
      <alignment vertical="center" wrapText="1"/>
    </xf>
    <xf numFmtId="49" fontId="38" fillId="0" borderId="10" xfId="766" applyNumberFormat="1" applyFont="1" applyBorder="1">
      <alignment vertical="top"/>
    </xf>
    <xf numFmtId="0" fontId="12" fillId="8" borderId="10" xfId="767" applyFont="1" applyFill="1" applyBorder="1">
      <alignment horizontal="center" wrapText="1"/>
    </xf>
    <xf numFmtId="0" fontId="8" fillId="0" borderId="4" xfId="771" applyFont="1" applyBorder="1">
      <alignment vertical="center" wrapText="1"/>
    </xf>
    <xf numFmtId="0" fontId="8" fillId="8" borderId="17" xfId="772" applyFont="1" applyFill="1" applyBorder="1">
      <alignment vertical="center" wrapText="1"/>
    </xf>
    <xf numFmtId="0" fontId="25" fillId="0" borderId="10" xfId="773" applyFont="1" applyBorder="1">
      <alignment vertical="center" wrapText="1"/>
    </xf>
    <xf numFmtId="0" fontId="8" fillId="0" borderId="4" xfId="776" applyFont="1" applyBorder="1">
      <alignment vertical="center"/>
    </xf>
    <xf numFmtId="49" fontId="8" fillId="0" borderId="19" xfId="778" applyNumberFormat="1" applyFont="1" applyBorder="1">
      <alignment vertical="top"/>
    </xf>
    <xf numFmtId="49" fontId="0" fillId="6" borderId="14" xfId="782" applyNumberFormat="1" applyFont="1" applyFill="1" applyBorder="1">
      <alignment horizontal="center" vertical="center"/>
    </xf>
    <xf numFmtId="0" fontId="8" fillId="0" borderId="19" xfId="783" applyFont="1" applyBorder="1">
      <alignment vertical="center" wrapText="1"/>
    </xf>
    <xf numFmtId="4" fontId="0" fillId="6" borderId="14" xfId="784" applyNumberFormat="1" applyFont="1" applyFill="1" applyBorder="1">
      <alignment horizontal="right" vertical="center" wrapText="1"/>
    </xf>
    <xf numFmtId="4" fontId="0" fillId="4" borderId="14" xfId="785" applyNumberFormat="1" applyFont="1" applyFill="1" applyBorder="1">
      <alignment horizontal="right" vertical="center" wrapText="1"/>
      <protection locked="0"/>
    </xf>
    <xf numFmtId="49" fontId="0" fillId="0" borderId="14" xfId="786" applyNumberFormat="1" applyFont="1" applyBorder="1">
      <alignment horizontal="left" vertical="center" wrapText="1" indent="3"/>
    </xf>
    <xf numFmtId="49" fontId="30" fillId="0" borderId="0" xfId="787" applyNumberFormat="1" applyFont="1">
      <alignment vertical="center"/>
    </xf>
    <xf numFmtId="49" fontId="30" fillId="0" borderId="0" xfId="788" applyNumberFormat="1" applyFont="1">
      <alignment vertical="center" wrapText="1"/>
    </xf>
    <xf numFmtId="49" fontId="8" fillId="8" borderId="0" xfId="789" applyNumberFormat="1" applyFont="1" applyFill="1">
      <alignment horizontal="center" vertical="top" wrapText="1"/>
    </xf>
    <xf numFmtId="49" fontId="8" fillId="0" borderId="0" xfId="791" applyNumberFormat="1" applyFont="1">
      <alignment horizontal="center" vertical="top" wrapText="1"/>
    </xf>
    <xf numFmtId="49" fontId="8" fillId="0" borderId="0" xfId="792" applyNumberFormat="1" applyFont="1">
      <alignment horizontal="center" vertical="center" wrapText="1"/>
    </xf>
    <xf numFmtId="49" fontId="30" fillId="0" borderId="0" xfId="793" applyNumberFormat="1" applyFont="1">
      <alignment horizontal="center" vertical="center" wrapText="1"/>
    </xf>
    <xf numFmtId="49" fontId="8" fillId="0" borderId="11" xfId="808" applyNumberFormat="1" applyFont="1" applyBorder="1">
      <alignment horizontal="center" vertical="center" wrapText="1"/>
    </xf>
    <xf numFmtId="49" fontId="30" fillId="8" borderId="0" xfId="809" applyNumberFormat="1" applyFont="1" applyFill="1">
      <alignment vertical="center" wrapText="1"/>
    </xf>
    <xf numFmtId="49" fontId="30" fillId="8" borderId="0" xfId="816" applyNumberFormat="1" applyFont="1" applyFill="1">
      <alignment vertical="center"/>
    </xf>
    <xf numFmtId="49" fontId="28" fillId="0" borderId="14" xfId="817" applyNumberFormat="1" applyFont="1" applyBorder="1">
      <alignment horizontal="center" vertical="center"/>
    </xf>
    <xf numFmtId="49" fontId="28" fillId="20" borderId="14" xfId="818" applyNumberFormat="1" applyFont="1" applyFill="1" applyBorder="1">
      <alignment horizontal="center" vertical="center"/>
    </xf>
    <xf numFmtId="0" fontId="28" fillId="0" borderId="14" xfId="819" applyFont="1" applyBorder="1">
      <alignment horizontal="center" vertical="center"/>
    </xf>
    <xf numFmtId="49" fontId="28" fillId="0" borderId="21" xfId="820" applyNumberFormat="1" applyFont="1" applyBorder="1">
      <alignment horizontal="center" vertical="center"/>
    </xf>
    <xf numFmtId="49" fontId="18" fillId="0" borderId="23" xfId="821" applyNumberFormat="1" applyFont="1" applyBorder="1">
      <alignment horizontal="center" vertical="center"/>
    </xf>
    <xf numFmtId="0" fontId="8" fillId="0" borderId="23" xfId="822" applyFont="1" applyBorder="1">
      <alignment horizontal="right" vertical="center"/>
    </xf>
    <xf numFmtId="0" fontId="8" fillId="0" borderId="23" xfId="823" applyFont="1" applyBorder="1">
      <alignment horizontal="center" vertical="center"/>
    </xf>
    <xf numFmtId="0" fontId="8" fillId="0" borderId="14" xfId="824" applyFont="1" applyBorder="1">
      <alignment horizontal="right" vertical="center"/>
    </xf>
    <xf numFmtId="4" fontId="30" fillId="8" borderId="0" xfId="825" applyNumberFormat="1" applyFont="1" applyFill="1">
      <alignment vertical="center"/>
    </xf>
    <xf numFmtId="49" fontId="63" fillId="0" borderId="0" xfId="826" applyNumberFormat="1" applyFont="1">
      <alignment vertical="center" wrapText="1"/>
    </xf>
    <xf numFmtId="49" fontId="28" fillId="0" borderId="0" xfId="827" applyNumberFormat="1" applyFont="1">
      <alignment horizontal="center" vertical="center" wrapText="1"/>
    </xf>
    <xf numFmtId="3" fontId="8" fillId="7" borderId="12" xfId="828" applyNumberFormat="1" applyFont="1" applyFill="1" applyBorder="1">
      <alignment vertical="center" wrapText="1"/>
      <protection locked="0"/>
    </xf>
    <xf numFmtId="4" fontId="8" fillId="6" borderId="12" xfId="829" applyNumberFormat="1" applyFont="1" applyFill="1" applyBorder="1">
      <alignment horizontal="right" vertical="center" wrapText="1"/>
    </xf>
    <xf numFmtId="0" fontId="18" fillId="0" borderId="14" xfId="830" applyFont="1" applyBorder="1">
      <alignment vertical="top" wrapText="1"/>
    </xf>
    <xf numFmtId="0" fontId="0" fillId="0" borderId="14" xfId="831" applyFont="1" applyBorder="1">
      <alignment vertical="center" wrapText="1"/>
    </xf>
    <xf numFmtId="0" fontId="0" fillId="7" borderId="14" xfId="832" applyFont="1" applyFill="1" applyBorder="1">
      <alignment horizontal="left" vertical="center" wrapText="1" indent="2"/>
      <protection locked="0"/>
    </xf>
    <xf numFmtId="49" fontId="60" fillId="10" borderId="16" xfId="833" applyNumberFormat="1" applyFont="1" applyFill="1" applyBorder="1">
      <alignment horizontal="center" vertical="top"/>
    </xf>
    <xf numFmtId="49" fontId="37" fillId="0" borderId="14" xfId="834" applyNumberFormat="1" applyFont="1" applyBorder="1">
      <alignment horizontal="center" vertical="center" wrapText="1"/>
    </xf>
    <xf numFmtId="0" fontId="37" fillId="0" borderId="14" xfId="835" applyFont="1" applyBorder="1">
      <alignment horizontal="left" vertical="center" wrapText="1" indent="2"/>
    </xf>
    <xf numFmtId="49" fontId="64" fillId="0" borderId="12" xfId="836" applyNumberFormat="1" applyFont="1" applyBorder="1">
      <alignment horizontal="left" vertical="center" wrapText="1"/>
    </xf>
    <xf numFmtId="0" fontId="8" fillId="0" borderId="23" xfId="837" applyFont="1" applyBorder="1">
      <alignment vertical="top" wrapText="1"/>
    </xf>
    <xf numFmtId="0" fontId="0" fillId="7" borderId="14" xfId="838" applyFont="1" applyFill="1" applyBorder="1">
      <alignment horizontal="left" vertical="center" wrapText="1"/>
      <protection locked="0"/>
    </xf>
    <xf numFmtId="0" fontId="0" fillId="0" borderId="14" xfId="839" applyFont="1" applyBorder="1">
      <alignment horizontal="left" vertical="center" wrapText="1" indent="2"/>
    </xf>
    <xf numFmtId="168" fontId="0" fillId="7" borderId="14" xfId="840" applyNumberFormat="1" applyFont="1" applyFill="1" applyBorder="1">
      <alignment horizontal="left" vertical="center" wrapText="1"/>
      <protection locked="0"/>
    </xf>
    <xf numFmtId="49" fontId="18" fillId="0" borderId="0" xfId="841" applyNumberFormat="1" applyFont="1">
      <alignment vertical="top"/>
    </xf>
    <xf numFmtId="168" fontId="0" fillId="7" borderId="11" xfId="842" applyNumberFormat="1" applyFont="1" applyFill="1" applyBorder="1">
      <alignment horizontal="left" vertical="center" wrapText="1"/>
      <protection locked="0"/>
    </xf>
    <xf numFmtId="168" fontId="0" fillId="7" borderId="12" xfId="843" applyNumberFormat="1" applyFont="1" applyFill="1" applyBorder="1">
      <alignment horizontal="left" vertical="center" wrapText="1"/>
      <protection locked="0"/>
    </xf>
    <xf numFmtId="0" fontId="0" fillId="8" borderId="12" xfId="845" applyFont="1" applyFill="1" applyBorder="1">
      <alignment horizontal="right" vertical="center" wrapText="1" indent="1"/>
    </xf>
    <xf numFmtId="49" fontId="0" fillId="8" borderId="23" xfId="847" applyNumberFormat="1" applyFont="1" applyFill="1" applyBorder="1">
      <alignment horizontal="center" vertical="center" wrapText="1"/>
    </xf>
    <xf numFmtId="49" fontId="29" fillId="10" borderId="36" xfId="851" applyNumberFormat="1" applyFont="1" applyFill="1" applyBorder="1">
      <alignment horizontal="left" vertical="center" indent="2"/>
    </xf>
    <xf numFmtId="49" fontId="0" fillId="8" borderId="12" xfId="855" applyNumberFormat="1" applyFont="1" applyFill="1" applyBorder="1">
      <alignment horizontal="center" vertical="center" wrapText="1"/>
    </xf>
    <xf numFmtId="49" fontId="8" fillId="0" borderId="17" xfId="856" applyNumberFormat="1" applyFont="1" applyBorder="1">
      <alignment vertical="top"/>
    </xf>
    <xf numFmtId="49" fontId="8" fillId="0" borderId="0" xfId="857" applyNumberFormat="1" applyFont="1">
      <alignment vertical="top" wrapText="1"/>
    </xf>
    <xf numFmtId="0" fontId="8" fillId="0" borderId="17" xfId="858" applyFont="1" applyBorder="1">
      <alignment horizontal="left" vertical="top" wrapText="1"/>
    </xf>
    <xf numFmtId="3" fontId="8" fillId="0" borderId="12" xfId="859" applyNumberFormat="1" applyFont="1" applyBorder="1">
      <alignment vertical="center" wrapText="1"/>
    </xf>
    <xf numFmtId="4" fontId="8" fillId="0" borderId="12" xfId="860" applyNumberFormat="1" applyFont="1" applyBorder="1">
      <alignment horizontal="right" vertical="center" wrapText="1"/>
    </xf>
    <xf numFmtId="49" fontId="9" fillId="17" borderId="0" xfId="861" applyNumberFormat="1" applyFont="1" applyFill="1">
      <alignment horizontal="center" vertical="center"/>
    </xf>
    <xf numFmtId="49" fontId="8" fillId="0" borderId="14" xfId="862" applyNumberFormat="1" applyFont="1" applyBorder="1">
      <alignment horizontal="center" vertical="top"/>
    </xf>
    <xf numFmtId="49" fontId="18" fillId="17" borderId="0" xfId="863" applyNumberFormat="1" applyFont="1" applyFill="1">
      <alignment horizontal="center" vertical="center" wrapText="1"/>
    </xf>
    <xf numFmtId="0" fontId="0" fillId="16" borderId="14" xfId="864" applyFont="1" applyFill="1" applyBorder="1">
      <alignment horizontal="center" vertical="center"/>
    </xf>
    <xf numFmtId="49" fontId="18" fillId="17" borderId="14" xfId="865" applyNumberFormat="1" applyFont="1" applyFill="1" applyBorder="1">
      <alignment horizontal="center" vertical="center"/>
    </xf>
    <xf numFmtId="49" fontId="18" fillId="18" borderId="14" xfId="866" applyNumberFormat="1" applyFont="1" applyFill="1" applyBorder="1">
      <alignment horizontal="center" vertical="center"/>
    </xf>
    <xf numFmtId="49" fontId="0" fillId="19" borderId="14" xfId="867" applyNumberFormat="1" applyFont="1" applyFill="1" applyBorder="1">
      <alignment horizontal="center" vertical="center"/>
    </xf>
    <xf numFmtId="0" fontId="8" fillId="0" borderId="14" xfId="868" applyFont="1" applyBorder="1">
      <alignment vertical="center"/>
    </xf>
    <xf numFmtId="0" fontId="0" fillId="0" borderId="14" xfId="869" applyFont="1" applyBorder="1">
      <alignment vertical="center"/>
    </xf>
    <xf numFmtId="0" fontId="0" fillId="0" borderId="12" xfId="870" applyFont="1" applyBorder="1">
      <alignment vertical="center"/>
    </xf>
    <xf numFmtId="0" fontId="8" fillId="0" borderId="12" xfId="871" applyFont="1" applyBorder="1">
      <alignment horizontal="left" vertical="center"/>
    </xf>
    <xf numFmtId="49" fontId="8" fillId="0" borderId="48" xfId="872" applyNumberFormat="1" applyFont="1" applyBorder="1">
      <alignment vertical="center"/>
    </xf>
    <xf numFmtId="49" fontId="8" fillId="0" borderId="49" xfId="873" applyNumberFormat="1" applyFont="1" applyBorder="1">
      <alignment vertical="top"/>
    </xf>
    <xf numFmtId="49" fontId="8" fillId="0" borderId="50" xfId="874" applyNumberFormat="1" applyFont="1" applyBorder="1">
      <alignment vertical="top"/>
    </xf>
    <xf numFmtId="0" fontId="0" fillId="0" borderId="11" xfId="875" applyFont="1" applyBorder="1">
      <alignment vertical="center"/>
    </xf>
    <xf numFmtId="0" fontId="0" fillId="0" borderId="14" xfId="876" applyFont="1" applyBorder="1">
      <alignment horizontal="right" vertical="top"/>
    </xf>
    <xf numFmtId="0" fontId="0" fillId="0" borderId="14" xfId="877" applyFont="1" applyBorder="1">
      <alignment vertical="top"/>
    </xf>
    <xf numFmtId="0" fontId="8" fillId="0" borderId="11" xfId="878" applyFont="1" applyBorder="1">
      <alignment vertical="center"/>
    </xf>
    <xf numFmtId="49" fontId="8" fillId="0" borderId="14" xfId="879" applyNumberFormat="1" applyFont="1" applyBorder="1">
      <alignment vertical="center"/>
    </xf>
    <xf numFmtId="0" fontId="8" fillId="0" borderId="14" xfId="880" applyFont="1" applyBorder="1">
      <alignment vertical="top"/>
    </xf>
    <xf numFmtId="0" fontId="0" fillId="21" borderId="0" xfId="881" applyFont="1" applyFill="1">
      <alignment horizontal="right" vertical="center"/>
    </xf>
    <xf numFmtId="0" fontId="0" fillId="21" borderId="0" xfId="882" applyFont="1" applyFill="1">
      <alignment horizontal="left" vertical="center"/>
    </xf>
    <xf numFmtId="0" fontId="0" fillId="0" borderId="0" xfId="883" applyFont="1">
      <alignment horizontal="right" vertical="top"/>
    </xf>
    <xf numFmtId="49" fontId="8" fillId="0" borderId="12" xfId="884" applyNumberFormat="1" applyFont="1" applyBorder="1">
      <alignment vertical="top"/>
    </xf>
    <xf numFmtId="0" fontId="53" fillId="21" borderId="0" xfId="885" applyFont="1" applyFill="1">
      <alignment horizontal="left" vertical="center"/>
    </xf>
    <xf numFmtId="49" fontId="0" fillId="0" borderId="12" xfId="886" applyNumberFormat="1" applyFont="1" applyBorder="1">
      <alignment vertical="top"/>
    </xf>
    <xf numFmtId="49" fontId="8" fillId="0" borderId="14" xfId="887" applyNumberFormat="1" applyFont="1" applyBorder="1">
      <alignment horizontal="right" vertical="top"/>
    </xf>
    <xf numFmtId="0" fontId="0" fillId="0" borderId="12" xfId="888" applyFont="1" applyBorder="1">
      <alignment horizontal="left" vertical="center"/>
    </xf>
    <xf numFmtId="49" fontId="8" fillId="0" borderId="23" xfId="889" applyNumberFormat="1" applyFont="1" applyBorder="1">
      <alignment horizontal="right" vertical="top"/>
    </xf>
    <xf numFmtId="0" fontId="0" fillId="0" borderId="23" xfId="890" applyFont="1" applyBorder="1">
      <alignment vertical="top"/>
    </xf>
    <xf numFmtId="0" fontId="8" fillId="0" borderId="23" xfId="891" applyFont="1" applyBorder="1">
      <alignment vertical="center"/>
    </xf>
    <xf numFmtId="49" fontId="8" fillId="0" borderId="43" xfId="892" applyNumberFormat="1" applyFont="1" applyBorder="1">
      <alignment horizontal="center" vertical="center"/>
    </xf>
    <xf numFmtId="49" fontId="8" fillId="0" borderId="14" xfId="893" applyNumberFormat="1" applyFont="1" applyBorder="1">
      <alignment horizontal="right" vertical="center"/>
    </xf>
    <xf numFmtId="49" fontId="8" fillId="0" borderId="14" xfId="894" applyNumberFormat="1" applyFont="1" applyBorder="1">
      <alignment vertical="top"/>
    </xf>
    <xf numFmtId="0" fontId="8" fillId="21" borderId="0" xfId="895" applyFont="1" applyFill="1">
      <alignment horizontal="left" vertical="center"/>
    </xf>
    <xf numFmtId="0" fontId="0" fillId="21" borderId="51" xfId="896" applyFont="1" applyFill="1" applyBorder="1">
      <alignment horizontal="center"/>
    </xf>
    <xf numFmtId="49" fontId="65" fillId="0" borderId="50" xfId="897" applyNumberFormat="1" applyFont="1" applyBorder="1">
      <alignment vertical="top"/>
    </xf>
    <xf numFmtId="49" fontId="30" fillId="13" borderId="0" xfId="898" applyNumberFormat="1" applyFont="1" applyFill="1">
      <alignment vertical="center" wrapText="1"/>
    </xf>
    <xf numFmtId="0" fontId="0" fillId="0" borderId="51" xfId="899" applyFont="1" applyBorder="1">
      <alignment horizontal="center"/>
    </xf>
    <xf numFmtId="49" fontId="9" fillId="17" borderId="0" xfId="900" applyNumberFormat="1" applyFont="1" applyFill="1">
      <alignment horizontal="center" vertical="center" wrapText="1"/>
    </xf>
    <xf numFmtId="49" fontId="8" fillId="21" borderId="0" xfId="901" applyNumberFormat="1" applyFont="1" applyFill="1">
      <alignment horizontal="center" vertical="center"/>
    </xf>
    <xf numFmtId="49" fontId="0" fillId="4" borderId="43" xfId="902" applyNumberFormat="1" applyFont="1" applyFill="1" applyBorder="1">
      <alignment horizontal="left" vertical="center"/>
      <protection locked="0"/>
    </xf>
    <xf numFmtId="49" fontId="0" fillId="0" borderId="43" xfId="903" applyNumberFormat="1" applyFont="1" applyBorder="1">
      <alignment horizontal="right" vertical="center"/>
    </xf>
    <xf numFmtId="0" fontId="0" fillId="6" borderId="43" xfId="904" applyFont="1" applyFill="1" applyBorder="1">
      <alignment horizontal="center" vertical="center"/>
    </xf>
    <xf numFmtId="49" fontId="0" fillId="0" borderId="43" xfId="905" applyNumberFormat="1" applyFont="1" applyBorder="1">
      <alignment horizontal="center" vertical="center"/>
    </xf>
    <xf numFmtId="0" fontId="2" fillId="0" borderId="52" xfId="906" applyFont="1" applyBorder="1">
      <alignment horizontal="center" vertical="center"/>
    </xf>
    <xf numFmtId="0" fontId="0" fillId="0" borderId="52" xfId="907" applyFont="1" applyBorder="1">
      <alignment horizontal="center" vertical="center"/>
    </xf>
    <xf numFmtId="49" fontId="9" fillId="17" borderId="14" xfId="908" applyNumberFormat="1" applyFont="1" applyFill="1" applyBorder="1">
      <alignment horizontal="right" vertical="center"/>
    </xf>
    <xf numFmtId="49" fontId="8" fillId="4" borderId="24" xfId="909" applyNumberFormat="1" applyFont="1" applyFill="1" applyBorder="1">
      <alignment vertical="top"/>
      <protection locked="0"/>
    </xf>
    <xf numFmtId="0" fontId="0" fillId="20" borderId="14" xfId="910" applyFont="1" applyFill="1" applyBorder="1">
      <alignment horizontal="right" vertical="center"/>
    </xf>
    <xf numFmtId="49" fontId="8" fillId="20" borderId="21" xfId="911" applyNumberFormat="1" applyFont="1" applyFill="1" applyBorder="1">
      <alignment vertical="top"/>
    </xf>
    <xf numFmtId="49" fontId="8" fillId="20" borderId="14" xfId="912" applyNumberFormat="1" applyFont="1" applyFill="1" applyBorder="1">
      <alignment vertical="top"/>
    </xf>
    <xf numFmtId="49" fontId="8" fillId="0" borderId="12" xfId="913" applyNumberFormat="1" applyFont="1" applyBorder="1">
      <alignment horizontal="center" vertical="top"/>
    </xf>
    <xf numFmtId="49" fontId="8" fillId="0" borderId="11" xfId="914" applyNumberFormat="1" applyFont="1" applyBorder="1">
      <alignment horizontal="center" vertical="top"/>
    </xf>
    <xf numFmtId="0" fontId="8" fillId="6" borderId="26" xfId="915" applyFont="1" applyFill="1" applyBorder="1">
      <alignment horizontal="center" vertical="top"/>
    </xf>
    <xf numFmtId="0" fontId="8" fillId="6" borderId="26" xfId="916" applyFont="1" applyFill="1" applyBorder="1">
      <alignment horizontal="left" vertical="top"/>
    </xf>
    <xf numFmtId="0" fontId="0" fillId="0" borderId="41" xfId="917" applyFont="1" applyBorder="1">
      <alignment horizontal="center" vertical="center"/>
    </xf>
    <xf numFmtId="0" fontId="0" fillId="0" borderId="46" xfId="918" applyFont="1" applyBorder="1">
      <alignment horizontal="center" vertical="center"/>
    </xf>
    <xf numFmtId="0" fontId="8" fillId="0" borderId="14" xfId="919" applyFont="1" applyBorder="1">
      <alignment horizontal="left" vertical="top"/>
    </xf>
    <xf numFmtId="0" fontId="0" fillId="0" borderId="44" xfId="920" applyFont="1" applyBorder="1">
      <alignment horizontal="center" vertical="center"/>
    </xf>
    <xf numFmtId="49" fontId="9" fillId="17" borderId="12" xfId="921" applyNumberFormat="1" applyFont="1" applyFill="1" applyBorder="1">
      <alignment horizontal="right" vertical="center"/>
    </xf>
    <xf numFmtId="49" fontId="0" fillId="0" borderId="0" xfId="922" applyNumberFormat="1" applyFont="1">
      <alignment vertical="center"/>
    </xf>
    <xf numFmtId="0" fontId="0" fillId="21" borderId="0" xfId="923" applyFont="1" applyFill="1">
      <alignment horizontal="right" vertical="top" wrapText="1"/>
    </xf>
    <xf numFmtId="49" fontId="8" fillId="8" borderId="14" xfId="924" applyNumberFormat="1" applyFont="1" applyFill="1" applyBorder="1">
      <alignment horizontal="center" vertical="center"/>
    </xf>
    <xf numFmtId="0" fontId="18" fillId="8" borderId="0" xfId="925" applyFont="1" applyFill="1"/>
    <xf numFmtId="0" fontId="66" fillId="8" borderId="0" xfId="926" applyFont="1" applyFill="1"/>
    <xf numFmtId="0" fontId="25" fillId="8" borderId="0" xfId="927" applyFont="1" applyFill="1">
      <alignment horizontal="center" vertical="center" wrapText="1"/>
    </xf>
    <xf numFmtId="0" fontId="36" fillId="8" borderId="0" xfId="929" applyFont="1" applyFill="1">
      <alignment vertical="center" wrapText="1"/>
    </xf>
    <xf numFmtId="0" fontId="25" fillId="8" borderId="14" xfId="930" applyFont="1" applyFill="1" applyBorder="1">
      <alignment horizontal="center" vertical="center"/>
    </xf>
    <xf numFmtId="0" fontId="37" fillId="8" borderId="0" xfId="932" applyFont="1" applyFill="1"/>
    <xf numFmtId="0" fontId="58" fillId="8" borderId="0" xfId="934" applyFont="1" applyFill="1"/>
    <xf numFmtId="0" fontId="8" fillId="8" borderId="14" xfId="935" applyFont="1" applyFill="1" applyBorder="1">
      <alignment horizontal="left" vertical="top" wrapText="1"/>
    </xf>
    <xf numFmtId="49" fontId="17" fillId="4" borderId="21" xfId="936" applyNumberFormat="1" applyFont="1" applyFill="1" applyBorder="1">
      <alignment horizontal="left" vertical="center" wrapText="1"/>
      <protection locked="0"/>
    </xf>
    <xf numFmtId="0" fontId="8" fillId="8" borderId="14" xfId="937" applyFont="1" applyFill="1" applyBorder="1">
      <alignment vertical="top" wrapText="1"/>
    </xf>
    <xf numFmtId="14" fontId="8" fillId="7" borderId="12" xfId="938" applyNumberFormat="1" applyFont="1" applyFill="1" applyBorder="1">
      <alignment horizontal="left" vertical="center" wrapText="1" indent="1"/>
      <protection locked="0"/>
    </xf>
    <xf numFmtId="0" fontId="18" fillId="0" borderId="33" xfId="939" applyFont="1" applyBorder="1">
      <alignment horizontal="left" vertical="center" wrapText="1" indent="1"/>
    </xf>
    <xf numFmtId="169" fontId="8" fillId="0" borderId="24" xfId="940" applyNumberFormat="1" applyFont="1" applyBorder="1">
      <alignment horizontal="center" vertical="center" wrapText="1"/>
    </xf>
    <xf numFmtId="169" fontId="8" fillId="0" borderId="23" xfId="941" applyNumberFormat="1" applyFont="1" applyBorder="1">
      <alignment horizontal="center" vertical="center" wrapText="1"/>
    </xf>
    <xf numFmtId="14" fontId="8" fillId="9" borderId="14" xfId="943" applyNumberFormat="1" applyFont="1" applyFill="1" applyBorder="1">
      <alignment horizontal="left" vertical="center" wrapText="1"/>
    </xf>
    <xf numFmtId="14" fontId="8" fillId="7" borderId="14" xfId="944" applyNumberFormat="1" applyFont="1" applyFill="1" applyBorder="1">
      <alignment horizontal="left" vertical="center" wrapText="1" indent="1"/>
      <protection locked="0"/>
    </xf>
    <xf numFmtId="49" fontId="12" fillId="10" borderId="26" xfId="945" applyNumberFormat="1" applyFont="1" applyFill="1" applyBorder="1">
      <alignment horizontal="right" vertical="center" wrapText="1"/>
    </xf>
    <xf numFmtId="49" fontId="0" fillId="10" borderId="36" xfId="946" applyNumberFormat="1" applyFont="1" applyFill="1" applyBorder="1">
      <alignment horizontal="right" vertical="center" wrapText="1"/>
    </xf>
    <xf numFmtId="49" fontId="0" fillId="10" borderId="25" xfId="947" applyNumberFormat="1" applyFont="1" applyFill="1" applyBorder="1">
      <alignment horizontal="right" vertical="center" wrapText="1"/>
    </xf>
    <xf numFmtId="168" fontId="0" fillId="7" borderId="16" xfId="948" applyNumberFormat="1" applyFont="1" applyFill="1" applyBorder="1">
      <alignment horizontal="left" vertical="center" wrapText="1" indent="1"/>
      <protection locked="0"/>
    </xf>
    <xf numFmtId="172" fontId="8" fillId="7" borderId="14" xfId="949" applyNumberFormat="1" applyFont="1" applyFill="1" applyBorder="1">
      <alignment horizontal="left" vertical="center" wrapText="1" indent="1"/>
      <protection locked="0"/>
    </xf>
    <xf numFmtId="0" fontId="67" fillId="0" borderId="0" xfId="950" applyFont="1">
      <alignment vertical="center"/>
    </xf>
    <xf numFmtId="168" fontId="25" fillId="0" borderId="0" xfId="951" applyNumberFormat="1" applyFont="1">
      <alignment horizontal="center" vertical="center" wrapText="1"/>
    </xf>
    <xf numFmtId="169" fontId="8" fillId="0" borderId="21" xfId="955" applyNumberFormat="1" applyFont="1" applyBorder="1">
      <alignment horizontal="center" vertical="center" wrapText="1"/>
    </xf>
    <xf numFmtId="0" fontId="8" fillId="6" borderId="21" xfId="956" applyFont="1" applyFill="1" applyBorder="1">
      <alignment horizontal="left" vertical="center" wrapText="1" indent="1"/>
    </xf>
    <xf numFmtId="14" fontId="8" fillId="7" borderId="21" xfId="957" applyNumberFormat="1" applyFont="1" applyFill="1" applyBorder="1">
      <alignment horizontal="left" vertical="center" wrapText="1" indent="1"/>
      <protection locked="0"/>
    </xf>
    <xf numFmtId="14" fontId="8" fillId="0" borderId="21" xfId="959" applyNumberFormat="1" applyFont="1" applyBorder="1">
      <alignment horizontal="left" vertical="center" wrapText="1" indent="1"/>
    </xf>
    <xf numFmtId="49" fontId="17" fillId="10" borderId="36" xfId="960" applyNumberFormat="1" applyFont="1" applyFill="1" applyBorder="1">
      <alignment horizontal="left" vertical="center" wrapText="1"/>
    </xf>
    <xf numFmtId="49" fontId="17" fillId="10" borderId="25" xfId="961" applyNumberFormat="1" applyFont="1" applyFill="1" applyBorder="1">
      <alignment horizontal="left" vertical="center" wrapText="1"/>
    </xf>
    <xf numFmtId="0" fontId="8" fillId="8" borderId="33" xfId="962" applyFont="1" applyFill="1" applyBorder="1">
      <alignment vertical="center" wrapText="1"/>
    </xf>
    <xf numFmtId="0" fontId="25" fillId="0" borderId="36" xfId="963" applyFont="1" applyBorder="1">
      <alignment horizontal="center" vertical="center" wrapText="1"/>
    </xf>
    <xf numFmtId="0" fontId="8" fillId="8" borderId="19" xfId="964" applyFont="1" applyFill="1" applyBorder="1">
      <alignment vertical="center" wrapText="1"/>
    </xf>
    <xf numFmtId="0" fontId="28" fillId="0" borderId="14" xfId="965" applyFont="1" applyBorder="1">
      <alignment horizontal="center" vertical="center" wrapText="1"/>
    </xf>
    <xf numFmtId="169" fontId="30" fillId="0" borderId="17" xfId="967" applyNumberFormat="1" applyFont="1" applyBorder="1">
      <alignment horizontal="center" vertical="center" wrapText="1"/>
    </xf>
    <xf numFmtId="169" fontId="30" fillId="0" borderId="18" xfId="968" applyNumberFormat="1" applyFont="1" applyBorder="1">
      <alignment horizontal="center" vertical="center" wrapText="1"/>
    </xf>
    <xf numFmtId="0" fontId="27" fillId="0" borderId="0" xfId="969" applyFont="1">
      <alignment horizontal="center" vertical="center" wrapText="1"/>
    </xf>
    <xf numFmtId="49" fontId="8" fillId="7" borderId="36" xfId="973" applyNumberFormat="1" applyFont="1" applyFill="1" applyBorder="1">
      <alignment horizontal="left" vertical="center" wrapText="1"/>
      <protection locked="0"/>
    </xf>
    <xf numFmtId="49" fontId="8" fillId="7" borderId="26" xfId="974" applyNumberFormat="1" applyFont="1" applyFill="1" applyBorder="1">
      <alignment horizontal="left" vertical="center" wrapText="1"/>
      <protection locked="0"/>
    </xf>
    <xf numFmtId="0" fontId="69" fillId="8" borderId="0" xfId="978" applyFont="1" applyFill="1">
      <alignment horizontal="center" vertical="center" wrapText="1"/>
    </xf>
    <xf numFmtId="0" fontId="9" fillId="8" borderId="0" xfId="979" applyFont="1" applyFill="1"/>
    <xf numFmtId="49" fontId="31" fillId="0" borderId="0" xfId="981" applyNumberFormat="1" applyFont="1">
      <alignment horizontal="center" vertical="center"/>
    </xf>
    <xf numFmtId="0" fontId="8" fillId="0" borderId="0" xfId="982" applyFont="1"/>
    <xf numFmtId="0" fontId="31" fillId="8" borderId="0" xfId="983" applyFont="1" applyFill="1">
      <alignment horizontal="center" vertical="center"/>
    </xf>
    <xf numFmtId="0" fontId="8" fillId="8" borderId="23" xfId="984" applyFont="1" applyFill="1" applyBorder="1">
      <alignment horizontal="center" vertical="center"/>
    </xf>
    <xf numFmtId="49" fontId="8" fillId="0" borderId="23" xfId="985" applyNumberFormat="1" applyFont="1" applyBorder="1">
      <alignment horizontal="left" vertical="center" wrapText="1"/>
    </xf>
    <xf numFmtId="49" fontId="29" fillId="10" borderId="11" xfId="986" applyNumberFormat="1" applyFont="1" applyFill="1" applyBorder="1">
      <alignment horizontal="left" vertical="center"/>
    </xf>
    <xf numFmtId="0" fontId="31" fillId="0" borderId="0" xfId="987" applyFont="1">
      <alignment horizontal="center" vertical="center"/>
    </xf>
    <xf numFmtId="0" fontId="31" fillId="8" borderId="0" xfId="988" applyFont="1" applyFill="1">
      <alignment horizontal="center"/>
    </xf>
    <xf numFmtId="49" fontId="0" fillId="0" borderId="53" xfId="990" applyNumberFormat="1" applyFont="1" applyBorder="1">
      <alignment horizontal="center" vertical="center"/>
    </xf>
    <xf numFmtId="49" fontId="0" fillId="22" borderId="0" xfId="991" applyNumberFormat="1" applyFont="1" applyFill="1">
      <alignment vertical="top"/>
    </xf>
    <xf numFmtId="0" fontId="28" fillId="0" borderId="0" xfId="992" applyFont="1">
      <alignment vertical="top" wrapText="1"/>
    </xf>
    <xf numFmtId="14" fontId="8" fillId="9" borderId="14" xfId="993" applyNumberFormat="1" applyFont="1" applyFill="1" applyBorder="1">
      <alignment horizontal="left" vertical="center" wrapText="1" indent="1"/>
    </xf>
    <xf numFmtId="49" fontId="8" fillId="6" borderId="14" xfId="994" applyNumberFormat="1" applyFont="1" applyFill="1" applyBorder="1">
      <alignment horizontal="center" vertical="center" wrapText="1"/>
    </xf>
    <xf numFmtId="49" fontId="40" fillId="22" borderId="0" xfId="995" applyNumberFormat="1" applyFont="1" applyFill="1">
      <alignment vertical="top"/>
    </xf>
    <xf numFmtId="0" fontId="35" fillId="0" borderId="23" xfId="998" applyFont="1" applyBorder="1">
      <alignment horizontal="center" vertical="center" wrapText="1"/>
    </xf>
    <xf numFmtId="49" fontId="34" fillId="7" borderId="14" xfId="1001" applyNumberFormat="1" applyFont="1" applyFill="1" applyBorder="1">
      <alignment horizontal="left" vertical="center" wrapText="1" indent="1"/>
      <protection locked="0"/>
    </xf>
    <xf numFmtId="0" fontId="8" fillId="8" borderId="0" xfId="1002" applyFont="1" applyFill="1">
      <alignment horizontal="center" vertical="top" wrapText="1"/>
    </xf>
    <xf numFmtId="0" fontId="25" fillId="8" borderId="14" xfId="1003" applyFont="1" applyFill="1" applyBorder="1">
      <alignment horizontal="center" vertical="center" wrapText="1"/>
    </xf>
    <xf numFmtId="14" fontId="8" fillId="9" borderId="25" xfId="1004" applyNumberFormat="1" applyFont="1" applyFill="1" applyBorder="1">
      <alignment horizontal="left" vertical="center" wrapText="1"/>
    </xf>
    <xf numFmtId="49" fontId="70" fillId="7" borderId="14" xfId="1005" applyNumberFormat="1" applyFont="1" applyFill="1" applyBorder="1">
      <alignment horizontal="left" vertical="center" wrapText="1"/>
      <protection locked="0"/>
    </xf>
    <xf numFmtId="0" fontId="0" fillId="7" borderId="12" xfId="1006" applyFont="1" applyFill="1" applyBorder="1">
      <alignment horizontal="left" vertical="center" wrapText="1" indent="2"/>
      <protection locked="0"/>
    </xf>
    <xf numFmtId="0" fontId="31" fillId="0" borderId="20" xfId="1007" applyFont="1" applyBorder="1">
      <alignment horizontal="center" vertical="center" wrapText="1"/>
    </xf>
    <xf numFmtId="49" fontId="8" fillId="7" borderId="23" xfId="1019" applyNumberFormat="1" applyFont="1" applyFill="1" applyBorder="1">
      <alignment horizontal="left" vertical="center" wrapText="1" indent="1"/>
      <protection locked="0"/>
    </xf>
    <xf numFmtId="0" fontId="8" fillId="0" borderId="20" xfId="1020" applyFont="1" applyBorder="1">
      <alignment vertical="top" wrapText="1"/>
    </xf>
    <xf numFmtId="49" fontId="8" fillId="0" borderId="33" xfId="1025" applyNumberFormat="1" applyFont="1" applyBorder="1">
      <alignment horizontal="center" vertical="top" wrapText="1"/>
    </xf>
    <xf numFmtId="0" fontId="0" fillId="6" borderId="33" xfId="1026" applyFont="1" applyFill="1" applyBorder="1">
      <alignment horizontal="left" vertical="top" wrapText="1" indent="1"/>
    </xf>
    <xf numFmtId="49" fontId="8" fillId="9" borderId="33" xfId="1027" applyNumberFormat="1" applyFont="1" applyFill="1" applyBorder="1">
      <alignment horizontal="center" vertical="top" wrapText="1"/>
    </xf>
    <xf numFmtId="49" fontId="0" fillId="7" borderId="33" xfId="1028" applyNumberFormat="1" applyFont="1" applyFill="1" applyBorder="1">
      <alignment horizontal="center" vertical="top" wrapText="1"/>
      <protection locked="0"/>
    </xf>
    <xf numFmtId="49" fontId="0" fillId="4" borderId="33" xfId="1029" applyNumberFormat="1" applyFont="1" applyFill="1" applyBorder="1">
      <alignment horizontal="center" vertical="top" wrapText="1"/>
      <protection locked="0"/>
    </xf>
    <xf numFmtId="49" fontId="8" fillId="9" borderId="33" xfId="1030" applyNumberFormat="1" applyFont="1" applyFill="1" applyBorder="1">
      <alignment horizontal="left" vertical="top" wrapText="1"/>
    </xf>
    <xf numFmtId="49" fontId="8" fillId="7" borderId="33" xfId="1031" applyNumberFormat="1" applyFont="1" applyFill="1" applyBorder="1">
      <alignment horizontal="left" vertical="top" wrapText="1"/>
      <protection locked="0"/>
    </xf>
    <xf numFmtId="49" fontId="0" fillId="6" borderId="33" xfId="1032" applyNumberFormat="1" applyFont="1" applyFill="1" applyBorder="1">
      <alignment horizontal="center" vertical="top" wrapText="1"/>
    </xf>
    <xf numFmtId="0" fontId="8" fillId="6" borderId="33" xfId="1033" applyFont="1" applyFill="1" applyBorder="1">
      <alignment horizontal="center" vertical="top" wrapText="1"/>
    </xf>
    <xf numFmtId="0" fontId="8" fillId="4" borderId="33" xfId="1034" applyFont="1" applyFill="1" applyBorder="1">
      <alignment horizontal="left" vertical="top" wrapText="1"/>
      <protection locked="0"/>
    </xf>
    <xf numFmtId="0" fontId="71" fillId="0" borderId="54" xfId="1035" applyFont="1" applyBorder="1">
      <alignment horizontal="left" vertical="center" indent="1"/>
    </xf>
    <xf numFmtId="0" fontId="71" fillId="0" borderId="55" xfId="1036" applyFont="1" applyBorder="1">
      <alignment horizontal="left" vertical="center" indent="1"/>
    </xf>
    <xf numFmtId="0" fontId="0" fillId="0" borderId="55" xfId="1037" applyFont="1" applyBorder="1">
      <alignment horizontal="left" vertical="center" wrapText="1"/>
    </xf>
    <xf numFmtId="0" fontId="8" fillId="0" borderId="55" xfId="1038" applyFont="1" applyBorder="1">
      <alignment vertical="center" wrapText="1"/>
    </xf>
    <xf numFmtId="0" fontId="8" fillId="0" borderId="56" xfId="1039" applyFont="1" applyBorder="1">
      <alignment vertical="center" wrapText="1"/>
    </xf>
    <xf numFmtId="0" fontId="8" fillId="0" borderId="57" xfId="1040" applyFont="1" applyBorder="1">
      <alignment vertical="center" wrapText="1"/>
    </xf>
    <xf numFmtId="49" fontId="72" fillId="0" borderId="35" xfId="1044" applyNumberFormat="1" applyFont="1" applyBorder="1">
      <alignment horizontal="left" vertical="center" indent="1"/>
    </xf>
    <xf numFmtId="49" fontId="72" fillId="0" borderId="35" xfId="1045" applyNumberFormat="1" applyFont="1" applyBorder="1">
      <alignment horizontal="center" vertical="center"/>
    </xf>
    <xf numFmtId="0" fontId="72" fillId="0" borderId="14" xfId="1048" applyFont="1" applyBorder="1">
      <alignment horizontal="center" vertical="center"/>
    </xf>
    <xf numFmtId="49" fontId="72" fillId="0" borderId="12" xfId="1050" applyNumberFormat="1" applyFont="1" applyBorder="1">
      <alignment horizontal="left" vertical="center" indent="1"/>
    </xf>
    <xf numFmtId="49" fontId="72" fillId="0" borderId="16" xfId="1051" applyNumberFormat="1" applyFont="1" applyBorder="1">
      <alignment horizontal="left" vertical="center" indent="1"/>
    </xf>
    <xf numFmtId="49" fontId="72" fillId="0" borderId="16" xfId="1052" applyNumberFormat="1" applyFont="1" applyBorder="1">
      <alignment vertical="top" wrapText="1"/>
    </xf>
    <xf numFmtId="49" fontId="72" fillId="0" borderId="11" xfId="1053" applyNumberFormat="1" applyFont="1" applyBorder="1">
      <alignment vertical="top" wrapText="1"/>
    </xf>
    <xf numFmtId="0" fontId="72" fillId="0" borderId="14" xfId="1055" applyFont="1" applyBorder="1">
      <alignment horizontal="left" vertical="center" wrapText="1" indent="1"/>
    </xf>
    <xf numFmtId="4" fontId="18" fillId="0" borderId="43" xfId="1056" applyNumberFormat="1" applyFont="1" applyBorder="1">
      <alignment horizontal="right" vertical="center" wrapText="1"/>
    </xf>
    <xf numFmtId="49" fontId="18" fillId="0" borderId="16" xfId="1058" applyNumberFormat="1" applyFont="1" applyBorder="1">
      <alignment horizontal="left" vertical="center" indent="1"/>
    </xf>
    <xf numFmtId="49" fontId="72" fillId="0" borderId="58" xfId="1059" applyNumberFormat="1" applyFont="1" applyBorder="1">
      <alignment vertical="top" wrapText="1"/>
    </xf>
    <xf numFmtId="49" fontId="72" fillId="0" borderId="58" xfId="1060" applyNumberFormat="1" applyFont="1" applyBorder="1">
      <alignment horizontal="left" vertical="center" indent="1"/>
    </xf>
    <xf numFmtId="0" fontId="0" fillId="10" borderId="60" xfId="1062" applyFont="1" applyFill="1" applyBorder="1">
      <alignment horizontal="left" vertical="center"/>
    </xf>
    <xf numFmtId="49" fontId="29" fillId="10" borderId="61" xfId="1063" applyNumberFormat="1" applyFont="1" applyFill="1" applyBorder="1">
      <alignment horizontal="left" vertical="center" indent="1"/>
    </xf>
    <xf numFmtId="0" fontId="8" fillId="10" borderId="60" xfId="1064" applyFont="1" applyFill="1" applyBorder="1">
      <alignment vertical="center" wrapText="1"/>
    </xf>
    <xf numFmtId="0" fontId="8" fillId="10" borderId="61" xfId="1065" applyFont="1" applyFill="1" applyBorder="1">
      <alignment vertical="center" wrapText="1"/>
    </xf>
    <xf numFmtId="49" fontId="0" fillId="6" borderId="33" xfId="1066" applyNumberFormat="1" applyFont="1" applyFill="1" applyBorder="1">
      <alignment vertical="top"/>
    </xf>
    <xf numFmtId="49" fontId="0" fillId="0" borderId="33" xfId="1067" applyNumberFormat="1" applyFont="1" applyBorder="1">
      <alignment vertical="top"/>
    </xf>
    <xf numFmtId="49" fontId="8" fillId="9" borderId="23" xfId="1068" applyNumberFormat="1" applyFont="1" applyFill="1" applyBorder="1">
      <alignment vertical="center" wrapText="1"/>
    </xf>
    <xf numFmtId="49" fontId="0" fillId="7" borderId="33" xfId="1069" applyNumberFormat="1" applyFont="1" applyFill="1" applyBorder="1">
      <alignment vertical="top"/>
      <protection locked="0"/>
    </xf>
    <xf numFmtId="0" fontId="30" fillId="0" borderId="14" xfId="1071" applyFont="1" applyBorder="1">
      <alignment horizontal="center" vertical="center"/>
    </xf>
    <xf numFmtId="49" fontId="75" fillId="10" borderId="12" xfId="1073" applyNumberFormat="1" applyFont="1" applyFill="1" applyBorder="1">
      <alignment horizontal="left" vertical="center" indent="1"/>
    </xf>
    <xf numFmtId="49" fontId="75" fillId="10" borderId="16" xfId="1074" applyNumberFormat="1" applyFont="1" applyFill="1" applyBorder="1">
      <alignment horizontal="left" vertical="center" indent="1"/>
    </xf>
    <xf numFmtId="49" fontId="30" fillId="10" borderId="16" xfId="1075" applyNumberFormat="1" applyFont="1" applyFill="1" applyBorder="1">
      <alignment vertical="top" wrapText="1"/>
    </xf>
    <xf numFmtId="49" fontId="0" fillId="7" borderId="23" xfId="1076" applyNumberFormat="1" applyFont="1" applyFill="1" applyBorder="1">
      <alignment vertical="top"/>
      <protection locked="0"/>
    </xf>
    <xf numFmtId="14" fontId="8" fillId="9" borderId="33" xfId="1077" applyNumberFormat="1" applyFont="1" applyFill="1" applyBorder="1">
      <alignment horizontal="left" vertical="center" wrapText="1" indent="1"/>
    </xf>
    <xf numFmtId="14" fontId="8" fillId="9" borderId="19" xfId="1078" applyNumberFormat="1" applyFont="1" applyFill="1" applyBorder="1">
      <alignment horizontal="left" vertical="center" wrapText="1" indent="1"/>
    </xf>
    <xf numFmtId="49" fontId="8" fillId="9" borderId="33" xfId="1079" applyNumberFormat="1" applyFont="1" applyFill="1" applyBorder="1">
      <alignment vertical="center" wrapText="1"/>
    </xf>
    <xf numFmtId="0" fontId="30" fillId="9" borderId="14" xfId="1082" applyFont="1" applyFill="1" applyBorder="1">
      <alignment horizontal="left" vertical="center" wrapText="1" indent="1"/>
    </xf>
    <xf numFmtId="49" fontId="8" fillId="9" borderId="21" xfId="1083" applyNumberFormat="1" applyFont="1" applyFill="1" applyBorder="1">
      <alignment vertical="center" wrapText="1"/>
    </xf>
    <xf numFmtId="49" fontId="0" fillId="7" borderId="21" xfId="1085" applyNumberFormat="1" applyFont="1" applyFill="1" applyBorder="1">
      <alignment vertical="top"/>
      <protection locked="0"/>
    </xf>
    <xf numFmtId="49" fontId="74" fillId="0" borderId="33" xfId="1086" applyNumberFormat="1" applyFont="1" applyBorder="1">
      <alignment horizontal="center" vertical="top" wrapText="1"/>
    </xf>
    <xf numFmtId="0" fontId="30" fillId="0" borderId="11" xfId="1087" applyFont="1" applyBorder="1">
      <alignment horizontal="center" vertical="center"/>
    </xf>
    <xf numFmtId="49" fontId="75" fillId="10" borderId="34" xfId="1089" applyNumberFormat="1" applyFont="1" applyFill="1" applyBorder="1">
      <alignment horizontal="left" vertical="center" indent="1"/>
    </xf>
    <xf numFmtId="49" fontId="72" fillId="10" borderId="35" xfId="1090" applyNumberFormat="1" applyFont="1" applyFill="1" applyBorder="1">
      <alignment horizontal="center" vertical="center"/>
    </xf>
    <xf numFmtId="49" fontId="75" fillId="10" borderId="35" xfId="1091" applyNumberFormat="1" applyFont="1" applyFill="1" applyBorder="1">
      <alignment horizontal="left" vertical="center" indent="1"/>
    </xf>
    <xf numFmtId="49" fontId="30" fillId="10" borderId="11" xfId="1094" applyNumberFormat="1" applyFont="1" applyFill="1" applyBorder="1">
      <alignment vertical="top" wrapText="1"/>
    </xf>
    <xf numFmtId="49" fontId="30" fillId="10" borderId="58" xfId="1095" applyNumberFormat="1" applyFont="1" applyFill="1" applyBorder="1">
      <alignment vertical="top" wrapText="1"/>
    </xf>
    <xf numFmtId="49" fontId="75" fillId="10" borderId="58" xfId="1096" applyNumberFormat="1" applyFont="1" applyFill="1" applyBorder="1">
      <alignment horizontal="left" vertical="center" indent="1"/>
    </xf>
    <xf numFmtId="0" fontId="71" fillId="0" borderId="62" xfId="1097" applyFont="1" applyBorder="1">
      <alignment horizontal="left" vertical="center" indent="1"/>
    </xf>
    <xf numFmtId="49" fontId="8" fillId="0" borderId="63" xfId="1098" applyNumberFormat="1" applyFont="1" applyBorder="1">
      <alignment horizontal="center" vertical="center"/>
    </xf>
    <xf numFmtId="0" fontId="8" fillId="0" borderId="63" xfId="1099" applyFont="1" applyBorder="1">
      <alignment horizontal="right" vertical="center"/>
    </xf>
    <xf numFmtId="0" fontId="8" fillId="0" borderId="63" xfId="1100" applyFont="1" applyBorder="1">
      <alignment horizontal="center" vertical="center"/>
    </xf>
    <xf numFmtId="0" fontId="8" fillId="0" borderId="16" xfId="1101" applyFont="1" applyBorder="1">
      <alignment horizontal="right" vertical="center"/>
    </xf>
    <xf numFmtId="0" fontId="8" fillId="0" borderId="11" xfId="1102" applyFont="1" applyBorder="1">
      <alignment horizontal="right" vertical="center"/>
    </xf>
    <xf numFmtId="49" fontId="8" fillId="4" borderId="14" xfId="1103" applyNumberFormat="1" applyFont="1" applyFill="1" applyBorder="1">
      <alignment horizontal="left" vertical="center" indent="1"/>
      <protection locked="0"/>
    </xf>
    <xf numFmtId="0" fontId="8" fillId="20" borderId="14" xfId="1104" applyFont="1" applyFill="1" applyBorder="1">
      <alignment horizontal="right" vertical="center"/>
    </xf>
    <xf numFmtId="4" fontId="8" fillId="4" borderId="14" xfId="1105" applyNumberFormat="1" applyFont="1" applyFill="1" applyBorder="1">
      <alignment horizontal="right" vertical="center"/>
      <protection locked="0"/>
    </xf>
    <xf numFmtId="49" fontId="29" fillId="10" borderId="64" xfId="1106" applyNumberFormat="1" applyFont="1" applyFill="1" applyBorder="1">
      <alignment horizontal="left" vertical="center" indent="1"/>
    </xf>
    <xf numFmtId="49" fontId="29" fillId="23" borderId="11" xfId="1107" applyNumberFormat="1" applyFont="1" applyFill="1" applyBorder="1">
      <alignment horizontal="left" vertical="center" indent="1"/>
    </xf>
    <xf numFmtId="49" fontId="8" fillId="0" borderId="33" xfId="1108" applyNumberFormat="1" applyFont="1" applyBorder="1">
      <alignment horizontal="center" vertical="center" wrapText="1"/>
    </xf>
    <xf numFmtId="0" fontId="29" fillId="0" borderId="14" xfId="1109" applyFont="1" applyBorder="1">
      <alignment horizontal="left" vertical="center" indent="1"/>
    </xf>
    <xf numFmtId="0" fontId="25" fillId="0" borderId="21" xfId="1111" applyFont="1" applyBorder="1">
      <alignment vertical="center" wrapText="1"/>
    </xf>
    <xf numFmtId="2" fontId="25" fillId="0" borderId="21" xfId="1112" applyNumberFormat="1" applyFont="1" applyBorder="1">
      <alignment horizontal="center" vertical="center" wrapText="1"/>
    </xf>
    <xf numFmtId="49" fontId="25" fillId="0" borderId="12" xfId="1113" applyNumberFormat="1" applyFont="1" applyBorder="1">
      <alignment horizontal="left" vertical="center"/>
    </xf>
    <xf numFmtId="49" fontId="25" fillId="0" borderId="16" xfId="1114" applyNumberFormat="1" applyFont="1" applyBorder="1">
      <alignment horizontal="left" vertical="center" indent="1"/>
    </xf>
    <xf numFmtId="49" fontId="25" fillId="0" borderId="16" xfId="1115" applyNumberFormat="1" applyFont="1" applyBorder="1">
      <alignment horizontal="left" vertical="center"/>
    </xf>
    <xf numFmtId="49" fontId="25" fillId="0" borderId="11" xfId="1116" applyNumberFormat="1" applyFont="1" applyBorder="1">
      <alignment horizontal="left" vertical="center" indent="1"/>
    </xf>
    <xf numFmtId="0" fontId="25" fillId="0" borderId="14" xfId="1117" applyFont="1" applyBorder="1">
      <alignment horizontal="left" vertical="center" indent="1"/>
    </xf>
    <xf numFmtId="49" fontId="0" fillId="0" borderId="17" xfId="1118" applyNumberFormat="1" applyFont="1" applyBorder="1">
      <alignment vertical="top"/>
    </xf>
    <xf numFmtId="49" fontId="0" fillId="0" borderId="11" xfId="1121" applyNumberFormat="1" applyFont="1" applyBorder="1">
      <alignment horizontal="center" vertical="center" wrapText="1"/>
    </xf>
    <xf numFmtId="49" fontId="0" fillId="0" borderId="25" xfId="1123" applyNumberFormat="1" applyFont="1" applyBorder="1">
      <alignment horizontal="center" vertical="center" wrapText="1"/>
    </xf>
    <xf numFmtId="49" fontId="0" fillId="10" borderId="26" xfId="1124" applyNumberFormat="1" applyFont="1" applyFill="1" applyBorder="1">
      <alignment horizontal="center" vertical="center"/>
    </xf>
    <xf numFmtId="49" fontId="0" fillId="10" borderId="16" xfId="1125" applyNumberFormat="1" applyFont="1" applyFill="1" applyBorder="1">
      <alignment horizontal="center" vertical="center"/>
    </xf>
    <xf numFmtId="49" fontId="0" fillId="0" borderId="19" xfId="1127" applyNumberFormat="1" applyFont="1" applyBorder="1">
      <alignment vertical="top"/>
    </xf>
    <xf numFmtId="49" fontId="0" fillId="0" borderId="20" xfId="1128" applyNumberFormat="1" applyFont="1" applyBorder="1">
      <alignment vertical="top"/>
    </xf>
    <xf numFmtId="0" fontId="29" fillId="10" borderId="12" xfId="1131" applyFont="1" applyFill="1" applyBorder="1">
      <alignment horizontal="left" vertical="center"/>
    </xf>
    <xf numFmtId="0" fontId="29" fillId="10" borderId="16" xfId="1132" applyFont="1" applyFill="1" applyBorder="1">
      <alignment horizontal="left" vertical="center"/>
    </xf>
    <xf numFmtId="0" fontId="29" fillId="10" borderId="11" xfId="1133" applyFont="1" applyFill="1" applyBorder="1">
      <alignment horizontal="left" vertical="center"/>
    </xf>
    <xf numFmtId="0" fontId="0" fillId="10" borderId="16" xfId="1137" applyFont="1" applyFill="1" applyBorder="1">
      <alignment vertical="center"/>
    </xf>
    <xf numFmtId="49" fontId="0" fillId="0" borderId="33" xfId="1138" applyNumberFormat="1" applyFont="1" applyBorder="1">
      <alignment horizontal="left" vertical="top"/>
    </xf>
    <xf numFmtId="49" fontId="0" fillId="9" borderId="33" xfId="1139" applyNumberFormat="1" applyFont="1" applyFill="1" applyBorder="1">
      <alignment horizontal="left" vertical="top"/>
    </xf>
    <xf numFmtId="49" fontId="0" fillId="4" borderId="33" xfId="1140" applyNumberFormat="1" applyFont="1" applyFill="1" applyBorder="1">
      <alignment horizontal="left" vertical="top"/>
      <protection locked="0"/>
    </xf>
    <xf numFmtId="49" fontId="8" fillId="9" borderId="0" xfId="1141" applyNumberFormat="1" applyFont="1" applyFill="1">
      <alignment horizontal="center" vertical="center" wrapText="1"/>
    </xf>
    <xf numFmtId="0" fontId="29" fillId="0" borderId="33" xfId="1142" applyFont="1" applyBorder="1">
      <alignment horizontal="left" vertical="center"/>
    </xf>
    <xf numFmtId="49" fontId="0" fillId="9" borderId="33" xfId="1143" applyNumberFormat="1" applyFont="1" applyFill="1" applyBorder="1">
      <alignment horizontal="left" vertical="center" wrapText="1"/>
    </xf>
    <xf numFmtId="0" fontId="29" fillId="4" borderId="33" xfId="1144" applyFont="1" applyFill="1" applyBorder="1">
      <alignment horizontal="left" vertical="center"/>
      <protection locked="0"/>
    </xf>
    <xf numFmtId="0" fontId="29" fillId="7" borderId="33" xfId="1145" applyFont="1" applyFill="1" applyBorder="1">
      <alignment horizontal="left" vertical="center"/>
      <protection locked="0"/>
    </xf>
    <xf numFmtId="49" fontId="25" fillId="0" borderId="12" xfId="1146" applyNumberFormat="1" applyFont="1" applyBorder="1">
      <alignment horizontal="left" vertical="center" wrapText="1"/>
    </xf>
    <xf numFmtId="0" fontId="25" fillId="0" borderId="12" xfId="1147" applyFont="1" applyBorder="1">
      <alignment horizontal="left" vertical="center"/>
    </xf>
    <xf numFmtId="0" fontId="25" fillId="0" borderId="16" xfId="1148" applyFont="1" applyBorder="1">
      <alignment horizontal="left" vertical="center"/>
    </xf>
    <xf numFmtId="0" fontId="29" fillId="10" borderId="25" xfId="1149" applyFont="1" applyFill="1" applyBorder="1">
      <alignment horizontal="left" vertical="center"/>
    </xf>
    <xf numFmtId="49" fontId="0" fillId="4" borderId="33" xfId="1150" applyNumberFormat="1" applyFont="1" applyFill="1" applyBorder="1">
      <alignment vertical="top"/>
      <protection locked="0"/>
    </xf>
    <xf numFmtId="49" fontId="8" fillId="0" borderId="33" xfId="1152" applyNumberFormat="1" applyFont="1" applyBorder="1">
      <alignment vertical="center" wrapText="1"/>
    </xf>
    <xf numFmtId="49" fontId="31" fillId="0" borderId="33" xfId="1154" applyNumberFormat="1" applyFont="1" applyBorder="1">
      <alignment vertical="center" wrapText="1"/>
    </xf>
    <xf numFmtId="0" fontId="8" fillId="0" borderId="33" xfId="1157" applyFont="1" applyBorder="1">
      <alignment horizontal="left" vertical="center" wrapText="1"/>
    </xf>
    <xf numFmtId="49" fontId="8" fillId="0" borderId="33" xfId="1158" applyNumberFormat="1" applyFont="1" applyBorder="1">
      <alignment horizontal="left" vertical="center" wrapText="1"/>
    </xf>
    <xf numFmtId="0" fontId="29" fillId="0" borderId="21" xfId="1160" applyFont="1" applyBorder="1">
      <alignment horizontal="left" vertical="center"/>
    </xf>
    <xf numFmtId="0" fontId="29" fillId="10" borderId="24" xfId="1161" applyFont="1" applyFill="1" applyBorder="1">
      <alignment horizontal="left" vertical="center"/>
    </xf>
    <xf numFmtId="49" fontId="31" fillId="0" borderId="33" xfId="1165" applyNumberFormat="1" applyFont="1" applyBorder="1">
      <alignment horizontal="center" vertical="center" wrapText="1"/>
    </xf>
    <xf numFmtId="0" fontId="29" fillId="10" borderId="24" xfId="1166" applyFont="1" applyFill="1" applyBorder="1">
      <alignment vertical="center"/>
    </xf>
    <xf numFmtId="49" fontId="37" fillId="10" borderId="12" xfId="1168" applyNumberFormat="1" applyFont="1" applyFill="1" applyBorder="1">
      <alignment vertical="top"/>
    </xf>
    <xf numFmtId="49" fontId="37" fillId="10" borderId="16" xfId="1169" applyNumberFormat="1" applyFont="1" applyFill="1" applyBorder="1">
      <alignment vertical="top"/>
    </xf>
    <xf numFmtId="49" fontId="76" fillId="0" borderId="14" xfId="1170" applyNumberFormat="1" applyFont="1" applyBorder="1">
      <alignment vertical="top" wrapText="1"/>
    </xf>
    <xf numFmtId="49" fontId="14" fillId="0" borderId="14" xfId="1171" applyNumberFormat="1" applyFont="1" applyBorder="1">
      <alignment horizontal="center" vertical="top" wrapText="1"/>
    </xf>
    <xf numFmtId="49" fontId="14" fillId="20" borderId="14" xfId="1172" applyNumberFormat="1" applyFont="1" applyFill="1" applyBorder="1">
      <alignment horizontal="center" vertical="top"/>
    </xf>
    <xf numFmtId="49" fontId="14" fillId="0" borderId="14" xfId="1173" applyNumberFormat="1" applyFont="1" applyBorder="1">
      <alignment vertical="top" wrapText="1"/>
    </xf>
    <xf numFmtId="0" fontId="14" fillId="0" borderId="14" xfId="1174" applyFont="1" applyBorder="1">
      <alignment vertical="top" wrapText="1"/>
    </xf>
    <xf numFmtId="49" fontId="14" fillId="0" borderId="14" xfId="1175" applyNumberFormat="1" applyFont="1" applyBorder="1">
      <alignment vertical="top"/>
    </xf>
    <xf numFmtId="49" fontId="76" fillId="0" borderId="14" xfId="1176" applyNumberFormat="1" applyFont="1" applyBorder="1">
      <alignment vertical="top"/>
    </xf>
    <xf numFmtId="0" fontId="76" fillId="0" borderId="14" xfId="1177" applyFont="1" applyBorder="1">
      <alignment vertical="top" wrapText="1"/>
    </xf>
    <xf numFmtId="49" fontId="76" fillId="0" borderId="14" xfId="1178" applyNumberFormat="1" applyFont="1" applyBorder="1">
      <alignment horizontal="center" vertical="top" wrapText="1"/>
    </xf>
    <xf numFmtId="49" fontId="76" fillId="20" borderId="14" xfId="1179" applyNumberFormat="1" applyFont="1" applyFill="1" applyBorder="1">
      <alignment horizontal="center" vertical="top" wrapText="1"/>
    </xf>
    <xf numFmtId="49" fontId="14" fillId="20" borderId="14" xfId="1180" applyNumberFormat="1" applyFont="1" applyFill="1" applyBorder="1">
      <alignment horizontal="center" vertical="top" wrapText="1"/>
    </xf>
    <xf numFmtId="49" fontId="76" fillId="0" borderId="14" xfId="1181" applyNumberFormat="1" applyFont="1" applyBorder="1">
      <alignment horizontal="left" vertical="top" wrapText="1"/>
    </xf>
    <xf numFmtId="0" fontId="14" fillId="20" borderId="14" xfId="1182" applyFont="1" applyFill="1" applyBorder="1">
      <alignment horizontal="center" vertical="top" wrapText="1"/>
    </xf>
    <xf numFmtId="0" fontId="76" fillId="20" borderId="14" xfId="1183" applyFont="1" applyFill="1" applyBorder="1">
      <alignment horizontal="right" vertical="center" wrapText="1"/>
    </xf>
    <xf numFmtId="0" fontId="76" fillId="0" borderId="14" xfId="1187" applyFont="1" applyBorder="1">
      <alignment horizontal="left" vertical="top" wrapText="1"/>
    </xf>
    <xf numFmtId="49" fontId="76" fillId="20" borderId="14" xfId="1188" applyNumberFormat="1" applyFont="1" applyFill="1" applyBorder="1">
      <alignment horizontal="left" vertical="top" wrapText="1"/>
    </xf>
    <xf numFmtId="0" fontId="76" fillId="20" borderId="14" xfId="1189" applyFont="1" applyFill="1" applyBorder="1">
      <alignment horizontal="center" vertical="center" wrapText="1"/>
    </xf>
    <xf numFmtId="49" fontId="76" fillId="0" borderId="23" xfId="1190" applyNumberFormat="1" applyFont="1" applyBorder="1">
      <alignment horizontal="center" vertical="top" wrapText="1"/>
    </xf>
    <xf numFmtId="0" fontId="76" fillId="0" borderId="23" xfId="1192" applyFont="1" applyBorder="1">
      <alignment horizontal="left" vertical="top" wrapText="1"/>
    </xf>
    <xf numFmtId="49" fontId="76" fillId="0" borderId="24" xfId="1193" applyNumberFormat="1" applyFont="1" applyBorder="1">
      <alignment horizontal="center" vertical="top" wrapText="1"/>
    </xf>
    <xf numFmtId="0" fontId="76" fillId="0" borderId="11" xfId="1194" applyFont="1" applyBorder="1">
      <alignment horizontal="left" vertical="top" wrapText="1"/>
    </xf>
    <xf numFmtId="49" fontId="76" fillId="0" borderId="19" xfId="1197" applyNumberFormat="1" applyFont="1" applyBorder="1">
      <alignment horizontal="center" vertical="top" wrapText="1"/>
    </xf>
    <xf numFmtId="0" fontId="76" fillId="0" borderId="23" xfId="1198" applyFont="1" applyBorder="1">
      <alignment vertical="top" wrapText="1"/>
    </xf>
    <xf numFmtId="49" fontId="14" fillId="0" borderId="14" xfId="1199" applyNumberFormat="1" applyFont="1" applyBorder="1">
      <alignment horizontal="left" vertical="top" wrapText="1"/>
    </xf>
    <xf numFmtId="0" fontId="14" fillId="0" borderId="12" xfId="1200" applyFont="1" applyBorder="1">
      <alignment horizontal="center" vertical="center" wrapText="1"/>
    </xf>
    <xf numFmtId="0" fontId="14" fillId="0" borderId="12" xfId="1201" applyFont="1" applyBorder="1">
      <alignment horizontal="center" vertical="center"/>
    </xf>
    <xf numFmtId="49" fontId="14" fillId="0" borderId="14" xfId="1202" applyNumberFormat="1" applyFont="1" applyBorder="1">
      <alignment horizontal="center" vertical="center" wrapText="1"/>
    </xf>
    <xf numFmtId="0" fontId="14" fillId="0" borderId="14" xfId="1203" applyFont="1" applyBorder="1">
      <alignment vertical="center" wrapText="1"/>
    </xf>
    <xf numFmtId="49" fontId="76" fillId="0" borderId="12" xfId="1204" applyNumberFormat="1" applyFont="1" applyBorder="1">
      <alignment horizontal="left" vertical="top" wrapText="1"/>
    </xf>
    <xf numFmtId="0" fontId="14" fillId="0" borderId="14" xfId="1205" applyFont="1" applyBorder="1">
      <alignment horizontal="center" vertical="center" wrapText="1"/>
    </xf>
    <xf numFmtId="0" fontId="14" fillId="0" borderId="23" xfId="1206" applyFont="1" applyBorder="1">
      <alignment vertical="center" wrapText="1"/>
    </xf>
    <xf numFmtId="0" fontId="14" fillId="0" borderId="21" xfId="1207" applyFont="1" applyBorder="1">
      <alignment vertical="center" wrapText="1"/>
    </xf>
    <xf numFmtId="49" fontId="76" fillId="0" borderId="26" xfId="1208" applyNumberFormat="1" applyFont="1" applyBorder="1">
      <alignment horizontal="left" vertical="top" wrapText="1"/>
    </xf>
    <xf numFmtId="49" fontId="76" fillId="0" borderId="11" xfId="1209" applyNumberFormat="1" applyFont="1" applyBorder="1">
      <alignment horizontal="left" vertical="top" wrapText="1"/>
    </xf>
    <xf numFmtId="49" fontId="14" fillId="0" borderId="23" xfId="1210" applyNumberFormat="1" applyFont="1" applyBorder="1">
      <alignment horizontal="center" vertical="center" wrapText="1"/>
    </xf>
    <xf numFmtId="49" fontId="14" fillId="0" borderId="21" xfId="1211" applyNumberFormat="1" applyFont="1" applyBorder="1">
      <alignment horizontal="center" vertical="center" wrapText="1"/>
    </xf>
    <xf numFmtId="0" fontId="14" fillId="0" borderId="23" xfId="1212" applyFont="1" applyBorder="1">
      <alignment horizontal="center" vertical="center" wrapText="1"/>
    </xf>
    <xf numFmtId="49" fontId="76" fillId="0" borderId="33" xfId="1213" applyNumberFormat="1" applyFont="1" applyBorder="1">
      <alignment horizontal="left" vertical="top" wrapText="1"/>
    </xf>
    <xf numFmtId="0" fontId="76" fillId="0" borderId="33" xfId="1214" applyFont="1" applyBorder="1">
      <alignment horizontal="left" vertical="top" wrapText="1"/>
    </xf>
    <xf numFmtId="49" fontId="54" fillId="10" borderId="12" xfId="1218" applyNumberFormat="1" applyFont="1" applyFill="1" applyBorder="1">
      <alignment horizontal="left" vertical="center"/>
    </xf>
    <xf numFmtId="49" fontId="77" fillId="10" borderId="16" xfId="1219" applyNumberFormat="1" applyFont="1" applyFill="1" applyBorder="1">
      <alignment horizontal="left" vertical="center" indent="3"/>
    </xf>
    <xf numFmtId="49" fontId="36" fillId="10" borderId="16" xfId="1220" applyNumberFormat="1" applyFont="1" applyFill="1" applyBorder="1">
      <alignment horizontal="center" vertical="center" wrapText="1"/>
    </xf>
    <xf numFmtId="49" fontId="37" fillId="10" borderId="16" xfId="1221" applyNumberFormat="1" applyFont="1" applyFill="1" applyBorder="1">
      <alignment horizontal="center" vertical="center" wrapText="1"/>
    </xf>
    <xf numFmtId="49" fontId="37" fillId="10" borderId="11" xfId="1222" applyNumberFormat="1" applyFont="1" applyFill="1" applyBorder="1">
      <alignment horizontal="center" vertical="center" wrapText="1"/>
    </xf>
    <xf numFmtId="49" fontId="77" fillId="10" borderId="16" xfId="1223" applyNumberFormat="1" applyFont="1" applyFill="1" applyBorder="1">
      <alignment horizontal="left" vertical="center" indent="2"/>
    </xf>
    <xf numFmtId="49" fontId="77" fillId="10" borderId="16" xfId="1224" applyNumberFormat="1" applyFont="1" applyFill="1" applyBorder="1">
      <alignment horizontal="left" vertical="center" indent="1"/>
    </xf>
    <xf numFmtId="49" fontId="37" fillId="10" borderId="12" xfId="1225" applyNumberFormat="1" applyFont="1" applyFill="1" applyBorder="1">
      <alignment horizontal="left" vertical="top"/>
    </xf>
    <xf numFmtId="49" fontId="77" fillId="10" borderId="16" xfId="1226" applyNumberFormat="1" applyFont="1" applyFill="1" applyBorder="1">
      <alignment horizontal="left" vertical="center"/>
    </xf>
    <xf numFmtId="49" fontId="0" fillId="0" borderId="12" xfId="1228" applyNumberFormat="1" applyFont="1" applyBorder="1">
      <alignment horizontal="center" vertical="top"/>
    </xf>
    <xf numFmtId="49" fontId="0" fillId="24" borderId="23" xfId="1229" applyNumberFormat="1" applyFont="1" applyFill="1" applyBorder="1">
      <alignment vertical="top"/>
    </xf>
    <xf numFmtId="49" fontId="0" fillId="25" borderId="14" xfId="1230" applyNumberFormat="1" applyFont="1" applyFill="1" applyBorder="1">
      <alignment vertical="top"/>
    </xf>
    <xf numFmtId="49" fontId="0" fillId="0" borderId="16" xfId="1231" applyNumberFormat="1" applyFont="1" applyBorder="1">
      <alignment horizontal="center" vertical="top"/>
    </xf>
    <xf numFmtId="49" fontId="0" fillId="26" borderId="14" xfId="1232" applyNumberFormat="1" applyFont="1" applyFill="1" applyBorder="1">
      <alignment vertical="top"/>
    </xf>
    <xf numFmtId="49" fontId="0" fillId="27" borderId="14" xfId="1233" applyNumberFormat="1" applyFont="1" applyFill="1" applyBorder="1">
      <alignment vertical="top"/>
    </xf>
    <xf numFmtId="49" fontId="0" fillId="28" borderId="23" xfId="1234" applyNumberFormat="1" applyFont="1" applyFill="1" applyBorder="1">
      <alignment vertical="top"/>
    </xf>
    <xf numFmtId="49" fontId="0" fillId="29" borderId="12" xfId="1235" applyNumberFormat="1" applyFont="1" applyFill="1" applyBorder="1">
      <alignment vertical="top"/>
    </xf>
    <xf numFmtId="49" fontId="0" fillId="29" borderId="14" xfId="1236" applyNumberFormat="1" applyFont="1" applyFill="1" applyBorder="1">
      <alignment vertical="top"/>
    </xf>
    <xf numFmtId="49" fontId="0" fillId="28" borderId="14" xfId="1237" applyNumberFormat="1" applyFont="1" applyFill="1" applyBorder="1">
      <alignment vertical="top"/>
    </xf>
    <xf numFmtId="49" fontId="0" fillId="8" borderId="0" xfId="1238" applyNumberFormat="1" applyFont="1" applyFill="1">
      <alignment vertical="top"/>
    </xf>
    <xf numFmtId="0" fontId="0" fillId="0" borderId="0" xfId="1239" applyFont="1"/>
    <xf numFmtId="49" fontId="8" fillId="6" borderId="51" xfId="1240" applyNumberFormat="1" applyFont="1" applyFill="1" applyBorder="1">
      <alignment horizontal="center" vertical="top"/>
    </xf>
    <xf numFmtId="49" fontId="78" fillId="0" borderId="15" xfId="1241" applyNumberFormat="1" applyFont="1" applyBorder="1">
      <alignment vertical="top" wrapText="1"/>
    </xf>
    <xf numFmtId="0" fontId="0" fillId="0" borderId="15" xfId="1242" applyFont="1" applyBorder="1">
      <alignment vertical="top" wrapText="1"/>
    </xf>
    <xf numFmtId="0" fontId="3" fillId="0" borderId="65" xfId="1243" applyFont="1" applyBorder="1">
      <alignment vertical="top" wrapText="1"/>
    </xf>
    <xf numFmtId="0" fontId="0" fillId="0" borderId="14" xfId="1244" applyFont="1" applyBorder="1">
      <alignment vertical="top" wrapText="1"/>
    </xf>
    <xf numFmtId="49" fontId="0" fillId="0" borderId="23" xfId="1245" applyNumberFormat="1" applyFont="1" applyBorder="1">
      <alignment vertical="top"/>
    </xf>
    <xf numFmtId="0" fontId="12" fillId="0" borderId="15" xfId="1246" applyFont="1" applyBorder="1">
      <alignment vertical="center" wrapText="1"/>
    </xf>
    <xf numFmtId="0" fontId="3" fillId="0" borderId="0" xfId="1247" applyFont="1">
      <alignment vertical="top" wrapText="1"/>
    </xf>
    <xf numFmtId="0" fontId="8" fillId="0" borderId="15" xfId="1248" applyFont="1" applyBorder="1">
      <alignment vertical="center" wrapText="1"/>
    </xf>
    <xf numFmtId="49" fontId="0" fillId="0" borderId="0" xfId="0" applyNumberFormat="1" applyFont="1">
      <alignment vertical="top"/>
    </xf>
    <xf numFmtId="0" fontId="8" fillId="0" borderId="11" xfId="37" applyFont="1" applyBorder="1">
      <alignment horizontal="center" vertical="center" wrapText="1"/>
    </xf>
    <xf numFmtId="0" fontId="8" fillId="0" borderId="12" xfId="38" applyFont="1" applyBorder="1">
      <alignment horizontal="center" vertical="center" wrapText="1"/>
    </xf>
    <xf numFmtId="0" fontId="8" fillId="0" borderId="0" xfId="65" applyFont="1">
      <alignment horizontal="center" vertical="center" wrapText="1"/>
    </xf>
    <xf numFmtId="0" fontId="8" fillId="0" borderId="16" xfId="96" applyFont="1" applyBorder="1">
      <alignment horizontal="left" vertical="center" wrapText="1" indent="1"/>
    </xf>
    <xf numFmtId="0" fontId="8" fillId="0" borderId="16" xfId="97" applyFont="1" applyBorder="1">
      <alignment horizontal="center" vertical="center" wrapText="1"/>
    </xf>
    <xf numFmtId="0" fontId="8" fillId="0" borderId="18" xfId="131" applyFont="1" applyBorder="1">
      <alignment horizontal="left" vertical="center" wrapText="1" indent="1"/>
    </xf>
    <xf numFmtId="0" fontId="8" fillId="0" borderId="23" xfId="132" applyFont="1" applyBorder="1">
      <alignment horizontal="left" vertical="center" wrapText="1" indent="1"/>
    </xf>
    <xf numFmtId="0" fontId="8" fillId="0" borderId="24" xfId="133" applyFont="1" applyBorder="1">
      <alignment horizontal="left" vertical="center" wrapText="1" indent="1"/>
    </xf>
    <xf numFmtId="0" fontId="8" fillId="0" borderId="14" xfId="107" applyFont="1" applyBorder="1">
      <alignment horizontal="center" vertical="center" wrapText="1"/>
    </xf>
    <xf numFmtId="49" fontId="8" fillId="9" borderId="14" xfId="162" applyNumberFormat="1" applyFont="1" applyFill="1" applyBorder="1">
      <alignment horizontal="center" vertical="center" wrapText="1"/>
    </xf>
    <xf numFmtId="49" fontId="8" fillId="0" borderId="14" xfId="156" applyNumberFormat="1" applyFont="1" applyBorder="1">
      <alignment horizontal="center" vertical="center" wrapText="1"/>
    </xf>
    <xf numFmtId="0" fontId="8" fillId="9" borderId="23" xfId="157" applyFont="1" applyFill="1" applyBorder="1">
      <alignment horizontal="left" vertical="center" wrapText="1" indent="2"/>
    </xf>
    <xf numFmtId="0" fontId="8" fillId="9" borderId="33" xfId="167" applyFont="1" applyFill="1" applyBorder="1">
      <alignment horizontal="left" vertical="center" wrapText="1" indent="2"/>
    </xf>
    <xf numFmtId="0" fontId="8" fillId="9" borderId="21" xfId="170" applyFont="1" applyFill="1" applyBorder="1">
      <alignment horizontal="left" vertical="center" wrapText="1" indent="2"/>
    </xf>
    <xf numFmtId="49" fontId="8" fillId="9" borderId="21" xfId="158" applyNumberFormat="1" applyFont="1" applyFill="1" applyBorder="1">
      <alignment horizontal="center" vertical="center" wrapText="1"/>
    </xf>
    <xf numFmtId="49" fontId="0" fillId="0" borderId="17" xfId="199" applyNumberFormat="1" applyFont="1" applyBorder="1">
      <alignment horizontal="left" vertical="center" wrapText="1"/>
    </xf>
    <xf numFmtId="49" fontId="8" fillId="0" borderId="17" xfId="197" applyNumberFormat="1" applyFont="1" applyBorder="1">
      <alignment horizontal="center" vertical="center" wrapText="1"/>
    </xf>
    <xf numFmtId="0" fontId="8" fillId="0" borderId="14" xfId="192" applyFont="1" applyBorder="1">
      <alignment horizontal="left" vertical="top" wrapText="1"/>
    </xf>
    <xf numFmtId="49" fontId="0" fillId="0" borderId="14" xfId="206" applyNumberFormat="1" applyFont="1" applyBorder="1">
      <alignment horizontal="left" vertical="top"/>
    </xf>
    <xf numFmtId="0" fontId="0" fillId="0" borderId="24" xfId="194" applyFont="1" applyBorder="1">
      <alignment horizontal="center" vertical="center"/>
    </xf>
    <xf numFmtId="0" fontId="0" fillId="0" borderId="19" xfId="203" applyFont="1" applyBorder="1">
      <alignment horizontal="center" vertical="center"/>
    </xf>
    <xf numFmtId="0" fontId="0" fillId="0" borderId="17" xfId="195" applyFont="1" applyBorder="1">
      <alignment horizontal="center" vertical="center"/>
    </xf>
    <xf numFmtId="49" fontId="8" fillId="0" borderId="17" xfId="196" applyNumberFormat="1" applyFont="1" applyBorder="1">
      <alignment horizontal="left" vertical="center" wrapText="1"/>
    </xf>
    <xf numFmtId="0" fontId="0" fillId="0" borderId="17" xfId="198" applyFont="1" applyBorder="1">
      <alignment horizontal="left" vertical="center" wrapText="1"/>
    </xf>
    <xf numFmtId="0" fontId="0" fillId="0" borderId="14" xfId="191" applyFont="1" applyBorder="1">
      <alignment horizontal="center" vertical="top"/>
    </xf>
    <xf numFmtId="49" fontId="0" fillId="0" borderId="14" xfId="205" applyNumberFormat="1" applyFont="1" applyBorder="1">
      <alignment vertical="top"/>
    </xf>
    <xf numFmtId="0" fontId="8" fillId="9" borderId="23" xfId="193" applyFont="1" applyFill="1" applyBorder="1">
      <alignment horizontal="center" vertical="top" wrapText="1"/>
    </xf>
    <xf numFmtId="0" fontId="8" fillId="9" borderId="33" xfId="202" applyFont="1" applyFill="1" applyBorder="1">
      <alignment horizontal="center" vertical="top" wrapText="1"/>
    </xf>
    <xf numFmtId="0" fontId="8" fillId="9" borderId="21" xfId="207" applyFont="1" applyFill="1" applyBorder="1">
      <alignment horizontal="center" vertical="top" wrapText="1"/>
    </xf>
    <xf numFmtId="0" fontId="0" fillId="0" borderId="0" xfId="222" quotePrefix="1" applyFont="1">
      <alignment horizontal="left" vertical="top" wrapText="1" indent="1"/>
    </xf>
    <xf numFmtId="0" fontId="0" fillId="0" borderId="0" xfId="221" applyFont="1">
      <alignment horizontal="left" vertical="top" wrapText="1"/>
    </xf>
    <xf numFmtId="0" fontId="0" fillId="0" borderId="23" xfId="215" applyFont="1" applyBorder="1">
      <alignment horizontal="center" vertical="top"/>
    </xf>
    <xf numFmtId="0" fontId="0" fillId="0" borderId="33" xfId="217" applyFont="1" applyBorder="1">
      <alignment horizontal="center" vertical="top"/>
    </xf>
    <xf numFmtId="0" fontId="0" fillId="0" borderId="21" xfId="219" applyFont="1" applyBorder="1">
      <alignment horizontal="center" vertical="top"/>
    </xf>
    <xf numFmtId="0" fontId="8" fillId="0" borderId="23" xfId="216" applyFont="1" applyBorder="1">
      <alignment horizontal="left" vertical="top" wrapText="1"/>
    </xf>
    <xf numFmtId="0" fontId="8" fillId="0" borderId="33" xfId="218" applyFont="1" applyBorder="1">
      <alignment horizontal="left" vertical="top" wrapText="1"/>
    </xf>
    <xf numFmtId="0" fontId="8" fillId="0" borderId="21" xfId="220" applyFont="1" applyBorder="1">
      <alignment horizontal="left" vertical="top" wrapText="1"/>
    </xf>
    <xf numFmtId="0" fontId="8" fillId="7" borderId="14" xfId="212" applyFont="1" applyFill="1" applyBorder="1">
      <alignment horizontal="left" vertical="top" wrapText="1"/>
      <protection locked="0"/>
    </xf>
    <xf numFmtId="0" fontId="0" fillId="7" borderId="14" xfId="214" applyFont="1" applyFill="1" applyBorder="1">
      <alignment horizontal="left" vertical="top"/>
      <protection locked="0"/>
    </xf>
    <xf numFmtId="49" fontId="25" fillId="8" borderId="36" xfId="186" applyNumberFormat="1" applyFont="1" applyFill="1" applyBorder="1">
      <alignment horizontal="center" vertical="center" wrapText="1"/>
    </xf>
    <xf numFmtId="0" fontId="8" fillId="0" borderId="18" xfId="176" applyFont="1" applyBorder="1">
      <alignment horizontal="left" vertical="top" wrapText="1" indent="1"/>
    </xf>
    <xf numFmtId="0" fontId="8" fillId="0" borderId="23" xfId="177" applyFont="1" applyBorder="1">
      <alignment horizontal="left" vertical="top" wrapText="1" indent="1"/>
    </xf>
    <xf numFmtId="0" fontId="8" fillId="0" borderId="24" xfId="178" applyFont="1" applyBorder="1">
      <alignment horizontal="left" vertical="top" wrapText="1" indent="1"/>
    </xf>
    <xf numFmtId="0" fontId="36" fillId="0" borderId="20" xfId="180" applyFont="1" applyBorder="1">
      <alignment horizontal="left" vertical="center" wrapText="1" indent="1"/>
    </xf>
    <xf numFmtId="0" fontId="36" fillId="0" borderId="33" xfId="181" applyFont="1" applyBorder="1">
      <alignment horizontal="left" vertical="center" wrapText="1" indent="1"/>
    </xf>
    <xf numFmtId="0" fontId="36" fillId="0" borderId="19" xfId="182" applyFont="1" applyBorder="1">
      <alignment horizontal="left" vertical="center" wrapText="1" indent="1"/>
    </xf>
    <xf numFmtId="0" fontId="8" fillId="0" borderId="36" xfId="179" applyFont="1" applyBorder="1">
      <alignment horizontal="left" vertical="center" indent="1"/>
    </xf>
    <xf numFmtId="0" fontId="0" fillId="0" borderId="14" xfId="184" applyFont="1" applyBorder="1">
      <alignment horizontal="center" vertical="center" wrapText="1"/>
    </xf>
    <xf numFmtId="0" fontId="8" fillId="0" borderId="17" xfId="226" applyFont="1" applyBorder="1">
      <alignment horizontal="left" vertical="center" wrapText="1" indent="1"/>
    </xf>
    <xf numFmtId="0" fontId="8" fillId="0" borderId="23" xfId="231" applyFont="1" applyBorder="1">
      <alignment horizontal="center" vertical="center" wrapText="1"/>
    </xf>
    <xf numFmtId="0" fontId="8" fillId="0" borderId="24" xfId="228" applyFont="1" applyBorder="1">
      <alignment horizontal="center" vertical="center" wrapText="1"/>
    </xf>
    <xf numFmtId="0" fontId="8" fillId="0" borderId="18" xfId="229" applyFont="1" applyBorder="1">
      <alignment horizontal="center" vertical="center" wrapText="1"/>
    </xf>
    <xf numFmtId="0" fontId="8" fillId="0" borderId="19" xfId="232" applyFont="1" applyBorder="1">
      <alignment horizontal="center" vertical="center" wrapText="1"/>
    </xf>
    <xf numFmtId="0" fontId="8" fillId="0" borderId="20" xfId="233" applyFont="1" applyBorder="1">
      <alignment horizontal="center" vertical="center" wrapText="1"/>
    </xf>
    <xf numFmtId="0" fontId="8" fillId="0" borderId="33" xfId="230" applyFont="1" applyBorder="1">
      <alignment horizontal="center" vertical="center" wrapText="1"/>
    </xf>
    <xf numFmtId="0" fontId="8" fillId="0" borderId="26" xfId="234" applyFont="1" applyBorder="1">
      <alignment horizontal="center" vertical="center" wrapText="1"/>
    </xf>
    <xf numFmtId="0" fontId="8" fillId="0" borderId="25" xfId="235" applyFont="1" applyBorder="1">
      <alignment horizontal="center" vertical="center" wrapText="1"/>
    </xf>
    <xf numFmtId="49" fontId="8" fillId="0" borderId="14" xfId="237" applyNumberFormat="1" applyFont="1" applyBorder="1">
      <alignment horizontal="center" vertical="center"/>
    </xf>
    <xf numFmtId="49" fontId="8" fillId="0" borderId="23" xfId="248" applyNumberFormat="1" applyFont="1" applyBorder="1">
      <alignment horizontal="center" vertical="center"/>
    </xf>
    <xf numFmtId="0" fontId="8" fillId="0" borderId="14" xfId="238" applyFont="1" applyBorder="1">
      <alignment horizontal="left" vertical="center" wrapText="1"/>
    </xf>
    <xf numFmtId="0" fontId="8" fillId="0" borderId="23" xfId="249" applyFont="1" applyBorder="1">
      <alignment horizontal="left" vertical="center" wrapText="1"/>
    </xf>
    <xf numFmtId="0" fontId="8" fillId="0" borderId="24" xfId="250" applyFont="1" applyBorder="1">
      <alignment horizontal="left" vertical="center" wrapText="1"/>
    </xf>
    <xf numFmtId="49" fontId="8" fillId="9" borderId="23" xfId="239" applyNumberFormat="1" applyFont="1" applyFill="1" applyBorder="1">
      <alignment horizontal="center" vertical="center" wrapText="1"/>
    </xf>
    <xf numFmtId="49" fontId="8" fillId="9" borderId="33" xfId="245" applyNumberFormat="1" applyFont="1" applyFill="1" applyBorder="1">
      <alignment horizontal="center" vertical="center" wrapText="1"/>
    </xf>
    <xf numFmtId="0" fontId="8" fillId="0" borderId="17" xfId="241" applyFont="1" applyBorder="1">
      <alignment horizontal="center" vertical="center"/>
    </xf>
    <xf numFmtId="0" fontId="29" fillId="0" borderId="36" xfId="209" applyFont="1" applyBorder="1">
      <alignment horizontal="left" vertical="center"/>
    </xf>
    <xf numFmtId="0" fontId="29" fillId="0" borderId="25" xfId="211" applyFont="1" applyBorder="1">
      <alignment horizontal="left" vertical="center"/>
    </xf>
    <xf numFmtId="0" fontId="29" fillId="0" borderId="20" xfId="204" applyFont="1" applyBorder="1">
      <alignment horizontal="left" vertical="center"/>
    </xf>
    <xf numFmtId="0" fontId="8" fillId="0" borderId="12" xfId="254" applyFont="1" applyBorder="1">
      <alignment horizontal="left" vertical="center" wrapText="1"/>
    </xf>
    <xf numFmtId="0" fontId="8" fillId="0" borderId="36" xfId="227" applyFont="1" applyBorder="1">
      <alignment horizontal="left" vertical="center" wrapText="1" indent="1"/>
    </xf>
    <xf numFmtId="49" fontId="8" fillId="8" borderId="0" xfId="278" applyNumberFormat="1" applyFont="1" applyFill="1">
      <alignment horizontal="center" vertical="center" wrapText="1"/>
    </xf>
    <xf numFmtId="49" fontId="0" fillId="8" borderId="14" xfId="263" applyNumberFormat="1" applyFont="1" applyFill="1" applyBorder="1">
      <alignment horizontal="center" vertical="center" wrapText="1"/>
    </xf>
    <xf numFmtId="49" fontId="8" fillId="8" borderId="14" xfId="264" applyNumberFormat="1" applyFont="1" applyFill="1" applyBorder="1">
      <alignment horizontal="center" vertical="center" wrapText="1"/>
    </xf>
    <xf numFmtId="0" fontId="30" fillId="0" borderId="0" xfId="312" applyFont="1">
      <alignment horizontal="left" vertical="top" wrapText="1" indent="1"/>
    </xf>
    <xf numFmtId="0" fontId="16" fillId="8" borderId="0" xfId="262" applyFont="1" applyFill="1">
      <alignment horizontal="left" vertical="center" wrapText="1"/>
    </xf>
    <xf numFmtId="0" fontId="0" fillId="8" borderId="14" xfId="265" applyFont="1" applyFill="1" applyBorder="1">
      <alignment horizontal="center" vertical="center" wrapText="1"/>
    </xf>
    <xf numFmtId="0" fontId="8" fillId="8" borderId="14" xfId="266" applyFont="1" applyFill="1" applyBorder="1">
      <alignment horizontal="center" vertical="center" wrapText="1"/>
    </xf>
    <xf numFmtId="0" fontId="8" fillId="8" borderId="23" xfId="296" applyFont="1" applyFill="1" applyBorder="1">
      <alignment horizontal="left" vertical="top" wrapText="1"/>
    </xf>
    <xf numFmtId="0" fontId="8" fillId="8" borderId="33" xfId="298" applyFont="1" applyFill="1" applyBorder="1">
      <alignment horizontal="left" vertical="top" wrapText="1"/>
    </xf>
    <xf numFmtId="0" fontId="8" fillId="8" borderId="21" xfId="302" applyFont="1" applyFill="1" applyBorder="1">
      <alignment horizontal="left" vertical="top" wrapText="1"/>
    </xf>
    <xf numFmtId="0" fontId="8" fillId="8" borderId="20" xfId="279" applyFont="1" applyFill="1" applyBorder="1">
      <alignment horizontal="center" vertical="center" wrapText="1"/>
    </xf>
    <xf numFmtId="0" fontId="0" fillId="0" borderId="12" xfId="329" applyFont="1" applyBorder="1">
      <alignment horizontal="center" vertical="center" wrapText="1"/>
    </xf>
    <xf numFmtId="0" fontId="0" fillId="0" borderId="23" xfId="332" applyFont="1" applyBorder="1">
      <alignment horizontal="center" vertical="center" wrapText="1"/>
    </xf>
    <xf numFmtId="0" fontId="0" fillId="0" borderId="21" xfId="335" applyFont="1" applyBorder="1">
      <alignment horizontal="center" vertical="center" wrapText="1"/>
    </xf>
    <xf numFmtId="0" fontId="0" fillId="0" borderId="18" xfId="334" applyFont="1" applyBorder="1">
      <alignment horizontal="center" vertical="center" wrapText="1"/>
    </xf>
    <xf numFmtId="0" fontId="0" fillId="0" borderId="25" xfId="337" applyFont="1" applyBorder="1">
      <alignment horizontal="center" vertical="center" wrapText="1"/>
    </xf>
    <xf numFmtId="0" fontId="0" fillId="0" borderId="24" xfId="333" applyFont="1" applyBorder="1">
      <alignment horizontal="center" vertical="center" wrapText="1"/>
    </xf>
    <xf numFmtId="0" fontId="0" fillId="0" borderId="26" xfId="336" applyFont="1" applyBorder="1">
      <alignment horizontal="center" vertical="center" wrapText="1"/>
    </xf>
    <xf numFmtId="0" fontId="0" fillId="0" borderId="23" xfId="353" applyFont="1" applyBorder="1">
      <alignment horizontal="left" vertical="top" wrapText="1"/>
    </xf>
    <xf numFmtId="0" fontId="0" fillId="0" borderId="21" xfId="359" applyFont="1" applyBorder="1">
      <alignment horizontal="left" vertical="top" wrapText="1"/>
    </xf>
    <xf numFmtId="0" fontId="8" fillId="0" borderId="25" xfId="325" applyFont="1" applyBorder="1">
      <alignment horizontal="left" vertical="center" wrapText="1" indent="1"/>
    </xf>
    <xf numFmtId="0" fontId="8" fillId="0" borderId="21" xfId="326" applyFont="1" applyBorder="1">
      <alignment horizontal="left" vertical="center" wrapText="1" indent="1"/>
    </xf>
    <xf numFmtId="0" fontId="8" fillId="0" borderId="26" xfId="327" applyFont="1" applyBorder="1">
      <alignment horizontal="left" vertical="center" wrapText="1" indent="1"/>
    </xf>
    <xf numFmtId="0" fontId="18" fillId="0" borderId="0" xfId="321" applyFont="1">
      <alignment horizontal="center" vertical="center" wrapText="1"/>
    </xf>
    <xf numFmtId="0" fontId="0" fillId="0" borderId="16" xfId="330" applyFont="1" applyBorder="1">
      <alignment horizontal="center" vertical="center" wrapText="1"/>
    </xf>
    <xf numFmtId="0" fontId="0" fillId="0" borderId="11" xfId="331" applyFont="1" applyBorder="1">
      <alignment horizontal="center" vertical="center" wrapText="1"/>
    </xf>
    <xf numFmtId="0" fontId="8" fillId="0" borderId="17" xfId="367" applyFont="1" applyBorder="1">
      <alignment horizontal="left" vertical="top" wrapText="1" indent="1"/>
    </xf>
    <xf numFmtId="49" fontId="0" fillId="0" borderId="24" xfId="360" applyNumberFormat="1" applyFont="1" applyBorder="1">
      <alignment horizontal="center" vertical="center" wrapText="1"/>
    </xf>
    <xf numFmtId="49" fontId="0" fillId="0" borderId="26" xfId="365" applyNumberFormat="1" applyFont="1" applyBorder="1">
      <alignment horizontal="center" vertical="center" wrapText="1"/>
    </xf>
    <xf numFmtId="0" fontId="8" fillId="9" borderId="17" xfId="361" applyFont="1" applyFill="1" applyBorder="1">
      <alignment horizontal="left" vertical="center" wrapText="1"/>
    </xf>
    <xf numFmtId="0" fontId="8" fillId="9" borderId="36" xfId="366" applyFont="1" applyFill="1" applyBorder="1">
      <alignment horizontal="left" vertical="center" wrapText="1"/>
    </xf>
    <xf numFmtId="0" fontId="8" fillId="0" borderId="21" xfId="112" applyFont="1" applyBorder="1">
      <alignment horizontal="center" vertical="center" wrapText="1"/>
    </xf>
    <xf numFmtId="0" fontId="0" fillId="0" borderId="33" xfId="376" applyFont="1" applyBorder="1">
      <alignment horizontal="left" vertical="top" wrapText="1"/>
    </xf>
    <xf numFmtId="0" fontId="8" fillId="9" borderId="12" xfId="346" applyFont="1" applyFill="1" applyBorder="1">
      <alignment horizontal="left" vertical="center" wrapText="1"/>
    </xf>
    <xf numFmtId="0" fontId="8" fillId="9" borderId="16" xfId="407" applyFont="1" applyFill="1" applyBorder="1">
      <alignment horizontal="left" vertical="center" wrapText="1"/>
    </xf>
    <xf numFmtId="0" fontId="8" fillId="9" borderId="11" xfId="408" applyFont="1" applyFill="1" applyBorder="1">
      <alignment horizontal="left" vertical="center" wrapText="1"/>
    </xf>
    <xf numFmtId="0" fontId="0" fillId="8" borderId="14" xfId="442" applyFont="1" applyFill="1" applyBorder="1">
      <alignment horizontal="right" vertical="center" wrapText="1" indent="1"/>
    </xf>
    <xf numFmtId="168" fontId="8" fillId="6" borderId="14" xfId="445" applyNumberFormat="1" applyFont="1" applyFill="1" applyBorder="1">
      <alignment horizontal="left" vertical="center" wrapText="1" indent="1"/>
    </xf>
    <xf numFmtId="0" fontId="8" fillId="6" borderId="14" xfId="444" applyFont="1" applyFill="1" applyBorder="1">
      <alignment horizontal="left" vertical="center" wrapText="1" indent="1"/>
    </xf>
    <xf numFmtId="0" fontId="8" fillId="6" borderId="12" xfId="393" applyFont="1" applyFill="1" applyBorder="1">
      <alignment horizontal="left" vertical="center" wrapText="1"/>
    </xf>
    <xf numFmtId="0" fontId="8" fillId="6" borderId="16" xfId="394" applyFont="1" applyFill="1" applyBorder="1">
      <alignment horizontal="left" vertical="center" wrapText="1"/>
    </xf>
    <xf numFmtId="0" fontId="8" fillId="6" borderId="11" xfId="395" applyFont="1" applyFill="1" applyBorder="1">
      <alignment horizontal="left" vertical="center" wrapText="1"/>
    </xf>
    <xf numFmtId="49" fontId="18" fillId="0" borderId="14" xfId="437" applyNumberFormat="1" applyFont="1" applyBorder="1">
      <alignment horizontal="center" vertical="center" wrapText="1"/>
    </xf>
    <xf numFmtId="168" fontId="18" fillId="0" borderId="14" xfId="436" applyNumberFormat="1" applyFont="1" applyBorder="1">
      <alignment horizontal="center" vertical="center" wrapText="1"/>
    </xf>
    <xf numFmtId="0" fontId="18" fillId="0" borderId="14" xfId="388" applyFont="1" applyBorder="1">
      <alignment horizontal="center" vertical="center"/>
    </xf>
    <xf numFmtId="0" fontId="18" fillId="0" borderId="12" xfId="397" applyFont="1" applyBorder="1">
      <alignment horizontal="center" vertical="center"/>
    </xf>
    <xf numFmtId="0" fontId="18" fillId="0" borderId="14" xfId="403" applyFont="1" applyBorder="1">
      <alignment horizontal="center" vertical="center" wrapText="1"/>
    </xf>
    <xf numFmtId="0" fontId="18" fillId="0" borderId="12" xfId="409" applyFont="1" applyBorder="1">
      <alignment horizontal="center" vertical="center" wrapText="1"/>
    </xf>
    <xf numFmtId="0" fontId="25" fillId="0" borderId="0" xfId="91" applyFont="1">
      <alignment horizontal="center" vertical="center" wrapText="1"/>
    </xf>
    <xf numFmtId="168" fontId="0" fillId="7" borderId="14" xfId="416" applyNumberFormat="1" applyFont="1" applyFill="1" applyBorder="1">
      <alignment horizontal="center" vertical="center" wrapText="1"/>
      <protection locked="0"/>
    </xf>
    <xf numFmtId="49" fontId="0" fillId="7" borderId="14" xfId="419" applyNumberFormat="1" applyFont="1" applyFill="1" applyBorder="1">
      <alignment horizontal="center" vertical="center" wrapText="1"/>
      <protection locked="0"/>
    </xf>
    <xf numFmtId="168" fontId="0" fillId="7" borderId="23" xfId="469" applyNumberFormat="1" applyFont="1" applyFill="1" applyBorder="1">
      <alignment horizontal="center" vertical="center" wrapText="1"/>
      <protection locked="0"/>
    </xf>
    <xf numFmtId="49" fontId="0" fillId="7" borderId="21" xfId="471" applyNumberFormat="1" applyFont="1" applyFill="1" applyBorder="1">
      <alignment horizontal="center" vertical="center" wrapText="1"/>
      <protection locked="0"/>
    </xf>
    <xf numFmtId="0" fontId="18" fillId="0" borderId="23" xfId="455" applyFont="1" applyBorder="1">
      <alignment horizontal="center" vertical="center" wrapText="1"/>
    </xf>
    <xf numFmtId="0" fontId="18" fillId="0" borderId="21" xfId="459" applyFont="1" applyBorder="1">
      <alignment horizontal="center" vertical="center" wrapText="1"/>
    </xf>
    <xf numFmtId="0" fontId="46" fillId="8" borderId="17" xfId="467" applyFont="1" applyFill="1" applyBorder="1">
      <alignment horizontal="center" vertical="center" wrapText="1"/>
    </xf>
    <xf numFmtId="0" fontId="31" fillId="0" borderId="36" xfId="447" applyFont="1" applyBorder="1">
      <alignment horizontal="center" vertical="center" wrapText="1"/>
    </xf>
    <xf numFmtId="0" fontId="8" fillId="8" borderId="14" xfId="390" applyFont="1" applyFill="1" applyBorder="1">
      <alignment horizontal="left" vertical="center" wrapText="1"/>
    </xf>
    <xf numFmtId="0" fontId="0" fillId="8" borderId="12" xfId="449" applyFont="1" applyFill="1" applyBorder="1">
      <alignment horizontal="center" vertical="center" wrapText="1"/>
    </xf>
    <xf numFmtId="0" fontId="0" fillId="8" borderId="16" xfId="450" applyFont="1" applyFill="1" applyBorder="1">
      <alignment horizontal="center" vertical="center" wrapText="1"/>
    </xf>
    <xf numFmtId="0" fontId="0" fillId="8" borderId="11" xfId="451" applyFont="1" applyFill="1" applyBorder="1">
      <alignment horizontal="center" vertical="center" wrapText="1"/>
    </xf>
    <xf numFmtId="0" fontId="8" fillId="8" borderId="23" xfId="452" applyFont="1" applyFill="1" applyBorder="1">
      <alignment horizontal="center" vertical="center" wrapText="1"/>
    </xf>
    <xf numFmtId="0" fontId="8" fillId="8" borderId="33" xfId="456" applyFont="1" applyFill="1" applyBorder="1">
      <alignment horizontal="center" vertical="center" wrapText="1"/>
    </xf>
    <xf numFmtId="0" fontId="8" fillId="8" borderId="21" xfId="460" applyFont="1" applyFill="1" applyBorder="1">
      <alignment horizontal="center" vertical="center" wrapText="1"/>
    </xf>
    <xf numFmtId="49" fontId="29" fillId="10" borderId="23" xfId="453" applyNumberFormat="1" applyFont="1" applyFill="1" applyBorder="1">
      <alignment horizontal="center" vertical="center" textRotation="90" wrapText="1"/>
    </xf>
    <xf numFmtId="49" fontId="29" fillId="10" borderId="33" xfId="457" applyNumberFormat="1" applyFont="1" applyFill="1" applyBorder="1">
      <alignment horizontal="center" vertical="center" textRotation="90" wrapText="1"/>
    </xf>
    <xf numFmtId="49" fontId="29" fillId="10" borderId="21" xfId="461" applyNumberFormat="1" applyFont="1" applyFill="1" applyBorder="1">
      <alignment horizontal="center" vertical="center" textRotation="90" wrapText="1"/>
    </xf>
    <xf numFmtId="0" fontId="30" fillId="0" borderId="23" xfId="417" applyFont="1" applyBorder="1">
      <alignment horizontal="left" vertical="top" wrapText="1"/>
    </xf>
    <xf numFmtId="0" fontId="30" fillId="0" borderId="33" xfId="420" applyFont="1" applyBorder="1">
      <alignment horizontal="left" vertical="top" wrapText="1"/>
    </xf>
    <xf numFmtId="0" fontId="30" fillId="0" borderId="21" xfId="424" applyFont="1" applyBorder="1">
      <alignment horizontal="left" vertical="top" wrapText="1"/>
    </xf>
    <xf numFmtId="0" fontId="8" fillId="0" borderId="14" xfId="475" applyFont="1" applyBorder="1">
      <alignment horizontal="center" vertical="center"/>
    </xf>
    <xf numFmtId="0" fontId="8" fillId="0" borderId="12" xfId="476" applyFont="1" applyBorder="1">
      <alignment horizontal="center" vertical="center"/>
    </xf>
    <xf numFmtId="0" fontId="25" fillId="0" borderId="23" xfId="482" applyFont="1" applyBorder="1">
      <alignment horizontal="center" vertical="center" wrapText="1"/>
    </xf>
    <xf numFmtId="0" fontId="25" fillId="0" borderId="21" xfId="113" applyFont="1" applyBorder="1">
      <alignment horizontal="center" vertical="center" wrapText="1"/>
    </xf>
    <xf numFmtId="0" fontId="0" fillId="8" borderId="17" xfId="481" applyFont="1" applyFill="1" applyBorder="1">
      <alignment horizontal="center" vertical="center" wrapText="1"/>
    </xf>
    <xf numFmtId="0" fontId="25" fillId="0" borderId="12" xfId="485" applyFont="1" applyBorder="1">
      <alignment horizontal="left" vertical="center" wrapText="1"/>
    </xf>
    <xf numFmtId="0" fontId="25" fillId="0" borderId="16" xfId="486" applyFont="1" applyBorder="1">
      <alignment horizontal="left" vertical="center" wrapText="1"/>
    </xf>
    <xf numFmtId="0" fontId="25" fillId="0" borderId="11" xfId="487" applyFont="1" applyBorder="1">
      <alignment horizontal="left" vertical="center" wrapText="1"/>
    </xf>
    <xf numFmtId="0" fontId="8" fillId="9" borderId="14" xfId="503" applyFont="1" applyFill="1" applyBorder="1">
      <alignment horizontal="left" vertical="center" wrapText="1"/>
    </xf>
    <xf numFmtId="168" fontId="0" fillId="7" borderId="21" xfId="509" applyNumberFormat="1" applyFont="1" applyFill="1" applyBorder="1">
      <alignment horizontal="center" vertical="center" wrapText="1"/>
      <protection locked="0"/>
    </xf>
    <xf numFmtId="0" fontId="8" fillId="6" borderId="24" xfId="497" applyFont="1" applyFill="1" applyBorder="1">
      <alignment horizontal="left" vertical="center" wrapText="1"/>
    </xf>
    <xf numFmtId="0" fontId="8" fillId="6" borderId="17" xfId="498" applyFont="1" applyFill="1" applyBorder="1">
      <alignment horizontal="left" vertical="center" wrapText="1"/>
    </xf>
    <xf numFmtId="0" fontId="8" fillId="6" borderId="18" xfId="499" applyFont="1" applyFill="1" applyBorder="1">
      <alignment horizontal="left" vertical="center" wrapText="1"/>
    </xf>
    <xf numFmtId="0" fontId="8" fillId="6" borderId="14" xfId="500" applyFont="1" applyFill="1" applyBorder="1">
      <alignment horizontal="left" vertical="center" wrapText="1"/>
    </xf>
    <xf numFmtId="0" fontId="25" fillId="0" borderId="14" xfId="270" applyFont="1" applyBorder="1">
      <alignment horizontal="left" vertical="center" wrapText="1"/>
    </xf>
    <xf numFmtId="0" fontId="0" fillId="0" borderId="33" xfId="524" applyFont="1" applyBorder="1">
      <alignment horizontal="center" vertical="center" wrapText="1"/>
    </xf>
    <xf numFmtId="0" fontId="8" fillId="0" borderId="17" xfId="522" applyFont="1" applyBorder="1">
      <alignment horizontal="center" vertical="center" wrapText="1"/>
    </xf>
    <xf numFmtId="0" fontId="8" fillId="0" borderId="36" xfId="523" applyFont="1" applyBorder="1">
      <alignment horizontal="center" vertical="center" wrapText="1"/>
    </xf>
    <xf numFmtId="0" fontId="8" fillId="9" borderId="18" xfId="510" applyFont="1" applyFill="1" applyBorder="1">
      <alignment horizontal="left" vertical="center" wrapText="1"/>
    </xf>
    <xf numFmtId="49" fontId="8" fillId="0" borderId="14" xfId="68" applyNumberFormat="1" applyFont="1" applyBorder="1">
      <alignment horizontal="left" vertical="center" wrapText="1" indent="1"/>
    </xf>
    <xf numFmtId="0" fontId="0" fillId="8" borderId="24" xfId="553" applyFont="1" applyFill="1" applyBorder="1">
      <alignment horizontal="center" vertical="center" wrapText="1"/>
    </xf>
    <xf numFmtId="0" fontId="0" fillId="8" borderId="18" xfId="554" applyFont="1" applyFill="1" applyBorder="1">
      <alignment horizontal="center" vertical="center" wrapText="1"/>
    </xf>
    <xf numFmtId="0" fontId="0" fillId="8" borderId="19" xfId="556" applyFont="1" applyFill="1" applyBorder="1">
      <alignment horizontal="center" vertical="center" wrapText="1"/>
    </xf>
    <xf numFmtId="0" fontId="0" fillId="8" borderId="0" xfId="557" applyFont="1" applyFill="1">
      <alignment horizontal="center" vertical="center" wrapText="1"/>
    </xf>
    <xf numFmtId="0" fontId="0" fillId="8" borderId="26" xfId="562" applyFont="1" applyFill="1" applyBorder="1">
      <alignment horizontal="center" vertical="center" wrapText="1"/>
    </xf>
    <xf numFmtId="0" fontId="0" fillId="8" borderId="36" xfId="563" applyFont="1" applyFill="1" applyBorder="1">
      <alignment horizontal="center" vertical="center" wrapText="1"/>
    </xf>
    <xf numFmtId="0" fontId="0" fillId="8" borderId="25" xfId="564" applyFont="1" applyFill="1" applyBorder="1">
      <alignment horizontal="center" vertical="center" wrapText="1"/>
    </xf>
    <xf numFmtId="0" fontId="31" fillId="0" borderId="14" xfId="530" applyFont="1" applyBorder="1">
      <alignment horizontal="center" vertical="center" wrapText="1"/>
    </xf>
    <xf numFmtId="49" fontId="8" fillId="7" borderId="23" xfId="529" applyNumberFormat="1" applyFont="1" applyFill="1" applyBorder="1">
      <alignment horizontal="left" vertical="center" wrapText="1" indent="6"/>
      <protection locked="0"/>
    </xf>
    <xf numFmtId="49" fontId="8" fillId="7" borderId="33" xfId="533" applyNumberFormat="1" applyFont="1" applyFill="1" applyBorder="1">
      <alignment horizontal="left" vertical="center" wrapText="1" indent="6"/>
      <protection locked="0"/>
    </xf>
    <xf numFmtId="49" fontId="8" fillId="7" borderId="21" xfId="539" applyNumberFormat="1" applyFont="1" applyFill="1" applyBorder="1">
      <alignment horizontal="left" vertical="center" wrapText="1" indent="6"/>
      <protection locked="0"/>
    </xf>
    <xf numFmtId="0" fontId="8" fillId="8" borderId="23" xfId="494" applyFont="1" applyFill="1" applyBorder="1">
      <alignment horizontal="left" vertical="center" wrapText="1"/>
    </xf>
    <xf numFmtId="0" fontId="8" fillId="8" borderId="33" xfId="532" applyFont="1" applyFill="1" applyBorder="1">
      <alignment horizontal="left" vertical="center" wrapText="1"/>
    </xf>
    <xf numFmtId="0" fontId="8" fillId="8" borderId="21" xfId="504" applyFont="1" applyFill="1" applyBorder="1">
      <alignment horizontal="left" vertical="center" wrapText="1"/>
    </xf>
    <xf numFmtId="0" fontId="25" fillId="0" borderId="20" xfId="528" applyFont="1" applyBorder="1">
      <alignment horizontal="center" vertical="top" wrapText="1"/>
    </xf>
    <xf numFmtId="0" fontId="0" fillId="8" borderId="20" xfId="558" applyFont="1" applyFill="1" applyBorder="1">
      <alignment horizontal="center" vertical="center" wrapText="1"/>
    </xf>
    <xf numFmtId="0" fontId="8" fillId="8" borderId="24" xfId="552" applyFont="1" applyFill="1" applyBorder="1">
      <alignment horizontal="center" vertical="center" wrapText="1"/>
    </xf>
    <xf numFmtId="0" fontId="8" fillId="8" borderId="19" xfId="555" applyFont="1" applyFill="1" applyBorder="1">
      <alignment horizontal="center" vertical="center" wrapText="1"/>
    </xf>
    <xf numFmtId="0" fontId="8" fillId="8" borderId="26" xfId="561" applyFont="1" applyFill="1" applyBorder="1">
      <alignment horizontal="center" vertical="center" wrapText="1"/>
    </xf>
    <xf numFmtId="0" fontId="8" fillId="7" borderId="14" xfId="560" applyFont="1" applyFill="1" applyBorder="1">
      <alignment horizontal="center" vertical="center" wrapText="1"/>
      <protection locked="0"/>
    </xf>
    <xf numFmtId="0" fontId="8" fillId="6" borderId="14" xfId="559" applyFont="1" applyFill="1" applyBorder="1">
      <alignment horizontal="center" vertical="center" wrapText="1"/>
    </xf>
    <xf numFmtId="49" fontId="8" fillId="9" borderId="14" xfId="50" applyNumberFormat="1" applyFont="1" applyFill="1" applyBorder="1">
      <alignment horizontal="left" vertical="center" wrapText="1" indent="1"/>
    </xf>
    <xf numFmtId="0" fontId="8" fillId="4" borderId="12" xfId="569" applyFont="1" applyFill="1" applyBorder="1">
      <alignment horizontal="left" vertical="center" wrapText="1"/>
      <protection locked="0"/>
    </xf>
    <xf numFmtId="0" fontId="8" fillId="4" borderId="16" xfId="570" applyFont="1" applyFill="1" applyBorder="1">
      <alignment horizontal="left" vertical="center" wrapText="1"/>
      <protection locked="0"/>
    </xf>
    <xf numFmtId="0" fontId="8" fillId="4" borderId="11" xfId="571" applyFont="1" applyFill="1" applyBorder="1">
      <alignment horizontal="left" vertical="center" wrapText="1"/>
      <protection locked="0"/>
    </xf>
    <xf numFmtId="49" fontId="8" fillId="4" borderId="12" xfId="572" applyNumberFormat="1" applyFont="1" applyFill="1" applyBorder="1">
      <alignment horizontal="left" vertical="center" wrapText="1"/>
      <protection locked="0"/>
    </xf>
    <xf numFmtId="49" fontId="8" fillId="4" borderId="16" xfId="573" applyNumberFormat="1" applyFont="1" applyFill="1" applyBorder="1">
      <alignment horizontal="left" vertical="center" wrapText="1"/>
      <protection locked="0"/>
    </xf>
    <xf numFmtId="49" fontId="8" fillId="4" borderId="11" xfId="574" applyNumberFormat="1" applyFont="1" applyFill="1" applyBorder="1">
      <alignment horizontal="left" vertical="center" wrapText="1"/>
      <protection locked="0"/>
    </xf>
    <xf numFmtId="0" fontId="30" fillId="0" borderId="14" xfId="577" applyFont="1" applyBorder="1">
      <alignment horizontal="left" vertical="top" wrapText="1"/>
    </xf>
    <xf numFmtId="0" fontId="8" fillId="7" borderId="11" xfId="584" applyFont="1" applyFill="1" applyBorder="1">
      <alignment horizontal="center" vertical="center" wrapText="1"/>
      <protection locked="0"/>
    </xf>
    <xf numFmtId="4" fontId="8" fillId="7" borderId="14" xfId="582" applyNumberFormat="1" applyFont="1" applyFill="1" applyBorder="1">
      <alignment horizontal="left" vertical="center" wrapText="1" indent="1"/>
      <protection locked="0"/>
    </xf>
    <xf numFmtId="49" fontId="8" fillId="4" borderId="23" xfId="581" applyNumberFormat="1" applyFont="1" applyFill="1" applyBorder="1">
      <alignment horizontal="left" vertical="center" wrapText="1" indent="6"/>
      <protection locked="0"/>
    </xf>
    <xf numFmtId="49" fontId="8" fillId="4" borderId="33" xfId="590" applyNumberFormat="1" applyFont="1" applyFill="1" applyBorder="1">
      <alignment horizontal="left" vertical="center" wrapText="1" indent="6"/>
      <protection locked="0"/>
    </xf>
    <xf numFmtId="49" fontId="8" fillId="4" borderId="21" xfId="593" applyNumberFormat="1" applyFont="1" applyFill="1" applyBorder="1">
      <alignment horizontal="left" vertical="center" wrapText="1" indent="6"/>
      <protection locked="0"/>
    </xf>
    <xf numFmtId="4" fontId="8" fillId="7" borderId="14" xfId="588" applyNumberFormat="1" applyFont="1" applyFill="1" applyBorder="1">
      <alignment horizontal="center" vertical="center" wrapText="1"/>
      <protection locked="0"/>
    </xf>
    <xf numFmtId="49" fontId="8" fillId="9" borderId="18" xfId="589" applyNumberFormat="1" applyFont="1" applyFill="1" applyBorder="1">
      <alignment horizontal="center" vertical="center" wrapText="1"/>
    </xf>
    <xf numFmtId="49" fontId="8" fillId="9" borderId="25" xfId="591" applyNumberFormat="1" applyFont="1" applyFill="1" applyBorder="1">
      <alignment horizontal="center" vertical="center" wrapText="1"/>
    </xf>
    <xf numFmtId="0" fontId="25" fillId="0" borderId="17" xfId="594" applyFont="1" applyBorder="1">
      <alignment horizontal="left" vertical="center" wrapText="1"/>
    </xf>
    <xf numFmtId="49" fontId="14" fillId="3" borderId="0" xfId="614" applyNumberFormat="1" applyFont="1" applyFill="1">
      <alignment horizontal="center" vertical="center" textRotation="90" wrapText="1"/>
    </xf>
    <xf numFmtId="0" fontId="36" fillId="0" borderId="0" xfId="615" applyFont="1">
      <alignment horizontal="center" vertical="center" wrapText="1"/>
    </xf>
    <xf numFmtId="0" fontId="8" fillId="0" borderId="16" xfId="607" applyFont="1" applyBorder="1">
      <alignment horizontal="right" vertical="center" wrapText="1" indent="1"/>
    </xf>
    <xf numFmtId="0" fontId="8" fillId="0" borderId="11" xfId="608" applyFont="1" applyBorder="1">
      <alignment horizontal="right" vertical="center" wrapText="1" indent="1"/>
    </xf>
    <xf numFmtId="0" fontId="8" fillId="0" borderId="12" xfId="610" applyFont="1" applyBorder="1">
      <alignment horizontal="right" vertical="center" wrapText="1"/>
    </xf>
    <xf numFmtId="0" fontId="8" fillId="0" borderId="16" xfId="611" applyFont="1" applyBorder="1">
      <alignment horizontal="right" vertical="center" wrapText="1"/>
    </xf>
    <xf numFmtId="49" fontId="25" fillId="0" borderId="23" xfId="659" applyNumberFormat="1" applyFont="1" applyBorder="1">
      <alignment horizontal="center" vertical="center" wrapText="1"/>
    </xf>
    <xf numFmtId="49" fontId="25" fillId="0" borderId="33" xfId="667" applyNumberFormat="1" applyFont="1" applyBorder="1">
      <alignment horizontal="center" vertical="center" wrapText="1"/>
    </xf>
    <xf numFmtId="49" fontId="25" fillId="0" borderId="21" xfId="671" applyNumberFormat="1" applyFont="1" applyBorder="1">
      <alignment horizontal="center" vertical="center" wrapText="1"/>
    </xf>
    <xf numFmtId="0" fontId="0" fillId="6" borderId="14" xfId="43" applyFont="1" applyFill="1" applyBorder="1">
      <alignment horizontal="left" vertical="center" wrapText="1" indent="1"/>
    </xf>
    <xf numFmtId="0" fontId="8" fillId="0" borderId="21" xfId="668" applyFont="1" applyBorder="1">
      <alignment horizontal="left" vertical="center" wrapText="1"/>
    </xf>
    <xf numFmtId="0" fontId="0" fillId="0" borderId="12" xfId="660" applyFont="1" applyBorder="1">
      <alignment horizontal="right" vertical="center" wrapText="1" indent="1"/>
    </xf>
    <xf numFmtId="0" fontId="0" fillId="0" borderId="16" xfId="661" applyFont="1" applyBorder="1">
      <alignment horizontal="right" vertical="center" wrapText="1" indent="1"/>
    </xf>
    <xf numFmtId="0" fontId="0" fillId="0" borderId="11" xfId="662" applyFont="1" applyBorder="1">
      <alignment horizontal="right" vertical="center" wrapText="1" indent="1"/>
    </xf>
    <xf numFmtId="0" fontId="8" fillId="8" borderId="12" xfId="697" applyFont="1" applyFill="1" applyBorder="1">
      <alignment horizontal="center" vertical="center" wrapText="1"/>
    </xf>
    <xf numFmtId="0" fontId="8" fillId="8" borderId="16" xfId="698" applyFont="1" applyFill="1" applyBorder="1">
      <alignment horizontal="center" vertical="center" wrapText="1"/>
    </xf>
    <xf numFmtId="0" fontId="8" fillId="8" borderId="18" xfId="699" applyFont="1" applyFill="1" applyBorder="1">
      <alignment horizontal="center" vertical="center" wrapText="1"/>
    </xf>
    <xf numFmtId="0" fontId="8" fillId="8" borderId="14" xfId="700" applyFont="1" applyFill="1" applyBorder="1">
      <alignment horizontal="center" vertical="center"/>
    </xf>
    <xf numFmtId="0" fontId="25" fillId="0" borderId="16" xfId="708" applyFont="1" applyBorder="1">
      <alignment horizontal="right" vertical="center" wrapText="1" indent="1"/>
    </xf>
    <xf numFmtId="0" fontId="25" fillId="0" borderId="11" xfId="709" applyFont="1" applyBorder="1">
      <alignment horizontal="right" vertical="center" wrapText="1" indent="1"/>
    </xf>
    <xf numFmtId="0" fontId="8" fillId="0" borderId="0" xfId="715" applyFont="1">
      <alignment horizontal="left" vertical="top" wrapText="1"/>
    </xf>
    <xf numFmtId="0" fontId="8" fillId="6" borderId="12" xfId="609" applyFont="1" applyFill="1" applyBorder="1">
      <alignment horizontal="left" vertical="top" wrapText="1"/>
    </xf>
    <xf numFmtId="0" fontId="8" fillId="6" borderId="11" xfId="717" applyFont="1" applyFill="1" applyBorder="1">
      <alignment horizontal="left" vertical="top" wrapText="1"/>
    </xf>
    <xf numFmtId="49" fontId="8" fillId="15" borderId="0" xfId="718" applyNumberFormat="1" applyFont="1" applyFill="1">
      <alignment horizontal="center" vertical="center" textRotation="90" wrapText="1"/>
    </xf>
    <xf numFmtId="0" fontId="28" fillId="0" borderId="20" xfId="750" applyFont="1" applyBorder="1">
      <alignment horizontal="center" vertical="center" wrapText="1"/>
    </xf>
    <xf numFmtId="0" fontId="8" fillId="6" borderId="12" xfId="753" applyFont="1" applyFill="1" applyBorder="1">
      <alignment horizontal="left" vertical="top" wrapText="1" indent="1"/>
    </xf>
    <xf numFmtId="0" fontId="8" fillId="6" borderId="11" xfId="754" applyFont="1" applyFill="1" applyBorder="1">
      <alignment horizontal="left" vertical="top" wrapText="1" indent="1"/>
    </xf>
    <xf numFmtId="49" fontId="0" fillId="0" borderId="14" xfId="345" applyNumberFormat="1" applyFont="1" applyBorder="1">
      <alignment horizontal="center" vertical="center" wrapText="1"/>
    </xf>
    <xf numFmtId="49" fontId="8" fillId="0" borderId="12" xfId="763" applyNumberFormat="1" applyFont="1" applyBorder="1">
      <alignment horizontal="center" vertical="center" wrapText="1"/>
    </xf>
    <xf numFmtId="49" fontId="25" fillId="0" borderId="14" xfId="549" applyNumberFormat="1" applyFont="1" applyBorder="1">
      <alignment horizontal="center" vertical="center" wrapText="1"/>
    </xf>
    <xf numFmtId="49" fontId="8" fillId="0" borderId="14" xfId="371" applyNumberFormat="1" applyFont="1" applyBorder="1">
      <alignment horizontal="left" vertical="center" wrapText="1"/>
    </xf>
    <xf numFmtId="0" fontId="0" fillId="0" borderId="14" xfId="762" applyFont="1" applyBorder="1">
      <alignment horizontal="left" vertical="center" wrapText="1" indent="1"/>
    </xf>
    <xf numFmtId="0" fontId="8" fillId="8" borderId="25" xfId="585" applyFont="1" applyFill="1" applyBorder="1">
      <alignment horizontal="center" vertical="center" wrapText="1"/>
    </xf>
    <xf numFmtId="0" fontId="8" fillId="0" borderId="6" xfId="768" applyFont="1" applyBorder="1">
      <alignment horizontal="center" vertical="center"/>
    </xf>
    <xf numFmtId="0" fontId="8" fillId="0" borderId="7" xfId="769" applyFont="1" applyBorder="1">
      <alignment horizontal="center" vertical="center"/>
    </xf>
    <xf numFmtId="0" fontId="8" fillId="0" borderId="8" xfId="770" applyFont="1" applyBorder="1">
      <alignment horizontal="center" vertical="center"/>
    </xf>
    <xf numFmtId="0" fontId="8" fillId="0" borderId="47" xfId="774" applyFont="1" applyBorder="1">
      <alignment horizontal="center" vertical="center"/>
    </xf>
    <xf numFmtId="0" fontId="8" fillId="0" borderId="35" xfId="775" applyFont="1" applyBorder="1">
      <alignment horizontal="center" vertical="center"/>
    </xf>
    <xf numFmtId="49" fontId="0" fillId="0" borderId="14" xfId="713" applyNumberFormat="1" applyFont="1" applyBorder="1">
      <alignment vertical="center" wrapText="1"/>
    </xf>
    <xf numFmtId="49" fontId="0" fillId="0" borderId="14" xfId="282" applyNumberFormat="1" applyFont="1" applyBorder="1">
      <alignment horizontal="left" vertical="center" wrapText="1"/>
    </xf>
    <xf numFmtId="49" fontId="0" fillId="0" borderId="23" xfId="777" applyNumberFormat="1" applyFont="1" applyBorder="1">
      <alignment horizontal="center" vertical="center" wrapText="1"/>
    </xf>
    <xf numFmtId="49" fontId="0" fillId="0" borderId="33" xfId="779" applyNumberFormat="1" applyFont="1" applyBorder="1">
      <alignment horizontal="center" vertical="center" wrapText="1"/>
    </xf>
    <xf numFmtId="49" fontId="0" fillId="0" borderId="21" xfId="781" applyNumberFormat="1" applyFont="1" applyBorder="1">
      <alignment horizontal="center" vertical="center" wrapText="1"/>
    </xf>
    <xf numFmtId="0" fontId="0" fillId="6" borderId="14" xfId="780" applyFont="1" applyFill="1" applyBorder="1">
      <alignment horizontal="center" vertical="center" wrapText="1"/>
    </xf>
    <xf numFmtId="49" fontId="0" fillId="0" borderId="14" xfId="189" applyNumberFormat="1" applyFont="1" applyBorder="1">
      <alignment horizontal="center" vertical="center"/>
    </xf>
    <xf numFmtId="0" fontId="8" fillId="8" borderId="11" xfId="813" applyFont="1" applyFill="1" applyBorder="1">
      <alignment horizontal="center" vertical="center" wrapText="1"/>
    </xf>
    <xf numFmtId="0" fontId="8" fillId="20" borderId="14" xfId="811" applyFont="1" applyFill="1" applyBorder="1">
      <alignment horizontal="center" vertical="center" wrapText="1"/>
    </xf>
    <xf numFmtId="0" fontId="8" fillId="20" borderId="12" xfId="812" applyFont="1" applyFill="1" applyBorder="1">
      <alignment horizontal="center" vertical="center" wrapText="1"/>
    </xf>
    <xf numFmtId="49" fontId="8" fillId="19" borderId="12" xfId="803" applyNumberFormat="1" applyFont="1" applyFill="1" applyBorder="1">
      <alignment horizontal="center" vertical="center" wrapText="1"/>
    </xf>
    <xf numFmtId="49" fontId="8" fillId="19" borderId="16" xfId="804" applyNumberFormat="1" applyFont="1" applyFill="1" applyBorder="1">
      <alignment horizontal="center" vertical="center" wrapText="1"/>
    </xf>
    <xf numFmtId="49" fontId="8" fillId="20" borderId="17" xfId="805" applyNumberFormat="1" applyFont="1" applyFill="1" applyBorder="1">
      <alignment horizontal="center" vertical="center" wrapText="1"/>
    </xf>
    <xf numFmtId="49" fontId="8" fillId="20" borderId="0" xfId="806" applyNumberFormat="1" applyFont="1" applyFill="1">
      <alignment horizontal="center" vertical="center" wrapText="1"/>
    </xf>
    <xf numFmtId="49" fontId="8" fillId="20" borderId="36" xfId="815" applyNumberFormat="1" applyFont="1" applyFill="1" applyBorder="1">
      <alignment horizontal="center" vertical="center" wrapText="1"/>
    </xf>
    <xf numFmtId="0" fontId="8" fillId="20" borderId="11" xfId="814" applyFont="1" applyFill="1" applyBorder="1">
      <alignment horizontal="center" vertical="center" wrapText="1"/>
    </xf>
    <xf numFmtId="0" fontId="8" fillId="16" borderId="12" xfId="794" applyFont="1" applyFill="1" applyBorder="1">
      <alignment horizontal="center" vertical="center" wrapText="1"/>
    </xf>
    <xf numFmtId="0" fontId="8" fillId="16" borderId="16" xfId="795" applyFont="1" applyFill="1" applyBorder="1">
      <alignment horizontal="center" vertical="center" wrapText="1"/>
    </xf>
    <xf numFmtId="0" fontId="8" fillId="16" borderId="11" xfId="796" applyFont="1" applyFill="1" applyBorder="1">
      <alignment horizontal="center" vertical="center" wrapText="1"/>
    </xf>
    <xf numFmtId="49" fontId="18" fillId="17" borderId="12" xfId="797" applyNumberFormat="1" applyFont="1" applyFill="1" applyBorder="1">
      <alignment horizontal="center" vertical="center" wrapText="1"/>
    </xf>
    <xf numFmtId="49" fontId="18" fillId="17" borderId="16" xfId="798" applyNumberFormat="1" applyFont="1" applyFill="1" applyBorder="1">
      <alignment horizontal="center" vertical="center" wrapText="1"/>
    </xf>
    <xf numFmtId="49" fontId="18" fillId="17" borderId="11" xfId="799" applyNumberFormat="1" applyFont="1" applyFill="1" applyBorder="1">
      <alignment horizontal="center" vertical="center" wrapText="1"/>
    </xf>
    <xf numFmtId="49" fontId="18" fillId="18" borderId="12" xfId="800" applyNumberFormat="1" applyFont="1" applyFill="1" applyBorder="1">
      <alignment horizontal="center" vertical="center" wrapText="1"/>
    </xf>
    <xf numFmtId="49" fontId="18" fillId="18" borderId="16" xfId="801" applyNumberFormat="1" applyFont="1" applyFill="1" applyBorder="1">
      <alignment horizontal="center" vertical="center" wrapText="1"/>
    </xf>
    <xf numFmtId="49" fontId="18" fillId="18" borderId="11" xfId="802" applyNumberFormat="1" applyFont="1" applyFill="1" applyBorder="1">
      <alignment horizontal="center" vertical="center" wrapText="1"/>
    </xf>
    <xf numFmtId="49" fontId="8" fillId="20" borderId="14" xfId="810" applyNumberFormat="1" applyFont="1" applyFill="1" applyBorder="1">
      <alignment horizontal="center" vertical="center" wrapText="1"/>
    </xf>
    <xf numFmtId="49" fontId="8" fillId="0" borderId="16" xfId="807" applyNumberFormat="1" applyFont="1" applyBorder="1">
      <alignment horizontal="center" vertical="center" wrapText="1"/>
    </xf>
    <xf numFmtId="49" fontId="8" fillId="0" borderId="11" xfId="808" applyNumberFormat="1" applyFont="1" applyBorder="1">
      <alignment horizontal="center" vertical="center" wrapText="1"/>
    </xf>
    <xf numFmtId="0" fontId="8" fillId="0" borderId="18" xfId="790" applyFont="1" applyBorder="1">
      <alignment horizontal="left" vertical="top" wrapText="1"/>
    </xf>
    <xf numFmtId="0" fontId="0" fillId="0" borderId="14" xfId="702" applyFont="1" applyBorder="1">
      <alignment horizontal="left" vertical="center" wrapText="1"/>
    </xf>
    <xf numFmtId="0" fontId="48" fillId="8" borderId="20" xfId="852" applyFont="1" applyFill="1" applyBorder="1">
      <alignment horizontal="center" vertical="top" wrapText="1"/>
    </xf>
    <xf numFmtId="0" fontId="8" fillId="0" borderId="16" xfId="844" applyFont="1" applyBorder="1">
      <alignment horizontal="left" vertical="top" wrapText="1" indent="1"/>
    </xf>
    <xf numFmtId="0" fontId="48" fillId="8" borderId="0" xfId="849" applyFont="1" applyFill="1">
      <alignment horizontal="center" vertical="top" wrapText="1"/>
    </xf>
    <xf numFmtId="49" fontId="28" fillId="8" borderId="17" xfId="846" applyNumberFormat="1" applyFont="1" applyFill="1" applyBorder="1">
      <alignment horizontal="center" vertical="center" wrapText="1"/>
    </xf>
    <xf numFmtId="0" fontId="0" fillId="0" borderId="23" xfId="848" applyFont="1" applyBorder="1">
      <alignment horizontal="left" vertical="center" wrapText="1"/>
    </xf>
    <xf numFmtId="0" fontId="0" fillId="6" borderId="12" xfId="850" applyFont="1" applyFill="1" applyBorder="1">
      <alignment horizontal="left" vertical="center" wrapText="1" indent="1"/>
    </xf>
    <xf numFmtId="49" fontId="0" fillId="8" borderId="21" xfId="853" applyNumberFormat="1" applyFont="1" applyFill="1" applyBorder="1">
      <alignment horizontal="center" vertical="center" wrapText="1"/>
    </xf>
    <xf numFmtId="0" fontId="0" fillId="6" borderId="21" xfId="854" applyFont="1" applyFill="1" applyBorder="1">
      <alignment horizontal="left" vertical="center" wrapText="1" indent="1"/>
    </xf>
    <xf numFmtId="0" fontId="0" fillId="8" borderId="23" xfId="928" applyFont="1" applyFill="1" applyBorder="1">
      <alignment horizontal="left" vertical="top" wrapText="1"/>
    </xf>
    <xf numFmtId="0" fontId="0" fillId="8" borderId="33" xfId="931" applyFont="1" applyFill="1" applyBorder="1">
      <alignment horizontal="left" vertical="top" wrapText="1"/>
    </xf>
    <xf numFmtId="0" fontId="0" fillId="8" borderId="21" xfId="933" applyFont="1" applyFill="1" applyBorder="1">
      <alignment horizontal="left" vertical="top" wrapText="1"/>
    </xf>
    <xf numFmtId="4" fontId="8" fillId="0" borderId="23" xfId="733" applyNumberFormat="1" applyFont="1" applyBorder="1">
      <alignment horizontal="center" vertical="center" wrapText="1"/>
    </xf>
    <xf numFmtId="4" fontId="8" fillId="0" borderId="21" xfId="942" applyNumberFormat="1" applyFont="1" applyBorder="1">
      <alignment horizontal="center" vertical="center" wrapText="1"/>
    </xf>
    <xf numFmtId="4" fontId="8" fillId="0" borderId="33" xfId="954" applyNumberFormat="1" applyFont="1" applyBorder="1">
      <alignment horizontal="center" vertical="center" wrapText="1"/>
    </xf>
    <xf numFmtId="0" fontId="8" fillId="0" borderId="25" xfId="958" applyFont="1" applyBorder="1">
      <alignment horizontal="left" vertical="top" wrapText="1"/>
    </xf>
    <xf numFmtId="169" fontId="8" fillId="0" borderId="23" xfId="941" applyNumberFormat="1" applyFont="1" applyBorder="1">
      <alignment horizontal="center" vertical="center" wrapText="1"/>
    </xf>
    <xf numFmtId="169" fontId="8" fillId="0" borderId="21" xfId="955" applyNumberFormat="1" applyFont="1" applyBorder="1">
      <alignment horizontal="center" vertical="center" wrapText="1"/>
    </xf>
    <xf numFmtId="169" fontId="8" fillId="0" borderId="12" xfId="99" applyNumberFormat="1" applyFont="1" applyBorder="1">
      <alignment horizontal="center" vertical="center" wrapText="1"/>
    </xf>
    <xf numFmtId="169" fontId="8" fillId="0" borderId="16" xfId="952" applyNumberFormat="1" applyFont="1" applyBorder="1">
      <alignment horizontal="center" vertical="center" wrapText="1"/>
    </xf>
    <xf numFmtId="169" fontId="8" fillId="0" borderId="11" xfId="953" applyNumberFormat="1" applyFont="1" applyBorder="1">
      <alignment horizontal="center" vertical="center" wrapText="1"/>
    </xf>
    <xf numFmtId="49" fontId="8" fillId="0" borderId="14" xfId="975" applyNumberFormat="1" applyFont="1" applyBorder="1">
      <alignment horizontal="left" vertical="top" wrapText="1"/>
    </xf>
    <xf numFmtId="49" fontId="68" fillId="0" borderId="14" xfId="977" applyNumberFormat="1" applyFont="1" applyBorder="1">
      <alignment horizontal="left" vertical="top" wrapText="1"/>
    </xf>
    <xf numFmtId="0" fontId="8" fillId="0" borderId="16" xfId="966" applyFont="1" applyBorder="1">
      <alignment horizontal="left" vertical="center" wrapText="1"/>
    </xf>
    <xf numFmtId="169" fontId="8" fillId="0" borderId="33" xfId="970" applyNumberFormat="1" applyFont="1" applyBorder="1">
      <alignment horizontal="center" vertical="center" wrapText="1"/>
    </xf>
    <xf numFmtId="169" fontId="8" fillId="0" borderId="14" xfId="100" applyNumberFormat="1" applyFont="1" applyBorder="1">
      <alignment horizontal="center" vertical="center" wrapText="1"/>
    </xf>
    <xf numFmtId="169" fontId="30" fillId="0" borderId="17" xfId="967" applyNumberFormat="1" applyFont="1" applyBorder="1">
      <alignment horizontal="center" vertical="center" wrapText="1"/>
    </xf>
    <xf numFmtId="49" fontId="8" fillId="9" borderId="26" xfId="972" applyNumberFormat="1" applyFont="1" applyFill="1" applyBorder="1">
      <alignment horizontal="left" vertical="center" wrapText="1"/>
    </xf>
    <xf numFmtId="49" fontId="8" fillId="9" borderId="21" xfId="976" applyNumberFormat="1" applyFont="1" applyFill="1" applyBorder="1">
      <alignment horizontal="left" vertical="center" wrapText="1"/>
    </xf>
    <xf numFmtId="14" fontId="8" fillId="9" borderId="14" xfId="943" applyNumberFormat="1" applyFont="1" applyFill="1" applyBorder="1">
      <alignment horizontal="left" vertical="center" wrapText="1"/>
    </xf>
    <xf numFmtId="49" fontId="8" fillId="9" borderId="12" xfId="308" applyNumberFormat="1" applyFont="1" applyFill="1" applyBorder="1">
      <alignment horizontal="left" vertical="center" wrapText="1"/>
    </xf>
    <xf numFmtId="49" fontId="8" fillId="9" borderId="14" xfId="306" applyNumberFormat="1" applyFont="1" applyFill="1" applyBorder="1">
      <alignment horizontal="left" vertical="center" wrapText="1"/>
    </xf>
    <xf numFmtId="0" fontId="8" fillId="6" borderId="25" xfId="971" applyFont="1" applyFill="1" applyBorder="1">
      <alignment horizontal="left" vertical="center" wrapText="1"/>
    </xf>
    <xf numFmtId="14" fontId="8" fillId="9" borderId="21" xfId="379" applyNumberFormat="1" applyFont="1" applyFill="1" applyBorder="1">
      <alignment horizontal="left" vertical="center" wrapText="1"/>
    </xf>
    <xf numFmtId="49" fontId="8" fillId="0" borderId="0" xfId="980" applyNumberFormat="1" applyFont="1">
      <alignment horizontal="left" vertical="top" wrapText="1"/>
    </xf>
    <xf numFmtId="0" fontId="8" fillId="0" borderId="11" xfId="663" applyFont="1" applyBorder="1">
      <alignment horizontal="left" vertical="center" wrapText="1" indent="1"/>
    </xf>
    <xf numFmtId="0" fontId="8" fillId="0" borderId="12" xfId="636" applyFont="1" applyBorder="1">
      <alignment horizontal="left" vertical="center" wrapText="1" indent="1"/>
    </xf>
    <xf numFmtId="49" fontId="0" fillId="0" borderId="16" xfId="989" applyNumberFormat="1" applyFont="1" applyBorder="1">
      <alignment horizontal="left" vertical="center" indent="1"/>
    </xf>
    <xf numFmtId="49" fontId="8" fillId="0" borderId="14" xfId="1008" applyNumberFormat="1" applyFont="1" applyBorder="1">
      <alignment horizontal="center" vertical="top" wrapText="1"/>
    </xf>
    <xf numFmtId="0" fontId="0" fillId="6" borderId="14" xfId="1009" applyFont="1" applyFill="1" applyBorder="1">
      <alignment horizontal="left" vertical="top" wrapText="1" indent="1"/>
    </xf>
    <xf numFmtId="49" fontId="8" fillId="9" borderId="23" xfId="1010" applyNumberFormat="1" applyFont="1" applyFill="1" applyBorder="1">
      <alignment horizontal="center" vertical="top" wrapText="1"/>
    </xf>
    <xf numFmtId="49" fontId="8" fillId="9" borderId="21" xfId="1021" applyNumberFormat="1" applyFont="1" applyFill="1" applyBorder="1">
      <alignment horizontal="center" vertical="top" wrapText="1"/>
    </xf>
    <xf numFmtId="168" fontId="0" fillId="7" borderId="14" xfId="1011" applyNumberFormat="1" applyFont="1" applyFill="1" applyBorder="1">
      <alignment horizontal="center" vertical="top" wrapText="1"/>
      <protection locked="0"/>
    </xf>
    <xf numFmtId="49" fontId="0" fillId="7" borderId="14" xfId="1022" applyNumberFormat="1" applyFont="1" applyFill="1" applyBorder="1">
      <alignment horizontal="center" vertical="top" wrapText="1"/>
      <protection locked="0"/>
    </xf>
    <xf numFmtId="168" fontId="0" fillId="4" borderId="14" xfId="1012" applyNumberFormat="1" applyFont="1" applyFill="1" applyBorder="1">
      <alignment horizontal="center" vertical="top" wrapText="1"/>
      <protection locked="0"/>
    </xf>
    <xf numFmtId="49" fontId="0" fillId="4" borderId="14" xfId="1023" applyNumberFormat="1" applyFont="1" applyFill="1" applyBorder="1">
      <alignment horizontal="center" vertical="top" wrapText="1"/>
      <protection locked="0"/>
    </xf>
    <xf numFmtId="49" fontId="8" fillId="9" borderId="14" xfId="1013" applyNumberFormat="1" applyFont="1" applyFill="1" applyBorder="1">
      <alignment horizontal="left" vertical="top" wrapText="1"/>
    </xf>
    <xf numFmtId="49" fontId="18" fillId="0" borderId="23" xfId="1049" applyNumberFormat="1" applyFont="1" applyBorder="1">
      <alignment horizontal="left" vertical="center" wrapText="1" indent="1"/>
    </xf>
    <xf numFmtId="49" fontId="18" fillId="0" borderId="33" xfId="1054" applyNumberFormat="1" applyFont="1" applyBorder="1">
      <alignment horizontal="left" vertical="center" wrapText="1" indent="1"/>
    </xf>
    <xf numFmtId="49" fontId="18" fillId="0" borderId="21" xfId="1057" applyNumberFormat="1" applyFont="1" applyBorder="1">
      <alignment horizontal="left" vertical="center" wrapText="1" indent="1"/>
    </xf>
    <xf numFmtId="49" fontId="18" fillId="0" borderId="14" xfId="110" applyNumberFormat="1" applyFont="1" applyBorder="1">
      <alignment horizontal="left" vertical="center" wrapText="1"/>
    </xf>
    <xf numFmtId="49" fontId="74" fillId="0" borderId="14" xfId="1070" applyNumberFormat="1" applyFont="1" applyBorder="1">
      <alignment horizontal="center" vertical="center" wrapText="1"/>
    </xf>
    <xf numFmtId="0" fontId="30" fillId="0" borderId="14" xfId="1071" applyFont="1" applyBorder="1">
      <alignment horizontal="center" vertical="center"/>
    </xf>
    <xf numFmtId="49" fontId="8" fillId="9" borderId="23" xfId="1072" applyNumberFormat="1" applyFont="1" applyFill="1" applyBorder="1">
      <alignment horizontal="left" vertical="center" wrapText="1" indent="1"/>
    </xf>
    <xf numFmtId="49" fontId="8" fillId="9" borderId="33" xfId="1080" applyNumberFormat="1" applyFont="1" applyFill="1" applyBorder="1">
      <alignment horizontal="left" vertical="center" wrapText="1" indent="1"/>
    </xf>
    <xf numFmtId="49" fontId="8" fillId="9" borderId="21" xfId="1084" applyNumberFormat="1" applyFont="1" applyFill="1" applyBorder="1">
      <alignment horizontal="left" vertical="center" wrapText="1" indent="1"/>
    </xf>
    <xf numFmtId="49" fontId="8" fillId="6" borderId="14" xfId="1081" applyNumberFormat="1" applyFont="1" applyFill="1" applyBorder="1">
      <alignment horizontal="left" vertical="center" wrapText="1"/>
    </xf>
    <xf numFmtId="0" fontId="0" fillId="0" borderId="14" xfId="188" applyFont="1" applyBorder="1">
      <alignment horizontal="center" vertical="center"/>
    </xf>
    <xf numFmtId="49" fontId="8" fillId="7" borderId="14" xfId="1014" applyNumberFormat="1" applyFont="1" applyFill="1" applyBorder="1">
      <alignment horizontal="left" vertical="top" wrapText="1"/>
      <protection locked="0"/>
    </xf>
    <xf numFmtId="0" fontId="8" fillId="4" borderId="14" xfId="1017" applyFont="1" applyFill="1" applyBorder="1">
      <alignment horizontal="left" vertical="top" wrapText="1"/>
      <protection locked="0"/>
    </xf>
    <xf numFmtId="49" fontId="0" fillId="7" borderId="14" xfId="276" applyNumberFormat="1" applyFont="1" applyFill="1" applyBorder="1">
      <alignment horizontal="left" vertical="center" wrapText="1"/>
      <protection locked="0"/>
    </xf>
    <xf numFmtId="0" fontId="8" fillId="9" borderId="14" xfId="1129" applyFont="1" applyFill="1" applyBorder="1">
      <alignment horizontal="left" vertical="top" wrapText="1"/>
    </xf>
    <xf numFmtId="49" fontId="0" fillId="9" borderId="14" xfId="1134" applyNumberFormat="1" applyFont="1" applyFill="1" applyBorder="1">
      <alignment horizontal="left" vertical="top"/>
    </xf>
    <xf numFmtId="49" fontId="8" fillId="0" borderId="23" xfId="163" applyNumberFormat="1" applyFont="1" applyBorder="1">
      <alignment horizontal="center" vertical="center" wrapText="1"/>
    </xf>
    <xf numFmtId="49" fontId="8" fillId="0" borderId="33" xfId="1108" applyNumberFormat="1" applyFont="1" applyBorder="1">
      <alignment horizontal="center" vertical="center" wrapText="1"/>
    </xf>
    <xf numFmtId="49" fontId="8" fillId="0" borderId="21" xfId="1110" applyNumberFormat="1" applyFont="1" applyBorder="1">
      <alignment horizontal="center" vertical="center" wrapText="1"/>
    </xf>
    <xf numFmtId="0" fontId="0" fillId="7" borderId="14" xfId="838" applyFont="1" applyFill="1" applyBorder="1">
      <alignment horizontal="left" vertical="center" wrapText="1"/>
      <protection locked="0"/>
    </xf>
    <xf numFmtId="49" fontId="0" fillId="7" borderId="12" xfId="1122" applyNumberFormat="1" applyFont="1" applyFill="1" applyBorder="1">
      <alignment horizontal="left" vertical="center" wrapText="1"/>
      <protection locked="0"/>
    </xf>
    <xf numFmtId="49" fontId="31" fillId="0" borderId="23" xfId="1119" applyNumberFormat="1" applyFont="1" applyBorder="1">
      <alignment horizontal="center" vertical="top" wrapText="1"/>
    </xf>
    <xf numFmtId="49" fontId="8" fillId="0" borderId="33" xfId="1025" applyNumberFormat="1" applyFont="1" applyBorder="1">
      <alignment horizontal="center" vertical="top" wrapText="1"/>
    </xf>
    <xf numFmtId="49" fontId="8" fillId="0" borderId="21" xfId="1126" applyNumberFormat="1" applyFont="1" applyBorder="1">
      <alignment horizontal="center" vertical="top" wrapText="1"/>
    </xf>
    <xf numFmtId="49" fontId="8" fillId="7" borderId="12" xfId="1120" applyNumberFormat="1" applyFont="1" applyFill="1" applyBorder="1">
      <alignment horizontal="left" vertical="center" wrapText="1" indent="1"/>
      <protection locked="0"/>
    </xf>
    <xf numFmtId="49" fontId="8" fillId="7" borderId="14" xfId="60" applyNumberFormat="1" applyFont="1" applyFill="1" applyBorder="1">
      <alignment horizontal="left" vertical="center" wrapText="1" indent="1"/>
      <protection locked="0"/>
    </xf>
    <xf numFmtId="0" fontId="0" fillId="9" borderId="14" xfId="1130" applyFont="1" applyFill="1" applyBorder="1">
      <alignment horizontal="left" vertical="center" wrapText="1"/>
    </xf>
    <xf numFmtId="49" fontId="0" fillId="9" borderId="14" xfId="1136" applyNumberFormat="1" applyFont="1" applyFill="1" applyBorder="1">
      <alignment horizontal="left" vertical="center" wrapText="1"/>
    </xf>
    <xf numFmtId="49" fontId="8" fillId="4" borderId="14" xfId="305" applyNumberFormat="1" applyFont="1" applyFill="1" applyBorder="1">
      <alignment horizontal="left" vertical="center" wrapText="1"/>
      <protection locked="0"/>
    </xf>
    <xf numFmtId="49" fontId="0" fillId="4" borderId="14" xfId="1135" applyNumberFormat="1" applyFont="1" applyFill="1" applyBorder="1">
      <alignment horizontal="left" vertical="top"/>
      <protection locked="0"/>
    </xf>
    <xf numFmtId="14" fontId="35" fillId="0" borderId="23" xfId="996" applyNumberFormat="1" applyFont="1" applyBorder="1">
      <alignment horizontal="center" vertical="center" wrapText="1"/>
    </xf>
    <xf numFmtId="14" fontId="35" fillId="0" borderId="33" xfId="999" applyNumberFormat="1" applyFont="1" applyBorder="1">
      <alignment horizontal="center" vertical="center" wrapText="1"/>
    </xf>
    <xf numFmtId="0" fontId="34" fillId="0" borderId="14" xfId="997" applyFont="1" applyBorder="1">
      <alignment horizontal="left" vertical="center" wrapText="1" indent="1"/>
    </xf>
    <xf numFmtId="0" fontId="34" fillId="0" borderId="14" xfId="1000" applyFont="1" applyBorder="1">
      <alignment horizontal="left" vertical="top" indent="1"/>
    </xf>
    <xf numFmtId="0" fontId="28" fillId="0" borderId="14" xfId="965" applyFont="1" applyBorder="1">
      <alignment horizontal="center" vertical="center" wrapText="1"/>
    </xf>
    <xf numFmtId="0" fontId="8" fillId="9" borderId="14" xfId="78" applyFont="1" applyFill="1" applyBorder="1">
      <alignment horizontal="left" vertical="center" wrapText="1" indent="1"/>
    </xf>
    <xf numFmtId="49" fontId="8" fillId="9" borderId="14" xfId="1018" applyNumberFormat="1" applyFont="1" applyFill="1" applyBorder="1">
      <alignment horizontal="center" vertical="top" wrapText="1"/>
    </xf>
    <xf numFmtId="49" fontId="8" fillId="9" borderId="12" xfId="1024" applyNumberFormat="1" applyFont="1" applyFill="1" applyBorder="1">
      <alignment horizontal="center" vertical="top" wrapText="1"/>
    </xf>
    <xf numFmtId="49" fontId="0" fillId="6" borderId="14" xfId="1015" applyNumberFormat="1" applyFont="1" applyFill="1" applyBorder="1">
      <alignment horizontal="center" vertical="top" wrapText="1"/>
    </xf>
    <xf numFmtId="0" fontId="8" fillId="6" borderId="14" xfId="1016" applyFont="1" applyFill="1" applyBorder="1">
      <alignment horizontal="center" vertical="top" wrapText="1"/>
    </xf>
    <xf numFmtId="49" fontId="18" fillId="0" borderId="12" xfId="1043" applyNumberFormat="1" applyFont="1" applyBorder="1">
      <alignment horizontal="center" vertical="center" wrapText="1"/>
    </xf>
    <xf numFmtId="49" fontId="29" fillId="10" borderId="61" xfId="1063" applyNumberFormat="1" applyFont="1" applyFill="1" applyBorder="1">
      <alignment horizontal="left" vertical="center" indent="1"/>
    </xf>
    <xf numFmtId="49" fontId="8" fillId="6" borderId="14" xfId="994" applyNumberFormat="1" applyFont="1" applyFill="1" applyBorder="1">
      <alignment horizontal="center" vertical="center" wrapText="1"/>
    </xf>
    <xf numFmtId="49" fontId="8" fillId="6" borderId="59" xfId="1061" applyNumberFormat="1" applyFont="1" applyFill="1" applyBorder="1">
      <alignment horizontal="center" vertical="center" wrapText="1"/>
    </xf>
    <xf numFmtId="3" fontId="18" fillId="0" borderId="14" xfId="1046" applyNumberFormat="1" applyFont="1" applyBorder="1">
      <alignment horizontal="center" vertical="center" wrapText="1"/>
    </xf>
    <xf numFmtId="49" fontId="18" fillId="0" borderId="11" xfId="1041" applyNumberFormat="1" applyFont="1" applyBorder="1">
      <alignment horizontal="center" vertical="center" wrapText="1"/>
    </xf>
    <xf numFmtId="49" fontId="18" fillId="0" borderId="11" xfId="1042" applyNumberFormat="1" applyFont="1" applyBorder="1">
      <alignment horizontal="left" vertical="center" wrapText="1"/>
    </xf>
    <xf numFmtId="49" fontId="73" fillId="0" borderId="11" xfId="1047" applyNumberFormat="1" applyFont="1" applyBorder="1">
      <alignment horizontal="center" vertical="center" wrapText="1"/>
    </xf>
    <xf numFmtId="0" fontId="72" fillId="0" borderId="14" xfId="1048" applyFont="1" applyBorder="1">
      <alignment horizontal="center" vertical="center"/>
    </xf>
    <xf numFmtId="0" fontId="8" fillId="9" borderId="23" xfId="1155" applyFont="1" applyFill="1" applyBorder="1">
      <alignment horizontal="left" vertical="center" wrapText="1"/>
    </xf>
    <xf numFmtId="0" fontId="8" fillId="9" borderId="33" xfId="1159" applyFont="1" applyFill="1" applyBorder="1">
      <alignment horizontal="left" vertical="center" wrapText="1"/>
    </xf>
    <xf numFmtId="49" fontId="8" fillId="9" borderId="23" xfId="1156" applyNumberFormat="1" applyFont="1" applyFill="1" applyBorder="1">
      <alignment horizontal="left" vertical="center" wrapText="1"/>
    </xf>
    <xf numFmtId="49" fontId="8" fillId="0" borderId="33" xfId="1151" applyNumberFormat="1" applyFont="1" applyBorder="1">
      <alignment horizontal="center" vertical="center"/>
    </xf>
    <xf numFmtId="0" fontId="8" fillId="0" borderId="20" xfId="1153" applyFont="1" applyBorder="1">
      <alignment horizontal="center" vertical="center"/>
    </xf>
    <xf numFmtId="49" fontId="8" fillId="4" borderId="23" xfId="1167" applyNumberFormat="1" applyFont="1" applyFill="1" applyBorder="1">
      <alignment horizontal="left" vertical="center" wrapText="1"/>
      <protection locked="0"/>
    </xf>
    <xf numFmtId="0" fontId="29" fillId="10" borderId="16" xfId="1132" applyFont="1" applyFill="1" applyBorder="1">
      <alignment horizontal="left" vertical="center"/>
    </xf>
    <xf numFmtId="0" fontId="29" fillId="10" borderId="11" xfId="1133" applyFont="1" applyFill="1" applyBorder="1">
      <alignment horizontal="left" vertical="center"/>
    </xf>
    <xf numFmtId="0" fontId="29" fillId="10" borderId="17" xfId="1162" applyFont="1" applyFill="1" applyBorder="1">
      <alignment horizontal="left" vertical="center"/>
    </xf>
    <xf numFmtId="0" fontId="29" fillId="10" borderId="18" xfId="1163" applyFont="1" applyFill="1" applyBorder="1">
      <alignment horizontal="left" vertical="center"/>
    </xf>
    <xf numFmtId="49" fontId="8" fillId="7" borderId="14" xfId="363" applyNumberFormat="1" applyFont="1" applyFill="1" applyBorder="1">
      <alignment horizontal="left" vertical="center" wrapText="1"/>
      <protection locked="0"/>
    </xf>
    <xf numFmtId="49" fontId="8" fillId="7" borderId="23" xfId="1164" applyNumberFormat="1" applyFont="1" applyFill="1" applyBorder="1">
      <alignment horizontal="left" vertical="center" wrapText="1"/>
      <protection locked="0"/>
    </xf>
    <xf numFmtId="49" fontId="8" fillId="9" borderId="11" xfId="1088" applyNumberFormat="1" applyFont="1" applyFill="1" applyBorder="1">
      <alignment horizontal="left" vertical="center" wrapText="1"/>
    </xf>
    <xf numFmtId="3" fontId="8" fillId="7" borderId="14" xfId="1092" applyNumberFormat="1" applyFont="1" applyFill="1" applyBorder="1">
      <alignment horizontal="center" vertical="center" wrapText="1"/>
      <protection locked="0"/>
    </xf>
    <xf numFmtId="49" fontId="8" fillId="9" borderId="12" xfId="1093" applyNumberFormat="1" applyFont="1" applyFill="1" applyBorder="1">
      <alignment horizontal="center" vertical="center" wrapText="1"/>
    </xf>
    <xf numFmtId="0" fontId="30" fillId="0" borderId="11" xfId="1087" applyFont="1" applyBorder="1">
      <alignment horizontal="center" vertical="center"/>
    </xf>
    <xf numFmtId="49" fontId="76" fillId="0" borderId="14" xfId="1178" applyNumberFormat="1" applyFont="1" applyBorder="1">
      <alignment horizontal="center" vertical="top" wrapText="1"/>
    </xf>
    <xf numFmtId="0" fontId="76" fillId="20" borderId="14" xfId="1189" applyFont="1" applyFill="1" applyBorder="1">
      <alignment horizontal="center" vertical="center" wrapText="1"/>
    </xf>
    <xf numFmtId="49" fontId="76" fillId="0" borderId="24" xfId="1193" applyNumberFormat="1" applyFont="1" applyBorder="1">
      <alignment horizontal="center" vertical="top" wrapText="1"/>
    </xf>
    <xf numFmtId="49" fontId="76" fillId="0" borderId="26" xfId="1196" applyNumberFormat="1" applyFont="1" applyBorder="1">
      <alignment horizontal="center" vertical="top" wrapText="1"/>
    </xf>
    <xf numFmtId="49" fontId="76" fillId="0" borderId="12" xfId="1184" applyNumberFormat="1" applyFont="1" applyBorder="1">
      <alignment horizontal="center" vertical="top" wrapText="1"/>
    </xf>
    <xf numFmtId="49" fontId="76" fillId="0" borderId="16" xfId="1185" applyNumberFormat="1" applyFont="1" applyBorder="1">
      <alignment horizontal="center" vertical="top" wrapText="1"/>
    </xf>
    <xf numFmtId="49" fontId="76" fillId="0" borderId="11" xfId="1186" applyNumberFormat="1" applyFont="1" applyBorder="1">
      <alignment horizontal="center" vertical="top" wrapText="1"/>
    </xf>
    <xf numFmtId="49" fontId="76" fillId="0" borderId="23" xfId="1190" applyNumberFormat="1" applyFont="1" applyBorder="1">
      <alignment horizontal="center" vertical="top" wrapText="1"/>
    </xf>
    <xf numFmtId="49" fontId="76" fillId="0" borderId="33" xfId="1191" applyNumberFormat="1" applyFont="1" applyBorder="1">
      <alignment horizontal="center" vertical="top" wrapText="1"/>
    </xf>
    <xf numFmtId="49" fontId="76" fillId="0" borderId="21" xfId="1195" applyNumberFormat="1" applyFont="1" applyBorder="1">
      <alignment horizontal="center" vertical="top" wrapText="1"/>
    </xf>
    <xf numFmtId="4" fontId="8" fillId="6" borderId="14" xfId="1217" applyNumberFormat="1" applyFont="1" applyFill="1" applyBorder="1">
      <alignment horizontal="left" vertical="center" wrapText="1"/>
    </xf>
    <xf numFmtId="0" fontId="3" fillId="0" borderId="17" xfId="1215" applyFont="1" applyBorder="1">
      <alignment horizontal="left" vertical="center" wrapText="1" indent="1"/>
    </xf>
    <xf numFmtId="0" fontId="3" fillId="0" borderId="36" xfId="1216" applyFont="1" applyBorder="1">
      <alignment horizontal="left" vertical="center" wrapText="1" indent="1"/>
    </xf>
    <xf numFmtId="49" fontId="0" fillId="0" borderId="14" xfId="1227" applyNumberFormat="1" applyFont="1" applyBorder="1">
      <alignment horizontal="center" vertical="top"/>
    </xf>
    <xf numFmtId="49" fontId="0" fillId="0" borderId="12" xfId="1228" applyNumberFormat="1" applyFont="1" applyBorder="1">
      <alignment horizontal="center" vertical="top"/>
    </xf>
  </cellXfs>
  <cellStyles count="1249">
    <cellStyle name="s1" xfId="1"/>
    <cellStyle name="s10" xfId="10"/>
    <cellStyle name="s100" xfId="100"/>
    <cellStyle name="s1000" xfId="1000"/>
    <cellStyle name="s1001" xfId="1001"/>
    <cellStyle name="s1002" xfId="1002"/>
    <cellStyle name="s1003" xfId="1003"/>
    <cellStyle name="s1004" xfId="1004"/>
    <cellStyle name="s1005" xfId="1005"/>
    <cellStyle name="s1006" xfId="1006"/>
    <cellStyle name="s1007" xfId="1007"/>
    <cellStyle name="s1008" xfId="1008"/>
    <cellStyle name="s1009" xfId="1009"/>
    <cellStyle name="s101" xfId="101"/>
    <cellStyle name="s1010" xfId="1010"/>
    <cellStyle name="s1011" xfId="1011"/>
    <cellStyle name="s1012" xfId="1012"/>
    <cellStyle name="s1013" xfId="1013"/>
    <cellStyle name="s1014" xfId="1014"/>
    <cellStyle name="s1015" xfId="1015"/>
    <cellStyle name="s1016" xfId="1016"/>
    <cellStyle name="s1017" xfId="1017"/>
    <cellStyle name="s1018" xfId="1018"/>
    <cellStyle name="s1019" xfId="1019"/>
    <cellStyle name="s102" xfId="102"/>
    <cellStyle name="s1020" xfId="1020"/>
    <cellStyle name="s1021" xfId="1021"/>
    <cellStyle name="s1022" xfId="1022"/>
    <cellStyle name="s1023" xfId="1023"/>
    <cellStyle name="s1024" xfId="1024"/>
    <cellStyle name="s1025" xfId="1025"/>
    <cellStyle name="s1026" xfId="1026"/>
    <cellStyle name="s1027" xfId="1027"/>
    <cellStyle name="s1028" xfId="1028"/>
    <cellStyle name="s1029" xfId="1029"/>
    <cellStyle name="s103" xfId="103"/>
    <cellStyle name="s1030" xfId="1030"/>
    <cellStyle name="s1031" xfId="1031"/>
    <cellStyle name="s1032" xfId="1032"/>
    <cellStyle name="s1033" xfId="1033"/>
    <cellStyle name="s1034" xfId="1034"/>
    <cellStyle name="s1035" xfId="1035"/>
    <cellStyle name="s1036" xfId="1036"/>
    <cellStyle name="s1037" xfId="1037"/>
    <cellStyle name="s1038" xfId="1038"/>
    <cellStyle name="s1039" xfId="1039"/>
    <cellStyle name="s104" xfId="104"/>
    <cellStyle name="s1040" xfId="1040"/>
    <cellStyle name="s1041" xfId="1041"/>
    <cellStyle name="s1042" xfId="1042"/>
    <cellStyle name="s1043" xfId="1043"/>
    <cellStyle name="s1044" xfId="1044"/>
    <cellStyle name="s1045" xfId="1045"/>
    <cellStyle name="s1046" xfId="1046"/>
    <cellStyle name="s1047" xfId="1047"/>
    <cellStyle name="s1048" xfId="1048"/>
    <cellStyle name="s1049" xfId="1049"/>
    <cellStyle name="s105" xfId="105"/>
    <cellStyle name="s1050" xfId="1050"/>
    <cellStyle name="s1051" xfId="1051"/>
    <cellStyle name="s1052" xfId="1052"/>
    <cellStyle name="s1053" xfId="1053"/>
    <cellStyle name="s1054" xfId="1054"/>
    <cellStyle name="s1055" xfId="1055"/>
    <cellStyle name="s1056" xfId="1056"/>
    <cellStyle name="s1057" xfId="1057"/>
    <cellStyle name="s1058" xfId="1058"/>
    <cellStyle name="s1059" xfId="1059"/>
    <cellStyle name="s106" xfId="106"/>
    <cellStyle name="s1060" xfId="1060"/>
    <cellStyle name="s1061" xfId="1061"/>
    <cellStyle name="s1062" xfId="1062"/>
    <cellStyle name="s1063" xfId="1063"/>
    <cellStyle name="s1064" xfId="1064"/>
    <cellStyle name="s1065" xfId="1065"/>
    <cellStyle name="s1066" xfId="1066"/>
    <cellStyle name="s1067" xfId="1067"/>
    <cellStyle name="s1068" xfId="1068"/>
    <cellStyle name="s1069" xfId="1069"/>
    <cellStyle name="s107" xfId="107"/>
    <cellStyle name="s1070" xfId="1070"/>
    <cellStyle name="s1071" xfId="1071"/>
    <cellStyle name="s1072" xfId="1072"/>
    <cellStyle name="s1073" xfId="1073"/>
    <cellStyle name="s1074" xfId="1074"/>
    <cellStyle name="s1075" xfId="1075"/>
    <cellStyle name="s1076" xfId="1076"/>
    <cellStyle name="s1077" xfId="1077"/>
    <cellStyle name="s1078" xfId="1078"/>
    <cellStyle name="s1079" xfId="1079"/>
    <cellStyle name="s108" xfId="108"/>
    <cellStyle name="s1080" xfId="1080"/>
    <cellStyle name="s1081" xfId="1081"/>
    <cellStyle name="s1082" xfId="1082"/>
    <cellStyle name="s1083" xfId="1083"/>
    <cellStyle name="s1084" xfId="1084"/>
    <cellStyle name="s1085" xfId="1085"/>
    <cellStyle name="s1086" xfId="1086"/>
    <cellStyle name="s1087" xfId="1087"/>
    <cellStyle name="s1088" xfId="1088"/>
    <cellStyle name="s1089" xfId="1089"/>
    <cellStyle name="s109" xfId="109"/>
    <cellStyle name="s1090" xfId="1090"/>
    <cellStyle name="s1091" xfId="1091"/>
    <cellStyle name="s1092" xfId="1092"/>
    <cellStyle name="s1093" xfId="1093"/>
    <cellStyle name="s1094" xfId="1094"/>
    <cellStyle name="s1095" xfId="1095"/>
    <cellStyle name="s1096" xfId="1096"/>
    <cellStyle name="s1097" xfId="1097"/>
    <cellStyle name="s1098" xfId="1098"/>
    <cellStyle name="s1099" xfId="1099"/>
    <cellStyle name="s11" xfId="11"/>
    <cellStyle name="s110" xfId="110"/>
    <cellStyle name="s1100" xfId="1100"/>
    <cellStyle name="s1101" xfId="1101"/>
    <cellStyle name="s1102" xfId="1102"/>
    <cellStyle name="s1103" xfId="1103"/>
    <cellStyle name="s1104" xfId="1104"/>
    <cellStyle name="s1105" xfId="1105"/>
    <cellStyle name="s1106" xfId="1106"/>
    <cellStyle name="s1107" xfId="1107"/>
    <cellStyle name="s1108" xfId="1108"/>
    <cellStyle name="s1109" xfId="1109"/>
    <cellStyle name="s111" xfId="111"/>
    <cellStyle name="s1110" xfId="1110"/>
    <cellStyle name="s1111" xfId="1111"/>
    <cellStyle name="s1112" xfId="1112"/>
    <cellStyle name="s1113" xfId="1113"/>
    <cellStyle name="s1114" xfId="1114"/>
    <cellStyle name="s1115" xfId="1115"/>
    <cellStyle name="s1116" xfId="1116"/>
    <cellStyle name="s1117" xfId="1117"/>
    <cellStyle name="s1118" xfId="1118"/>
    <cellStyle name="s1119" xfId="1119"/>
    <cellStyle name="s112" xfId="112"/>
    <cellStyle name="s1120" xfId="1120"/>
    <cellStyle name="s1121" xfId="1121"/>
    <cellStyle name="s1122" xfId="1122"/>
    <cellStyle name="s1123" xfId="1123"/>
    <cellStyle name="s1124" xfId="1124"/>
    <cellStyle name="s1125" xfId="1125"/>
    <cellStyle name="s1126" xfId="1126"/>
    <cellStyle name="s1127" xfId="1127"/>
    <cellStyle name="s1128" xfId="1128"/>
    <cellStyle name="s1129" xfId="1129"/>
    <cellStyle name="s113" xfId="113"/>
    <cellStyle name="s1130" xfId="1130"/>
    <cellStyle name="s1131" xfId="1131"/>
    <cellStyle name="s1132" xfId="1132"/>
    <cellStyle name="s1133" xfId="1133"/>
    <cellStyle name="s1134" xfId="1134"/>
    <cellStyle name="s1135" xfId="1135"/>
    <cellStyle name="s1136" xfId="1136"/>
    <cellStyle name="s1137" xfId="1137"/>
    <cellStyle name="s1138" xfId="1138"/>
    <cellStyle name="s1139" xfId="1139"/>
    <cellStyle name="s114" xfId="114"/>
    <cellStyle name="s1140" xfId="1140"/>
    <cellStyle name="s1141" xfId="1141"/>
    <cellStyle name="s1142" xfId="1142"/>
    <cellStyle name="s1143" xfId="1143"/>
    <cellStyle name="s1144" xfId="1144"/>
    <cellStyle name="s1145" xfId="1145"/>
    <cellStyle name="s1146" xfId="1146"/>
    <cellStyle name="s1147" xfId="1147"/>
    <cellStyle name="s1148" xfId="1148"/>
    <cellStyle name="s1149" xfId="1149"/>
    <cellStyle name="s115" xfId="115"/>
    <cellStyle name="s1150" xfId="1150"/>
    <cellStyle name="s1151" xfId="1151"/>
    <cellStyle name="s1152" xfId="1152"/>
    <cellStyle name="s1153" xfId="1153"/>
    <cellStyle name="s1154" xfId="1154"/>
    <cellStyle name="s1155" xfId="1155"/>
    <cellStyle name="s1156" xfId="1156"/>
    <cellStyle name="s1157" xfId="1157"/>
    <cellStyle name="s1158" xfId="1158"/>
    <cellStyle name="s1159" xfId="1159"/>
    <cellStyle name="s116" xfId="116"/>
    <cellStyle name="s1160" xfId="1160"/>
    <cellStyle name="s1161" xfId="1161"/>
    <cellStyle name="s1162" xfId="1162"/>
    <cellStyle name="s1163" xfId="1163"/>
    <cellStyle name="s1164" xfId="1164"/>
    <cellStyle name="s1165" xfId="1165"/>
    <cellStyle name="s1166" xfId="1166"/>
    <cellStyle name="s1167" xfId="1167"/>
    <cellStyle name="s1168" xfId="1168"/>
    <cellStyle name="s1169" xfId="1169"/>
    <cellStyle name="s117" xfId="117"/>
    <cellStyle name="s1170" xfId="1170"/>
    <cellStyle name="s1171" xfId="1171"/>
    <cellStyle name="s1172" xfId="1172"/>
    <cellStyle name="s1173" xfId="1173"/>
    <cellStyle name="s1174" xfId="1174"/>
    <cellStyle name="s1175" xfId="1175"/>
    <cellStyle name="s1176" xfId="1176"/>
    <cellStyle name="s1177" xfId="1177"/>
    <cellStyle name="s1178" xfId="1178"/>
    <cellStyle name="s1179" xfId="1179"/>
    <cellStyle name="s118" xfId="118"/>
    <cellStyle name="s1180" xfId="1180"/>
    <cellStyle name="s1181" xfId="1181"/>
    <cellStyle name="s1182" xfId="1182"/>
    <cellStyle name="s1183" xfId="1183"/>
    <cellStyle name="s1184" xfId="1184"/>
    <cellStyle name="s1185" xfId="1185"/>
    <cellStyle name="s1186" xfId="1186"/>
    <cellStyle name="s1187" xfId="1187"/>
    <cellStyle name="s1188" xfId="1188"/>
    <cellStyle name="s1189" xfId="1189"/>
    <cellStyle name="s119" xfId="119"/>
    <cellStyle name="s1190" xfId="1190"/>
    <cellStyle name="s1191" xfId="1191"/>
    <cellStyle name="s1192" xfId="1192"/>
    <cellStyle name="s1193" xfId="1193"/>
    <cellStyle name="s1194" xfId="1194"/>
    <cellStyle name="s1195" xfId="1195"/>
    <cellStyle name="s1196" xfId="1196"/>
    <cellStyle name="s1197" xfId="1197"/>
    <cellStyle name="s1198" xfId="1198"/>
    <cellStyle name="s1199" xfId="1199"/>
    <cellStyle name="s12" xfId="12"/>
    <cellStyle name="s120" xfId="120"/>
    <cellStyle name="s1200" xfId="1200"/>
    <cellStyle name="s1201" xfId="1201"/>
    <cellStyle name="s1202" xfId="1202"/>
    <cellStyle name="s1203" xfId="1203"/>
    <cellStyle name="s1204" xfId="1204"/>
    <cellStyle name="s1205" xfId="1205"/>
    <cellStyle name="s1206" xfId="1206"/>
    <cellStyle name="s1207" xfId="1207"/>
    <cellStyle name="s1208" xfId="1208"/>
    <cellStyle name="s1209" xfId="1209"/>
    <cellStyle name="s121" xfId="121"/>
    <cellStyle name="s1210" xfId="1210"/>
    <cellStyle name="s1211" xfId="1211"/>
    <cellStyle name="s1212" xfId="1212"/>
    <cellStyle name="s1213" xfId="1213"/>
    <cellStyle name="s1214" xfId="1214"/>
    <cellStyle name="s1215" xfId="1215"/>
    <cellStyle name="s1216" xfId="1216"/>
    <cellStyle name="s1217" xfId="1217"/>
    <cellStyle name="s1218" xfId="1218"/>
    <cellStyle name="s1219" xfId="1219"/>
    <cellStyle name="s122" xfId="122"/>
    <cellStyle name="s1220" xfId="1220"/>
    <cellStyle name="s1221" xfId="1221"/>
    <cellStyle name="s1222" xfId="1222"/>
    <cellStyle name="s1223" xfId="1223"/>
    <cellStyle name="s1224" xfId="1224"/>
    <cellStyle name="s1225" xfId="1225"/>
    <cellStyle name="s1226" xfId="1226"/>
    <cellStyle name="s1227" xfId="1227"/>
    <cellStyle name="s1228" xfId="1228"/>
    <cellStyle name="s1229" xfId="1229"/>
    <cellStyle name="s123" xfId="123"/>
    <cellStyle name="s1230" xfId="1230"/>
    <cellStyle name="s1231" xfId="1231"/>
    <cellStyle name="s1232" xfId="1232"/>
    <cellStyle name="s1233" xfId="1233"/>
    <cellStyle name="s1234" xfId="1234"/>
    <cellStyle name="s1235" xfId="1235"/>
    <cellStyle name="s1236" xfId="1236"/>
    <cellStyle name="s1237" xfId="1237"/>
    <cellStyle name="s1238" xfId="1238"/>
    <cellStyle name="s1239" xfId="1239"/>
    <cellStyle name="s124" xfId="124"/>
    <cellStyle name="s1240" xfId="1240"/>
    <cellStyle name="s1241" xfId="1241"/>
    <cellStyle name="s1242" xfId="1242"/>
    <cellStyle name="s1243" xfId="1243"/>
    <cellStyle name="s1244" xfId="1244"/>
    <cellStyle name="s1245" xfId="1245"/>
    <cellStyle name="s1246" xfId="1246"/>
    <cellStyle name="s1247" xfId="1247"/>
    <cellStyle name="s1248" xfId="1248"/>
    <cellStyle name="s125" xfId="125"/>
    <cellStyle name="s126" xfId="126"/>
    <cellStyle name="s127" xfId="127"/>
    <cellStyle name="s128" xfId="128"/>
    <cellStyle name="s129" xfId="129"/>
    <cellStyle name="s13" xfId="13"/>
    <cellStyle name="s130" xfId="130"/>
    <cellStyle name="s131" xfId="131"/>
    <cellStyle name="s132" xfId="132"/>
    <cellStyle name="s133" xfId="133"/>
    <cellStyle name="s134" xfId="134"/>
    <cellStyle name="s135" xfId="135"/>
    <cellStyle name="s136" xfId="136"/>
    <cellStyle name="s137" xfId="137"/>
    <cellStyle name="s138" xfId="138"/>
    <cellStyle name="s139" xfId="139"/>
    <cellStyle name="s14" xfId="14"/>
    <cellStyle name="s140" xfId="140"/>
    <cellStyle name="s141" xfId="141"/>
    <cellStyle name="s142" xfId="142"/>
    <cellStyle name="s143" xfId="143"/>
    <cellStyle name="s144" xfId="144"/>
    <cellStyle name="s145" xfId="145"/>
    <cellStyle name="s146" xfId="146"/>
    <cellStyle name="s147" xfId="147"/>
    <cellStyle name="s148" xfId="148"/>
    <cellStyle name="s149" xfId="149"/>
    <cellStyle name="s15" xfId="15"/>
    <cellStyle name="s150" xfId="150"/>
    <cellStyle name="s151" xfId="151"/>
    <cellStyle name="s152" xfId="152"/>
    <cellStyle name="s153" xfId="153"/>
    <cellStyle name="s154" xfId="154"/>
    <cellStyle name="s155" xfId="155"/>
    <cellStyle name="s156" xfId="156"/>
    <cellStyle name="s157" xfId="157"/>
    <cellStyle name="s158" xfId="158"/>
    <cellStyle name="s159" xfId="159"/>
    <cellStyle name="s16" xfId="16"/>
    <cellStyle name="s160" xfId="160"/>
    <cellStyle name="s161" xfId="161"/>
    <cellStyle name="s162" xfId="162"/>
    <cellStyle name="s163" xfId="163"/>
    <cellStyle name="s164" xfId="164"/>
    <cellStyle name="s165" xfId="165"/>
    <cellStyle name="s166" xfId="166"/>
    <cellStyle name="s167" xfId="167"/>
    <cellStyle name="s168" xfId="168"/>
    <cellStyle name="s169" xfId="169"/>
    <cellStyle name="s17" xfId="17"/>
    <cellStyle name="s170" xfId="170"/>
    <cellStyle name="s171" xfId="171"/>
    <cellStyle name="s172" xfId="172"/>
    <cellStyle name="s173" xfId="173"/>
    <cellStyle name="s174" xfId="174"/>
    <cellStyle name="s175" xfId="175"/>
    <cellStyle name="s176" xfId="176"/>
    <cellStyle name="s177" xfId="177"/>
    <cellStyle name="s178" xfId="178"/>
    <cellStyle name="s179" xfId="179"/>
    <cellStyle name="s18" xfId="18"/>
    <cellStyle name="s180" xfId="180"/>
    <cellStyle name="s181" xfId="181"/>
    <cellStyle name="s182" xfId="182"/>
    <cellStyle name="s183" xfId="183"/>
    <cellStyle name="s184" xfId="184"/>
    <cellStyle name="s185" xfId="185"/>
    <cellStyle name="s186" xfId="186"/>
    <cellStyle name="s187" xfId="187"/>
    <cellStyle name="s188" xfId="188"/>
    <cellStyle name="s189" xfId="189"/>
    <cellStyle name="s19" xfId="19"/>
    <cellStyle name="s190" xfId="190"/>
    <cellStyle name="s191" xfId="191"/>
    <cellStyle name="s192" xfId="192"/>
    <cellStyle name="s193" xfId="193"/>
    <cellStyle name="s194" xfId="194"/>
    <cellStyle name="s195" xfId="195"/>
    <cellStyle name="s196" xfId="196"/>
    <cellStyle name="s197" xfId="197"/>
    <cellStyle name="s198" xfId="198"/>
    <cellStyle name="s199" xfId="199"/>
    <cellStyle name="s2" xfId="2"/>
    <cellStyle name="s20" xfId="20"/>
    <cellStyle name="s200" xfId="200"/>
    <cellStyle name="s201" xfId="201"/>
    <cellStyle name="s202" xfId="202"/>
    <cellStyle name="s203" xfId="203"/>
    <cellStyle name="s204" xfId="204"/>
    <cellStyle name="s205" xfId="205"/>
    <cellStyle name="s206" xfId="206"/>
    <cellStyle name="s207" xfId="207"/>
    <cellStyle name="s208" xfId="208"/>
    <cellStyle name="s209" xfId="209"/>
    <cellStyle name="s21" xfId="21"/>
    <cellStyle name="s210" xfId="210"/>
    <cellStyle name="s211" xfId="211"/>
    <cellStyle name="s212" xfId="212"/>
    <cellStyle name="s213" xfId="213"/>
    <cellStyle name="s214" xfId="214"/>
    <cellStyle name="s215" xfId="215"/>
    <cellStyle name="s216" xfId="216"/>
    <cellStyle name="s217" xfId="217"/>
    <cellStyle name="s218" xfId="218"/>
    <cellStyle name="s219" xfId="219"/>
    <cellStyle name="s22" xfId="22"/>
    <cellStyle name="s220" xfId="220"/>
    <cellStyle name="s221" xfId="221"/>
    <cellStyle name="s222" xfId="222"/>
    <cellStyle name="s223" xfId="223"/>
    <cellStyle name="s224" xfId="224"/>
    <cellStyle name="s225" xfId="225"/>
    <cellStyle name="s226" xfId="226"/>
    <cellStyle name="s227" xfId="227"/>
    <cellStyle name="s228" xfId="228"/>
    <cellStyle name="s229" xfId="229"/>
    <cellStyle name="s23" xfId="23"/>
    <cellStyle name="s230" xfId="230"/>
    <cellStyle name="s231" xfId="231"/>
    <cellStyle name="s232" xfId="232"/>
    <cellStyle name="s233" xfId="233"/>
    <cellStyle name="s234" xfId="234"/>
    <cellStyle name="s235" xfId="235"/>
    <cellStyle name="s236" xfId="236"/>
    <cellStyle name="s237" xfId="237"/>
    <cellStyle name="s238" xfId="238"/>
    <cellStyle name="s239" xfId="239"/>
    <cellStyle name="s24" xfId="24"/>
    <cellStyle name="s240" xfId="240"/>
    <cellStyle name="s241" xfId="241"/>
    <cellStyle name="s242" xfId="242"/>
    <cellStyle name="s243" xfId="243"/>
    <cellStyle name="s244" xfId="244"/>
    <cellStyle name="s245" xfId="245"/>
    <cellStyle name="s246" xfId="246"/>
    <cellStyle name="s247" xfId="247"/>
    <cellStyle name="s248" xfId="248"/>
    <cellStyle name="s249" xfId="249"/>
    <cellStyle name="s25" xfId="25"/>
    <cellStyle name="s250" xfId="250"/>
    <cellStyle name="s251" xfId="251"/>
    <cellStyle name="s252" xfId="252"/>
    <cellStyle name="s253" xfId="253"/>
    <cellStyle name="s254" xfId="254"/>
    <cellStyle name="s255" xfId="255"/>
    <cellStyle name="s256" xfId="256"/>
    <cellStyle name="s257" xfId="257"/>
    <cellStyle name="s258" xfId="258"/>
    <cellStyle name="s259" xfId="259"/>
    <cellStyle name="s26" xfId="26"/>
    <cellStyle name="s260" xfId="260"/>
    <cellStyle name="s261" xfId="261"/>
    <cellStyle name="s262" xfId="262"/>
    <cellStyle name="s263" xfId="263"/>
    <cellStyle name="s264" xfId="264"/>
    <cellStyle name="s265" xfId="265"/>
    <cellStyle name="s266" xfId="266"/>
    <cellStyle name="s267" xfId="267"/>
    <cellStyle name="s268" xfId="268"/>
    <cellStyle name="s269" xfId="269"/>
    <cellStyle name="s27" xfId="27"/>
    <cellStyle name="s270" xfId="270"/>
    <cellStyle name="s271" xfId="271"/>
    <cellStyle name="s272" xfId="272"/>
    <cellStyle name="s273" xfId="273"/>
    <cellStyle name="s274" xfId="274"/>
    <cellStyle name="s275" xfId="275"/>
    <cellStyle name="s276" xfId="276"/>
    <cellStyle name="s277" xfId="277"/>
    <cellStyle name="s278" xfId="278"/>
    <cellStyle name="s279" xfId="279"/>
    <cellStyle name="s28" xfId="28"/>
    <cellStyle name="s280" xfId="280"/>
    <cellStyle name="s281" xfId="281"/>
    <cellStyle name="s282" xfId="282"/>
    <cellStyle name="s283" xfId="283"/>
    <cellStyle name="s284" xfId="284"/>
    <cellStyle name="s285" xfId="285"/>
    <cellStyle name="s286" xfId="286"/>
    <cellStyle name="s287" xfId="287"/>
    <cellStyle name="s288" xfId="288"/>
    <cellStyle name="s289" xfId="289"/>
    <cellStyle name="s29" xfId="29"/>
    <cellStyle name="s290" xfId="290"/>
    <cellStyle name="s291" xfId="291"/>
    <cellStyle name="s292" xfId="292"/>
    <cellStyle name="s293" xfId="293"/>
    <cellStyle name="s294" xfId="294"/>
    <cellStyle name="s295" xfId="295"/>
    <cellStyle name="s296" xfId="296"/>
    <cellStyle name="s297" xfId="297"/>
    <cellStyle name="s298" xfId="298"/>
    <cellStyle name="s299" xfId="299"/>
    <cellStyle name="s3" xfId="3"/>
    <cellStyle name="s30" xfId="30"/>
    <cellStyle name="s300" xfId="300"/>
    <cellStyle name="s301" xfId="301"/>
    <cellStyle name="s302" xfId="302"/>
    <cellStyle name="s303" xfId="303"/>
    <cellStyle name="s304" xfId="304"/>
    <cellStyle name="s305" xfId="305"/>
    <cellStyle name="s306" xfId="306"/>
    <cellStyle name="s307" xfId="307"/>
    <cellStyle name="s308" xfId="308"/>
    <cellStyle name="s309" xfId="309"/>
    <cellStyle name="s31" xfId="31"/>
    <cellStyle name="s310" xfId="310"/>
    <cellStyle name="s311" xfId="311"/>
    <cellStyle name="s312" xfId="312"/>
    <cellStyle name="s313" xfId="313"/>
    <cellStyle name="s314" xfId="314"/>
    <cellStyle name="s315" xfId="315"/>
    <cellStyle name="s316" xfId="316"/>
    <cellStyle name="s317" xfId="317"/>
    <cellStyle name="s318" xfId="318"/>
    <cellStyle name="s319" xfId="319"/>
    <cellStyle name="s32" xfId="32"/>
    <cellStyle name="s320" xfId="320"/>
    <cellStyle name="s321" xfId="321"/>
    <cellStyle name="s322" xfId="322"/>
    <cellStyle name="s323" xfId="323"/>
    <cellStyle name="s324" xfId="324"/>
    <cellStyle name="s325" xfId="325"/>
    <cellStyle name="s326" xfId="326"/>
    <cellStyle name="s327" xfId="327"/>
    <cellStyle name="s328" xfId="328"/>
    <cellStyle name="s329" xfId="329"/>
    <cellStyle name="s33" xfId="33"/>
    <cellStyle name="s330" xfId="330"/>
    <cellStyle name="s331" xfId="331"/>
    <cellStyle name="s332" xfId="332"/>
    <cellStyle name="s333" xfId="333"/>
    <cellStyle name="s334" xfId="334"/>
    <cellStyle name="s335" xfId="335"/>
    <cellStyle name="s336" xfId="336"/>
    <cellStyle name="s337" xfId="337"/>
    <cellStyle name="s338" xfId="338"/>
    <cellStyle name="s339" xfId="339"/>
    <cellStyle name="s34" xfId="34"/>
    <cellStyle name="s340" xfId="340"/>
    <cellStyle name="s341" xfId="341"/>
    <cellStyle name="s342" xfId="342"/>
    <cellStyle name="s343" xfId="343"/>
    <cellStyle name="s344" xfId="344"/>
    <cellStyle name="s345" xfId="345"/>
    <cellStyle name="s346" xfId="346"/>
    <cellStyle name="s347" xfId="347"/>
    <cellStyle name="s348" xfId="348"/>
    <cellStyle name="s349" xfId="349"/>
    <cellStyle name="s35" xfId="35"/>
    <cellStyle name="s350" xfId="350"/>
    <cellStyle name="s351" xfId="351"/>
    <cellStyle name="s352" xfId="352"/>
    <cellStyle name="s353" xfId="353"/>
    <cellStyle name="s354" xfId="354"/>
    <cellStyle name="s355" xfId="355"/>
    <cellStyle name="s356" xfId="356"/>
    <cellStyle name="s357" xfId="357"/>
    <cellStyle name="s358" xfId="358"/>
    <cellStyle name="s359" xfId="359"/>
    <cellStyle name="s36" xfId="36"/>
    <cellStyle name="s360" xfId="360"/>
    <cellStyle name="s361" xfId="361"/>
    <cellStyle name="s362" xfId="362"/>
    <cellStyle name="s363" xfId="363"/>
    <cellStyle name="s364" xfId="364"/>
    <cellStyle name="s365" xfId="365"/>
    <cellStyle name="s366" xfId="366"/>
    <cellStyle name="s367" xfId="367"/>
    <cellStyle name="s368" xfId="368"/>
    <cellStyle name="s369" xfId="369"/>
    <cellStyle name="s37" xfId="37"/>
    <cellStyle name="s370" xfId="370"/>
    <cellStyle name="s371" xfId="371"/>
    <cellStyle name="s372" xfId="372"/>
    <cellStyle name="s373" xfId="373"/>
    <cellStyle name="s374" xfId="374"/>
    <cellStyle name="s375" xfId="375"/>
    <cellStyle name="s376" xfId="376"/>
    <cellStyle name="s377" xfId="377"/>
    <cellStyle name="s378" xfId="378"/>
    <cellStyle name="s379" xfId="379"/>
    <cellStyle name="s38" xfId="38"/>
    <cellStyle name="s380" xfId="380"/>
    <cellStyle name="s381" xfId="381"/>
    <cellStyle name="s382" xfId="382"/>
    <cellStyle name="s383" xfId="383"/>
    <cellStyle name="s384" xfId="384"/>
    <cellStyle name="s385" xfId="385"/>
    <cellStyle name="s386" xfId="386"/>
    <cellStyle name="s387" xfId="387"/>
    <cellStyle name="s388" xfId="388"/>
    <cellStyle name="s389" xfId="389"/>
    <cellStyle name="s39" xfId="39"/>
    <cellStyle name="s390" xfId="390"/>
    <cellStyle name="s391" xfId="391"/>
    <cellStyle name="s392" xfId="392"/>
    <cellStyle name="s393" xfId="393"/>
    <cellStyle name="s394" xfId="394"/>
    <cellStyle name="s395" xfId="395"/>
    <cellStyle name="s396" xfId="396"/>
    <cellStyle name="s397" xfId="397"/>
    <cellStyle name="s398" xfId="398"/>
    <cellStyle name="s399" xfId="399"/>
    <cellStyle name="s4" xfId="4"/>
    <cellStyle name="s40" xfId="40"/>
    <cellStyle name="s400" xfId="400"/>
    <cellStyle name="s401" xfId="401"/>
    <cellStyle name="s402" xfId="402"/>
    <cellStyle name="s403" xfId="403"/>
    <cellStyle name="s404" xfId="404"/>
    <cellStyle name="s405" xfId="405"/>
    <cellStyle name="s406" xfId="406"/>
    <cellStyle name="s407" xfId="407"/>
    <cellStyle name="s408" xfId="408"/>
    <cellStyle name="s409" xfId="409"/>
    <cellStyle name="s41" xfId="41"/>
    <cellStyle name="s410" xfId="410"/>
    <cellStyle name="s411" xfId="411"/>
    <cellStyle name="s412" xfId="412"/>
    <cellStyle name="s413" xfId="413"/>
    <cellStyle name="s414" xfId="414"/>
    <cellStyle name="s415" xfId="415"/>
    <cellStyle name="s416" xfId="416"/>
    <cellStyle name="s417" xfId="417"/>
    <cellStyle name="s418" xfId="418"/>
    <cellStyle name="s419" xfId="419"/>
    <cellStyle name="s42" xfId="42"/>
    <cellStyle name="s420" xfId="420"/>
    <cellStyle name="s421" xfId="421"/>
    <cellStyle name="s422" xfId="422"/>
    <cellStyle name="s423" xfId="423"/>
    <cellStyle name="s424" xfId="424"/>
    <cellStyle name="s425" xfId="425"/>
    <cellStyle name="s426" xfId="426"/>
    <cellStyle name="s427" xfId="427"/>
    <cellStyle name="s428" xfId="428"/>
    <cellStyle name="s429" xfId="429"/>
    <cellStyle name="s43" xfId="43"/>
    <cellStyle name="s430" xfId="430"/>
    <cellStyle name="s431" xfId="431"/>
    <cellStyle name="s432" xfId="432"/>
    <cellStyle name="s433" xfId="433"/>
    <cellStyle name="s434" xfId="434"/>
    <cellStyle name="s435" xfId="435"/>
    <cellStyle name="s436" xfId="436"/>
    <cellStyle name="s437" xfId="437"/>
    <cellStyle name="s438" xfId="438"/>
    <cellStyle name="s439" xfId="439"/>
    <cellStyle name="s44" xfId="44"/>
    <cellStyle name="s440" xfId="440"/>
    <cellStyle name="s441" xfId="441"/>
    <cellStyle name="s442" xfId="442"/>
    <cellStyle name="s443" xfId="443"/>
    <cellStyle name="s444" xfId="444"/>
    <cellStyle name="s445" xfId="445"/>
    <cellStyle name="s446" xfId="446"/>
    <cellStyle name="s447" xfId="447"/>
    <cellStyle name="s448" xfId="448"/>
    <cellStyle name="s449" xfId="449"/>
    <cellStyle name="s45" xfId="45"/>
    <cellStyle name="s450" xfId="450"/>
    <cellStyle name="s451" xfId="451"/>
    <cellStyle name="s452" xfId="452"/>
    <cellStyle name="s453" xfId="453"/>
    <cellStyle name="s454" xfId="454"/>
    <cellStyle name="s455" xfId="455"/>
    <cellStyle name="s456" xfId="456"/>
    <cellStyle name="s457" xfId="457"/>
    <cellStyle name="s458" xfId="458"/>
    <cellStyle name="s459" xfId="459"/>
    <cellStyle name="s46" xfId="46"/>
    <cellStyle name="s460" xfId="460"/>
    <cellStyle name="s461" xfId="461"/>
    <cellStyle name="s462" xfId="462"/>
    <cellStyle name="s463" xfId="463"/>
    <cellStyle name="s464" xfId="464"/>
    <cellStyle name="s465" xfId="465"/>
    <cellStyle name="s466" xfId="466"/>
    <cellStyle name="s467" xfId="467"/>
    <cellStyle name="s468" xfId="468"/>
    <cellStyle name="s469" xfId="469"/>
    <cellStyle name="s47" xfId="47"/>
    <cellStyle name="s470" xfId="470"/>
    <cellStyle name="s471" xfId="471"/>
    <cellStyle name="s472" xfId="472"/>
    <cellStyle name="s473" xfId="473"/>
    <cellStyle name="s474" xfId="474"/>
    <cellStyle name="s475" xfId="475"/>
    <cellStyle name="s476" xfId="476"/>
    <cellStyle name="s477" xfId="477"/>
    <cellStyle name="s478" xfId="478"/>
    <cellStyle name="s479" xfId="479"/>
    <cellStyle name="s48" xfId="48"/>
    <cellStyle name="s480" xfId="480"/>
    <cellStyle name="s481" xfId="481"/>
    <cellStyle name="s482" xfId="482"/>
    <cellStyle name="s483" xfId="483"/>
    <cellStyle name="s484" xfId="484"/>
    <cellStyle name="s485" xfId="485"/>
    <cellStyle name="s486" xfId="486"/>
    <cellStyle name="s487" xfId="487"/>
    <cellStyle name="s488" xfId="488"/>
    <cellStyle name="s489" xfId="489"/>
    <cellStyle name="s49" xfId="49"/>
    <cellStyle name="s490" xfId="490"/>
    <cellStyle name="s491" xfId="491"/>
    <cellStyle name="s492" xfId="492"/>
    <cellStyle name="s493" xfId="493"/>
    <cellStyle name="s494" xfId="494"/>
    <cellStyle name="s495" xfId="495"/>
    <cellStyle name="s496" xfId="496"/>
    <cellStyle name="s497" xfId="497"/>
    <cellStyle name="s498" xfId="498"/>
    <cellStyle name="s499" xfId="499"/>
    <cellStyle name="s5" xfId="5"/>
    <cellStyle name="s50" xfId="50"/>
    <cellStyle name="s500" xfId="500"/>
    <cellStyle name="s501" xfId="501"/>
    <cellStyle name="s502" xfId="502"/>
    <cellStyle name="s503" xfId="503"/>
    <cellStyle name="s504" xfId="504"/>
    <cellStyle name="s505" xfId="505"/>
    <cellStyle name="s506" xfId="506"/>
    <cellStyle name="s507" xfId="507"/>
    <cellStyle name="s508" xfId="508"/>
    <cellStyle name="s509" xfId="509"/>
    <cellStyle name="s51" xfId="51"/>
    <cellStyle name="s510" xfId="510"/>
    <cellStyle name="s511" xfId="511"/>
    <cellStyle name="s512" xfId="512"/>
    <cellStyle name="s513" xfId="513"/>
    <cellStyle name="s514" xfId="514"/>
    <cellStyle name="s515" xfId="515"/>
    <cellStyle name="s516" xfId="516"/>
    <cellStyle name="s517" xfId="517"/>
    <cellStyle name="s518" xfId="518"/>
    <cellStyle name="s519" xfId="519"/>
    <cellStyle name="s52" xfId="52"/>
    <cellStyle name="s520" xfId="520"/>
    <cellStyle name="s521" xfId="521"/>
    <cellStyle name="s522" xfId="522"/>
    <cellStyle name="s523" xfId="523"/>
    <cellStyle name="s524" xfId="524"/>
    <cellStyle name="s525" xfId="525"/>
    <cellStyle name="s526" xfId="526"/>
    <cellStyle name="s527" xfId="527"/>
    <cellStyle name="s528" xfId="528"/>
    <cellStyle name="s529" xfId="529"/>
    <cellStyle name="s53" xfId="53"/>
    <cellStyle name="s530" xfId="530"/>
    <cellStyle name="s531" xfId="531"/>
    <cellStyle name="s532" xfId="532"/>
    <cellStyle name="s533" xfId="533"/>
    <cellStyle name="s534" xfId="534"/>
    <cellStyle name="s535" xfId="535"/>
    <cellStyle name="s536" xfId="536"/>
    <cellStyle name="s537" xfId="537"/>
    <cellStyle name="s538" xfId="538"/>
    <cellStyle name="s539" xfId="539"/>
    <cellStyle name="s54" xfId="54"/>
    <cellStyle name="s540" xfId="540"/>
    <cellStyle name="s541" xfId="541"/>
    <cellStyle name="s542" xfId="542"/>
    <cellStyle name="s543" xfId="543"/>
    <cellStyle name="s544" xfId="544"/>
    <cellStyle name="s545" xfId="545"/>
    <cellStyle name="s546" xfId="546"/>
    <cellStyle name="s547" xfId="547"/>
    <cellStyle name="s548" xfId="548"/>
    <cellStyle name="s549" xfId="549"/>
    <cellStyle name="s55" xfId="55"/>
    <cellStyle name="s550" xfId="550"/>
    <cellStyle name="s551" xfId="551"/>
    <cellStyle name="s552" xfId="552"/>
    <cellStyle name="s553" xfId="553"/>
    <cellStyle name="s554" xfId="554"/>
    <cellStyle name="s555" xfId="555"/>
    <cellStyle name="s556" xfId="556"/>
    <cellStyle name="s557" xfId="557"/>
    <cellStyle name="s558" xfId="558"/>
    <cellStyle name="s559" xfId="559"/>
    <cellStyle name="s56" xfId="56"/>
    <cellStyle name="s560" xfId="560"/>
    <cellStyle name="s561" xfId="561"/>
    <cellStyle name="s562" xfId="562"/>
    <cellStyle name="s563" xfId="563"/>
    <cellStyle name="s564" xfId="564"/>
    <cellStyle name="s565" xfId="565"/>
    <cellStyle name="s566" xfId="566"/>
    <cellStyle name="s567" xfId="567"/>
    <cellStyle name="s568" xfId="568"/>
    <cellStyle name="s569" xfId="569"/>
    <cellStyle name="s57" xfId="57"/>
    <cellStyle name="s570" xfId="570"/>
    <cellStyle name="s571" xfId="571"/>
    <cellStyle name="s572" xfId="572"/>
    <cellStyle name="s573" xfId="573"/>
    <cellStyle name="s574" xfId="574"/>
    <cellStyle name="s575" xfId="575"/>
    <cellStyle name="s576" xfId="576"/>
    <cellStyle name="s577" xfId="577"/>
    <cellStyle name="s578" xfId="578"/>
    <cellStyle name="s579" xfId="579"/>
    <cellStyle name="s58" xfId="58"/>
    <cellStyle name="s580" xfId="580"/>
    <cellStyle name="s581" xfId="581"/>
    <cellStyle name="s582" xfId="582"/>
    <cellStyle name="s583" xfId="583"/>
    <cellStyle name="s584" xfId="584"/>
    <cellStyle name="s585" xfId="585"/>
    <cellStyle name="s586" xfId="586"/>
    <cellStyle name="s587" xfId="587"/>
    <cellStyle name="s588" xfId="588"/>
    <cellStyle name="s589" xfId="589"/>
    <cellStyle name="s59" xfId="59"/>
    <cellStyle name="s590" xfId="590"/>
    <cellStyle name="s591" xfId="591"/>
    <cellStyle name="s592" xfId="592"/>
    <cellStyle name="s593" xfId="593"/>
    <cellStyle name="s594" xfId="594"/>
    <cellStyle name="s595" xfId="595"/>
    <cellStyle name="s596" xfId="596"/>
    <cellStyle name="s597" xfId="597"/>
    <cellStyle name="s598" xfId="598"/>
    <cellStyle name="s599" xfId="599"/>
    <cellStyle name="s6" xfId="6"/>
    <cellStyle name="s60" xfId="60"/>
    <cellStyle name="s600" xfId="600"/>
    <cellStyle name="s601" xfId="601"/>
    <cellStyle name="s602" xfId="602"/>
    <cellStyle name="s603" xfId="603"/>
    <cellStyle name="s604" xfId="604"/>
    <cellStyle name="s605" xfId="605"/>
    <cellStyle name="s606" xfId="606"/>
    <cellStyle name="s607" xfId="607"/>
    <cellStyle name="s608" xfId="608"/>
    <cellStyle name="s609" xfId="609"/>
    <cellStyle name="s61" xfId="61"/>
    <cellStyle name="s610" xfId="610"/>
    <cellStyle name="s611" xfId="611"/>
    <cellStyle name="s612" xfId="612"/>
    <cellStyle name="s613" xfId="613"/>
    <cellStyle name="s614" xfId="614"/>
    <cellStyle name="s615" xfId="615"/>
    <cellStyle name="s616" xfId="616"/>
    <cellStyle name="s617" xfId="617"/>
    <cellStyle name="s618" xfId="618"/>
    <cellStyle name="s619" xfId="619"/>
    <cellStyle name="s62" xfId="62"/>
    <cellStyle name="s620" xfId="620"/>
    <cellStyle name="s621" xfId="621"/>
    <cellStyle name="s622" xfId="622"/>
    <cellStyle name="s623" xfId="623"/>
    <cellStyle name="s624" xfId="624"/>
    <cellStyle name="s625" xfId="625"/>
    <cellStyle name="s626" xfId="626"/>
    <cellStyle name="s627" xfId="627"/>
    <cellStyle name="s628" xfId="628"/>
    <cellStyle name="s629" xfId="629"/>
    <cellStyle name="s63" xfId="63"/>
    <cellStyle name="s630" xfId="630"/>
    <cellStyle name="s631" xfId="631"/>
    <cellStyle name="s632" xfId="632"/>
    <cellStyle name="s633" xfId="633"/>
    <cellStyle name="s634" xfId="634"/>
    <cellStyle name="s635" xfId="635"/>
    <cellStyle name="s636" xfId="636"/>
    <cellStyle name="s637" xfId="637"/>
    <cellStyle name="s638" xfId="638"/>
    <cellStyle name="s639" xfId="639"/>
    <cellStyle name="s64" xfId="64"/>
    <cellStyle name="s640" xfId="640"/>
    <cellStyle name="s641" xfId="641"/>
    <cellStyle name="s642" xfId="642"/>
    <cellStyle name="s643" xfId="643"/>
    <cellStyle name="s644" xfId="644"/>
    <cellStyle name="s645" xfId="645"/>
    <cellStyle name="s646" xfId="646"/>
    <cellStyle name="s647" xfId="647"/>
    <cellStyle name="s648" xfId="648"/>
    <cellStyle name="s649" xfId="649"/>
    <cellStyle name="s65" xfId="65"/>
    <cellStyle name="s650" xfId="650"/>
    <cellStyle name="s651" xfId="651"/>
    <cellStyle name="s652" xfId="652"/>
    <cellStyle name="s653" xfId="653"/>
    <cellStyle name="s654" xfId="654"/>
    <cellStyle name="s655" xfId="655"/>
    <cellStyle name="s656" xfId="656"/>
    <cellStyle name="s657" xfId="657"/>
    <cellStyle name="s658" xfId="658"/>
    <cellStyle name="s659" xfId="659"/>
    <cellStyle name="s66" xfId="66"/>
    <cellStyle name="s660" xfId="660"/>
    <cellStyle name="s661" xfId="661"/>
    <cellStyle name="s662" xfId="662"/>
    <cellStyle name="s663" xfId="663"/>
    <cellStyle name="s664" xfId="664"/>
    <cellStyle name="s665" xfId="665"/>
    <cellStyle name="s666" xfId="666"/>
    <cellStyle name="s667" xfId="667"/>
    <cellStyle name="s668" xfId="668"/>
    <cellStyle name="s669" xfId="669"/>
    <cellStyle name="s67" xfId="67"/>
    <cellStyle name="s670" xfId="670"/>
    <cellStyle name="s671" xfId="671"/>
    <cellStyle name="s672" xfId="672"/>
    <cellStyle name="s673" xfId="673"/>
    <cellStyle name="s674" xfId="674"/>
    <cellStyle name="s675" xfId="675"/>
    <cellStyle name="s676" xfId="676"/>
    <cellStyle name="s677" xfId="677"/>
    <cellStyle name="s678" xfId="678"/>
    <cellStyle name="s679" xfId="679"/>
    <cellStyle name="s68" xfId="68"/>
    <cellStyle name="s680" xfId="680"/>
    <cellStyle name="s681" xfId="681"/>
    <cellStyle name="s682" xfId="682"/>
    <cellStyle name="s683" xfId="683"/>
    <cellStyle name="s684" xfId="684"/>
    <cellStyle name="s685" xfId="685"/>
    <cellStyle name="s686" xfId="686"/>
    <cellStyle name="s687" xfId="687"/>
    <cellStyle name="s688" xfId="688"/>
    <cellStyle name="s689" xfId="689"/>
    <cellStyle name="s69" xfId="69"/>
    <cellStyle name="s690" xfId="690"/>
    <cellStyle name="s691" xfId="691"/>
    <cellStyle name="s692" xfId="692"/>
    <cellStyle name="s693" xfId="693"/>
    <cellStyle name="s694" xfId="694"/>
    <cellStyle name="s695" xfId="695"/>
    <cellStyle name="s696" xfId="696"/>
    <cellStyle name="s697" xfId="697"/>
    <cellStyle name="s698" xfId="698"/>
    <cellStyle name="s699" xfId="699"/>
    <cellStyle name="s7" xfId="7"/>
    <cellStyle name="s70" xfId="70"/>
    <cellStyle name="s700" xfId="700"/>
    <cellStyle name="s701" xfId="701"/>
    <cellStyle name="s702" xfId="702"/>
    <cellStyle name="s703" xfId="703"/>
    <cellStyle name="s704" xfId="704"/>
    <cellStyle name="s705" xfId="705"/>
    <cellStyle name="s706" xfId="706"/>
    <cellStyle name="s707" xfId="707"/>
    <cellStyle name="s708" xfId="708"/>
    <cellStyle name="s709" xfId="709"/>
    <cellStyle name="s71" xfId="71"/>
    <cellStyle name="s710" xfId="710"/>
    <cellStyle name="s711" xfId="711"/>
    <cellStyle name="s712" xfId="712"/>
    <cellStyle name="s713" xfId="713"/>
    <cellStyle name="s714" xfId="714"/>
    <cellStyle name="s715" xfId="715"/>
    <cellStyle name="s716" xfId="716"/>
    <cellStyle name="s717" xfId="717"/>
    <cellStyle name="s718" xfId="718"/>
    <cellStyle name="s719" xfId="719"/>
    <cellStyle name="s72" xfId="72"/>
    <cellStyle name="s720" xfId="720"/>
    <cellStyle name="s721" xfId="721"/>
    <cellStyle name="s722" xfId="722"/>
    <cellStyle name="s723" xfId="723"/>
    <cellStyle name="s724" xfId="724"/>
    <cellStyle name="s725" xfId="725"/>
    <cellStyle name="s726" xfId="726"/>
    <cellStyle name="s727" xfId="727"/>
    <cellStyle name="s728" xfId="728"/>
    <cellStyle name="s729" xfId="729"/>
    <cellStyle name="s73" xfId="73"/>
    <cellStyle name="s730" xfId="730"/>
    <cellStyle name="s731" xfId="731"/>
    <cellStyle name="s732" xfId="732"/>
    <cellStyle name="s733" xfId="733"/>
    <cellStyle name="s734" xfId="734"/>
    <cellStyle name="s735" xfId="735"/>
    <cellStyle name="s736" xfId="736"/>
    <cellStyle name="s737" xfId="737"/>
    <cellStyle name="s738" xfId="738"/>
    <cellStyle name="s739" xfId="739"/>
    <cellStyle name="s74" xfId="74"/>
    <cellStyle name="s740" xfId="740"/>
    <cellStyle name="s741" xfId="741"/>
    <cellStyle name="s742" xfId="742"/>
    <cellStyle name="s743" xfId="743"/>
    <cellStyle name="s744" xfId="744"/>
    <cellStyle name="s745" xfId="745"/>
    <cellStyle name="s746" xfId="746"/>
    <cellStyle name="s747" xfId="747"/>
    <cellStyle name="s748" xfId="748"/>
    <cellStyle name="s749" xfId="749"/>
    <cellStyle name="s75" xfId="75"/>
    <cellStyle name="s750" xfId="750"/>
    <cellStyle name="s751" xfId="751"/>
    <cellStyle name="s752" xfId="752"/>
    <cellStyle name="s753" xfId="753"/>
    <cellStyle name="s754" xfId="754"/>
    <cellStyle name="s755" xfId="755"/>
    <cellStyle name="s756" xfId="756"/>
    <cellStyle name="s757" xfId="757"/>
    <cellStyle name="s758" xfId="758"/>
    <cellStyle name="s759" xfId="759"/>
    <cellStyle name="s76" xfId="76"/>
    <cellStyle name="s760" xfId="760"/>
    <cellStyle name="s761" xfId="761"/>
    <cellStyle name="s762" xfId="762"/>
    <cellStyle name="s763" xfId="763"/>
    <cellStyle name="s764" xfId="764"/>
    <cellStyle name="s765" xfId="765"/>
    <cellStyle name="s766" xfId="766"/>
    <cellStyle name="s767" xfId="767"/>
    <cellStyle name="s768" xfId="768"/>
    <cellStyle name="s769" xfId="769"/>
    <cellStyle name="s77" xfId="77"/>
    <cellStyle name="s770" xfId="770"/>
    <cellStyle name="s771" xfId="771"/>
    <cellStyle name="s772" xfId="772"/>
    <cellStyle name="s773" xfId="773"/>
    <cellStyle name="s774" xfId="774"/>
    <cellStyle name="s775" xfId="775"/>
    <cellStyle name="s776" xfId="776"/>
    <cellStyle name="s777" xfId="777"/>
    <cellStyle name="s778" xfId="778"/>
    <cellStyle name="s779" xfId="779"/>
    <cellStyle name="s78" xfId="78"/>
    <cellStyle name="s780" xfId="780"/>
    <cellStyle name="s781" xfId="781"/>
    <cellStyle name="s782" xfId="782"/>
    <cellStyle name="s783" xfId="783"/>
    <cellStyle name="s784" xfId="784"/>
    <cellStyle name="s785" xfId="785"/>
    <cellStyle name="s786" xfId="786"/>
    <cellStyle name="s787" xfId="787"/>
    <cellStyle name="s788" xfId="788"/>
    <cellStyle name="s789" xfId="789"/>
    <cellStyle name="s79" xfId="79"/>
    <cellStyle name="s790" xfId="790"/>
    <cellStyle name="s791" xfId="791"/>
    <cellStyle name="s792" xfId="792"/>
    <cellStyle name="s793" xfId="793"/>
    <cellStyle name="s794" xfId="794"/>
    <cellStyle name="s795" xfId="795"/>
    <cellStyle name="s796" xfId="796"/>
    <cellStyle name="s797" xfId="797"/>
    <cellStyle name="s798" xfId="798"/>
    <cellStyle name="s799" xfId="799"/>
    <cellStyle name="s8" xfId="8"/>
    <cellStyle name="s80" xfId="80"/>
    <cellStyle name="s800" xfId="800"/>
    <cellStyle name="s801" xfId="801"/>
    <cellStyle name="s802" xfId="802"/>
    <cellStyle name="s803" xfId="803"/>
    <cellStyle name="s804" xfId="804"/>
    <cellStyle name="s805" xfId="805"/>
    <cellStyle name="s806" xfId="806"/>
    <cellStyle name="s807" xfId="807"/>
    <cellStyle name="s808" xfId="808"/>
    <cellStyle name="s809" xfId="809"/>
    <cellStyle name="s81" xfId="81"/>
    <cellStyle name="s810" xfId="810"/>
    <cellStyle name="s811" xfId="811"/>
    <cellStyle name="s812" xfId="812"/>
    <cellStyle name="s813" xfId="813"/>
    <cellStyle name="s814" xfId="814"/>
    <cellStyle name="s815" xfId="815"/>
    <cellStyle name="s816" xfId="816"/>
    <cellStyle name="s817" xfId="817"/>
    <cellStyle name="s818" xfId="818"/>
    <cellStyle name="s819" xfId="819"/>
    <cellStyle name="s82" xfId="82"/>
    <cellStyle name="s820" xfId="820"/>
    <cellStyle name="s821" xfId="821"/>
    <cellStyle name="s822" xfId="822"/>
    <cellStyle name="s823" xfId="823"/>
    <cellStyle name="s824" xfId="824"/>
    <cellStyle name="s825" xfId="825"/>
    <cellStyle name="s826" xfId="826"/>
    <cellStyle name="s827" xfId="827"/>
    <cellStyle name="s828" xfId="828"/>
    <cellStyle name="s829" xfId="829"/>
    <cellStyle name="s83" xfId="83"/>
    <cellStyle name="s830" xfId="830"/>
    <cellStyle name="s831" xfId="831"/>
    <cellStyle name="s832" xfId="832"/>
    <cellStyle name="s833" xfId="833"/>
    <cellStyle name="s834" xfId="834"/>
    <cellStyle name="s835" xfId="835"/>
    <cellStyle name="s836" xfId="836"/>
    <cellStyle name="s837" xfId="837"/>
    <cellStyle name="s838" xfId="838"/>
    <cellStyle name="s839" xfId="839"/>
    <cellStyle name="s84" xfId="84"/>
    <cellStyle name="s840" xfId="840"/>
    <cellStyle name="s841" xfId="841"/>
    <cellStyle name="s842" xfId="842"/>
    <cellStyle name="s843" xfId="843"/>
    <cellStyle name="s844" xfId="844"/>
    <cellStyle name="s845" xfId="845"/>
    <cellStyle name="s846" xfId="846"/>
    <cellStyle name="s847" xfId="847"/>
    <cellStyle name="s848" xfId="848"/>
    <cellStyle name="s849" xfId="849"/>
    <cellStyle name="s85" xfId="85"/>
    <cellStyle name="s850" xfId="850"/>
    <cellStyle name="s851" xfId="851"/>
    <cellStyle name="s852" xfId="852"/>
    <cellStyle name="s853" xfId="853"/>
    <cellStyle name="s854" xfId="854"/>
    <cellStyle name="s855" xfId="855"/>
    <cellStyle name="s856" xfId="856"/>
    <cellStyle name="s857" xfId="857"/>
    <cellStyle name="s858" xfId="858"/>
    <cellStyle name="s859" xfId="859"/>
    <cellStyle name="s86" xfId="86"/>
    <cellStyle name="s860" xfId="860"/>
    <cellStyle name="s861" xfId="861"/>
    <cellStyle name="s862" xfId="862"/>
    <cellStyle name="s863" xfId="863"/>
    <cellStyle name="s864" xfId="864"/>
    <cellStyle name="s865" xfId="865"/>
    <cellStyle name="s866" xfId="866"/>
    <cellStyle name="s867" xfId="867"/>
    <cellStyle name="s868" xfId="868"/>
    <cellStyle name="s869" xfId="869"/>
    <cellStyle name="s87" xfId="87"/>
    <cellStyle name="s870" xfId="870"/>
    <cellStyle name="s871" xfId="871"/>
    <cellStyle name="s872" xfId="872"/>
    <cellStyle name="s873" xfId="873"/>
    <cellStyle name="s874" xfId="874"/>
    <cellStyle name="s875" xfId="875"/>
    <cellStyle name="s876" xfId="876"/>
    <cellStyle name="s877" xfId="877"/>
    <cellStyle name="s878" xfId="878"/>
    <cellStyle name="s879" xfId="879"/>
    <cellStyle name="s88" xfId="88"/>
    <cellStyle name="s880" xfId="880"/>
    <cellStyle name="s881" xfId="881"/>
    <cellStyle name="s882" xfId="882"/>
    <cellStyle name="s883" xfId="883"/>
    <cellStyle name="s884" xfId="884"/>
    <cellStyle name="s885" xfId="885"/>
    <cellStyle name="s886" xfId="886"/>
    <cellStyle name="s887" xfId="887"/>
    <cellStyle name="s888" xfId="888"/>
    <cellStyle name="s889" xfId="889"/>
    <cellStyle name="s89" xfId="89"/>
    <cellStyle name="s890" xfId="890"/>
    <cellStyle name="s891" xfId="891"/>
    <cellStyle name="s892" xfId="892"/>
    <cellStyle name="s893" xfId="893"/>
    <cellStyle name="s894" xfId="894"/>
    <cellStyle name="s895" xfId="895"/>
    <cellStyle name="s896" xfId="896"/>
    <cellStyle name="s897" xfId="897"/>
    <cellStyle name="s898" xfId="898"/>
    <cellStyle name="s899" xfId="899"/>
    <cellStyle name="s9" xfId="9"/>
    <cellStyle name="s90" xfId="90"/>
    <cellStyle name="s900" xfId="900"/>
    <cellStyle name="s901" xfId="901"/>
    <cellStyle name="s902" xfId="902"/>
    <cellStyle name="s903" xfId="903"/>
    <cellStyle name="s904" xfId="904"/>
    <cellStyle name="s905" xfId="905"/>
    <cellStyle name="s906" xfId="906"/>
    <cellStyle name="s907" xfId="907"/>
    <cellStyle name="s908" xfId="908"/>
    <cellStyle name="s909" xfId="909"/>
    <cellStyle name="s91" xfId="91"/>
    <cellStyle name="s910" xfId="910"/>
    <cellStyle name="s911" xfId="911"/>
    <cellStyle name="s912" xfId="912"/>
    <cellStyle name="s913" xfId="913"/>
    <cellStyle name="s914" xfId="914"/>
    <cellStyle name="s915" xfId="915"/>
    <cellStyle name="s916" xfId="916"/>
    <cellStyle name="s917" xfId="917"/>
    <cellStyle name="s918" xfId="918"/>
    <cellStyle name="s919" xfId="919"/>
    <cellStyle name="s92" xfId="92"/>
    <cellStyle name="s920" xfId="920"/>
    <cellStyle name="s921" xfId="921"/>
    <cellStyle name="s922" xfId="922"/>
    <cellStyle name="s923" xfId="923"/>
    <cellStyle name="s924" xfId="924"/>
    <cellStyle name="s925" xfId="925"/>
    <cellStyle name="s926" xfId="926"/>
    <cellStyle name="s927" xfId="927"/>
    <cellStyle name="s928" xfId="928"/>
    <cellStyle name="s929" xfId="929"/>
    <cellStyle name="s93" xfId="93"/>
    <cellStyle name="s930" xfId="930"/>
    <cellStyle name="s931" xfId="931"/>
    <cellStyle name="s932" xfId="932"/>
    <cellStyle name="s933" xfId="933"/>
    <cellStyle name="s934" xfId="934"/>
    <cellStyle name="s935" xfId="935"/>
    <cellStyle name="s936" xfId="936"/>
    <cellStyle name="s937" xfId="937"/>
    <cellStyle name="s938" xfId="938"/>
    <cellStyle name="s939" xfId="939"/>
    <cellStyle name="s94" xfId="94"/>
    <cellStyle name="s940" xfId="940"/>
    <cellStyle name="s941" xfId="941"/>
    <cellStyle name="s942" xfId="942"/>
    <cellStyle name="s943" xfId="943"/>
    <cellStyle name="s944" xfId="944"/>
    <cellStyle name="s945" xfId="945"/>
    <cellStyle name="s946" xfId="946"/>
    <cellStyle name="s947" xfId="947"/>
    <cellStyle name="s948" xfId="948"/>
    <cellStyle name="s949" xfId="949"/>
    <cellStyle name="s95" xfId="95"/>
    <cellStyle name="s950" xfId="950"/>
    <cellStyle name="s951" xfId="951"/>
    <cellStyle name="s952" xfId="952"/>
    <cellStyle name="s953" xfId="953"/>
    <cellStyle name="s954" xfId="954"/>
    <cellStyle name="s955" xfId="955"/>
    <cellStyle name="s956" xfId="956"/>
    <cellStyle name="s957" xfId="957"/>
    <cellStyle name="s958" xfId="958"/>
    <cellStyle name="s959" xfId="959"/>
    <cellStyle name="s96" xfId="96"/>
    <cellStyle name="s960" xfId="960"/>
    <cellStyle name="s961" xfId="961"/>
    <cellStyle name="s962" xfId="962"/>
    <cellStyle name="s963" xfId="963"/>
    <cellStyle name="s964" xfId="964"/>
    <cellStyle name="s965" xfId="965"/>
    <cellStyle name="s966" xfId="966"/>
    <cellStyle name="s967" xfId="967"/>
    <cellStyle name="s968" xfId="968"/>
    <cellStyle name="s969" xfId="969"/>
    <cellStyle name="s97" xfId="97"/>
    <cellStyle name="s970" xfId="970"/>
    <cellStyle name="s971" xfId="971"/>
    <cellStyle name="s972" xfId="972"/>
    <cellStyle name="s973" xfId="973"/>
    <cellStyle name="s974" xfId="974"/>
    <cellStyle name="s975" xfId="975"/>
    <cellStyle name="s976" xfId="976"/>
    <cellStyle name="s977" xfId="977"/>
    <cellStyle name="s978" xfId="978"/>
    <cellStyle name="s979" xfId="979"/>
    <cellStyle name="s98" xfId="98"/>
    <cellStyle name="s980" xfId="980"/>
    <cellStyle name="s981" xfId="981"/>
    <cellStyle name="s982" xfId="982"/>
    <cellStyle name="s983" xfId="983"/>
    <cellStyle name="s984" xfId="984"/>
    <cellStyle name="s985" xfId="985"/>
    <cellStyle name="s986" xfId="986"/>
    <cellStyle name="s987" xfId="987"/>
    <cellStyle name="s988" xfId="988"/>
    <cellStyle name="s989" xfId="989"/>
    <cellStyle name="s99" xfId="99"/>
    <cellStyle name="s990" xfId="990"/>
    <cellStyle name="s991" xfId="991"/>
    <cellStyle name="s992" xfId="992"/>
    <cellStyle name="s993" xfId="993"/>
    <cellStyle name="s994" xfId="994"/>
    <cellStyle name="s995" xfId="995"/>
    <cellStyle name="s996" xfId="996"/>
    <cellStyle name="s997" xfId="997"/>
    <cellStyle name="s998" xfId="998"/>
    <cellStyle name="s999" xfId="999"/>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40625" defaultRowHeight="11.25" customHeight="1"/>
  <cols>
    <col min="1" max="2" width="3.7109375" hidden="1" customWidth="1"/>
    <col min="3" max="3" width="3" customWidth="1"/>
    <col min="4" max="4" width="6" customWidth="1"/>
    <col min="5" max="5" width="42" customWidth="1"/>
    <col min="6" max="6" width="15" customWidth="1"/>
    <col min="7" max="7" width="42" customWidth="1"/>
    <col min="8" max="8" width="3" customWidth="1"/>
    <col min="9" max="9" width="5" customWidth="1"/>
    <col min="10" max="10" width="47" customWidth="1"/>
    <col min="11" max="12" width="3" customWidth="1"/>
    <col min="13" max="13" width="5" customWidth="1"/>
    <col min="14" max="14" width="28" customWidth="1"/>
    <col min="15" max="16" width="3" customWidth="1"/>
    <col min="17" max="17" width="5" customWidth="1"/>
    <col min="18" max="18" width="34" customWidth="1"/>
    <col min="19" max="20" width="3.7109375" hidden="1" customWidth="1"/>
    <col min="21" max="21" width="5.7109375" hidden="1" customWidth="1"/>
    <col min="22" max="22" width="34.42578125" hidden="1" customWidth="1"/>
    <col min="23" max="23" width="30" customWidth="1"/>
    <col min="24" max="24" width="3" customWidth="1"/>
    <col min="25" max="28" width="9.85546875" hidden="1" customWidth="1"/>
    <col min="29" max="29" width="27" hidden="1" customWidth="1"/>
    <col min="30" max="30" width="10.5703125" hidden="1" customWidth="1"/>
    <col min="31" max="31" width="10.7109375" hidden="1" customWidth="1"/>
    <col min="32" max="32" width="10" hidden="1" customWidth="1"/>
    <col min="33" max="33" width="12.85546875" hidden="1" customWidth="1"/>
    <col min="34" max="34" width="24.42578125" hidden="1" customWidth="1"/>
    <col min="35" max="35" width="15.85546875" hidden="1" customWidth="1"/>
    <col min="36" max="36" width="19.42578125" hidden="1" customWidth="1"/>
    <col min="37" max="37" width="11" hidden="1" customWidth="1"/>
    <col min="38" max="38" width="23.5703125" hidden="1" customWidth="1"/>
    <col min="39" max="39" width="23.85546875" hidden="1" customWidth="1"/>
    <col min="40" max="40" width="25.28515625" hidden="1" customWidth="1"/>
    <col min="41" max="41" width="16.85546875" hidden="1" customWidth="1"/>
    <col min="42" max="42" width="29.5703125" hidden="1" customWidth="1"/>
    <col min="43" max="43" width="29.85546875" hidden="1" customWidth="1"/>
    <col min="44" max="44" width="9.140625" hidden="1"/>
  </cols>
  <sheetData>
    <row r="1" spans="4:44" ht="11.25" hidden="1" customHeight="1">
      <c r="AR1" s="50" t="s">
        <v>1</v>
      </c>
    </row>
    <row r="2" spans="4:44" ht="11.25" hidden="1" customHeight="1">
      <c r="AR2" s="50">
        <v>0</v>
      </c>
    </row>
    <row r="3" spans="4:44" ht="11.25" hidden="1" customHeight="1">
      <c r="AR3" s="50">
        <v>0</v>
      </c>
    </row>
    <row r="4" spans="4:44" ht="3" customHeight="1">
      <c r="AR4" s="50">
        <v>3</v>
      </c>
    </row>
    <row r="5" spans="4:44" ht="30.4" customHeight="1">
      <c r="D5" s="92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927"/>
      <c r="F5" s="927"/>
      <c r="G5" s="927"/>
      <c r="H5" s="927"/>
      <c r="I5" s="927"/>
      <c r="J5" s="928"/>
      <c r="AR5" s="52">
        <v>29</v>
      </c>
    </row>
    <row r="6" spans="4:44" ht="14.65" customHeight="1">
      <c r="D6" s="932" t="e">
        <f>IF(org=0,"Не определено",org)</f>
        <v>#REF!</v>
      </c>
      <c r="E6" s="932"/>
      <c r="F6" s="932"/>
      <c r="G6" s="932"/>
      <c r="H6" s="932"/>
      <c r="I6" s="932"/>
      <c r="J6" s="932"/>
      <c r="AR6" s="52">
        <v>14</v>
      </c>
    </row>
    <row r="7" spans="4:44" ht="11.45" customHeight="1">
      <c r="D7" s="929"/>
      <c r="E7" s="930"/>
      <c r="F7" s="930"/>
      <c r="G7" s="930"/>
      <c r="H7" s="930"/>
      <c r="I7" s="930"/>
      <c r="J7" s="931"/>
      <c r="AR7" s="64">
        <v>11</v>
      </c>
    </row>
    <row r="8" spans="4:44" ht="1.1499999999999999" customHeight="1">
      <c r="AR8" s="52">
        <v>1</v>
      </c>
    </row>
    <row r="9" spans="4:44" ht="28.5" customHeight="1">
      <c r="D9" s="894" t="s">
        <v>24</v>
      </c>
      <c r="E9" s="887" t="s">
        <v>47</v>
      </c>
      <c r="F9" s="886"/>
      <c r="G9" s="894" t="s">
        <v>37</v>
      </c>
      <c r="H9" s="894" t="s">
        <v>24</v>
      </c>
      <c r="I9" s="894"/>
      <c r="J9" s="894" t="s">
        <v>48</v>
      </c>
      <c r="K9" s="933" t="s">
        <v>49</v>
      </c>
      <c r="L9" s="933"/>
      <c r="M9" s="933"/>
      <c r="N9" s="933"/>
      <c r="O9" s="933" t="s">
        <v>50</v>
      </c>
      <c r="P9" s="933"/>
      <c r="Q9" s="933"/>
      <c r="R9" s="933"/>
      <c r="S9" s="933" t="s">
        <v>51</v>
      </c>
      <c r="T9" s="933"/>
      <c r="U9" s="933"/>
      <c r="V9" s="933"/>
      <c r="W9" s="894" t="s">
        <v>52</v>
      </c>
      <c r="AR9" s="50">
        <v>27</v>
      </c>
    </row>
    <row r="10" spans="4:44" ht="31.5" customHeight="1">
      <c r="D10" s="894"/>
      <c r="E10" s="30" t="s">
        <v>25</v>
      </c>
      <c r="F10" s="30" t="s">
        <v>53</v>
      </c>
      <c r="G10" s="894"/>
      <c r="H10" s="894"/>
      <c r="I10" s="894"/>
      <c r="J10" s="894"/>
      <c r="K10" s="30" t="s">
        <v>38</v>
      </c>
      <c r="L10" s="894" t="s">
        <v>24</v>
      </c>
      <c r="M10" s="894"/>
      <c r="N10" s="30" t="s">
        <v>54</v>
      </c>
      <c r="O10" s="30" t="s">
        <v>38</v>
      </c>
      <c r="P10" s="894" t="s">
        <v>24</v>
      </c>
      <c r="Q10" s="894"/>
      <c r="R10" s="30" t="s">
        <v>54</v>
      </c>
      <c r="S10" s="30" t="s">
        <v>38</v>
      </c>
      <c r="T10" s="894" t="s">
        <v>24</v>
      </c>
      <c r="U10" s="894"/>
      <c r="V10" s="30" t="s">
        <v>25</v>
      </c>
      <c r="W10" s="894"/>
      <c r="Z10" s="59" t="s">
        <v>55</v>
      </c>
      <c r="AA10" s="59" t="s">
        <v>56</v>
      </c>
      <c r="AB10" s="59" t="s">
        <v>57</v>
      </c>
      <c r="AC10" s="59" t="s">
        <v>58</v>
      </c>
      <c r="AD10" s="59" t="s">
        <v>59</v>
      </c>
      <c r="AE10" s="59" t="s">
        <v>60</v>
      </c>
      <c r="AF10" s="59" t="s">
        <v>61</v>
      </c>
      <c r="AG10" s="59" t="s">
        <v>62</v>
      </c>
      <c r="AH10" s="59" t="s">
        <v>63</v>
      </c>
      <c r="AI10" s="59" t="s">
        <v>64</v>
      </c>
      <c r="AJ10" s="59" t="s">
        <v>65</v>
      </c>
      <c r="AK10" s="59" t="s">
        <v>66</v>
      </c>
      <c r="AL10" s="59" t="s">
        <v>67</v>
      </c>
      <c r="AM10" s="59" t="s">
        <v>68</v>
      </c>
      <c r="AN10" s="59" t="s">
        <v>69</v>
      </c>
      <c r="AO10" s="59" t="s">
        <v>70</v>
      </c>
      <c r="AP10" s="59" t="s">
        <v>71</v>
      </c>
      <c r="AQ10" s="59" t="s">
        <v>72</v>
      </c>
      <c r="AR10" s="50">
        <v>30</v>
      </c>
    </row>
    <row r="11" spans="4:44" ht="12" hidden="1" customHeight="1">
      <c r="D11" s="66" t="s">
        <v>31</v>
      </c>
      <c r="E11" s="66" t="s">
        <v>39</v>
      </c>
      <c r="F11" s="66"/>
      <c r="G11" s="66" t="s">
        <v>26</v>
      </c>
      <c r="H11" s="925" t="s">
        <v>40</v>
      </c>
      <c r="I11" s="925"/>
      <c r="J11" s="66" t="s">
        <v>28</v>
      </c>
      <c r="K11" s="66" t="s">
        <v>29</v>
      </c>
      <c r="L11" s="925" t="s">
        <v>41</v>
      </c>
      <c r="M11" s="925"/>
      <c r="N11" s="66" t="s">
        <v>73</v>
      </c>
      <c r="O11" s="66" t="s">
        <v>74</v>
      </c>
      <c r="P11" s="925" t="s">
        <v>75</v>
      </c>
      <c r="Q11" s="925"/>
      <c r="R11" s="66" t="s">
        <v>76</v>
      </c>
      <c r="S11" s="66" t="s">
        <v>75</v>
      </c>
      <c r="T11" s="925" t="s">
        <v>76</v>
      </c>
      <c r="U11" s="925"/>
      <c r="V11" s="66" t="s">
        <v>77</v>
      </c>
      <c r="W11" s="66" t="s">
        <v>78</v>
      </c>
      <c r="AR11" s="29">
        <v>0</v>
      </c>
    </row>
    <row r="12" spans="4:44" ht="14.25" hidden="1" customHeight="1">
      <c r="D12" s="67">
        <v>0</v>
      </c>
      <c r="E12" s="30"/>
      <c r="F12" s="30"/>
      <c r="G12" s="30"/>
      <c r="H12" s="68"/>
      <c r="I12" s="68"/>
      <c r="J12" s="55"/>
      <c r="K12" s="55"/>
      <c r="L12" s="55"/>
      <c r="M12" s="55"/>
      <c r="N12" s="69"/>
      <c r="O12" s="55"/>
      <c r="P12" s="55"/>
      <c r="Q12" s="55"/>
      <c r="R12" s="70"/>
      <c r="S12" s="55"/>
      <c r="T12" s="55"/>
      <c r="U12" s="55"/>
      <c r="V12" s="70"/>
      <c r="W12" s="55"/>
      <c r="AR12" s="50">
        <v>0</v>
      </c>
    </row>
    <row r="13" spans="4:44" ht="17.25" hidden="1" customHeight="1">
      <c r="D13" s="910">
        <v>1</v>
      </c>
      <c r="E13" s="903" t="s">
        <v>79</v>
      </c>
      <c r="F13" s="912" t="s">
        <v>3</v>
      </c>
      <c r="G13" s="903"/>
      <c r="H13" s="905"/>
      <c r="I13" s="907"/>
      <c r="J13" s="908"/>
      <c r="K13" s="902"/>
      <c r="L13" s="902"/>
      <c r="M13" s="902"/>
      <c r="N13" s="909"/>
      <c r="O13" s="902"/>
      <c r="P13" s="902"/>
      <c r="Q13" s="902"/>
      <c r="R13" s="901"/>
      <c r="S13" s="902"/>
      <c r="T13" s="73"/>
      <c r="U13" s="73"/>
      <c r="V13" s="74"/>
      <c r="W13" s="75"/>
      <c r="AC13" s="76" t="s">
        <v>80</v>
      </c>
      <c r="AD13" s="76" t="s">
        <v>81</v>
      </c>
      <c r="AE13" s="76" t="s">
        <v>82</v>
      </c>
      <c r="AF13" s="76" t="s">
        <v>83</v>
      </c>
      <c r="AG13" s="76" t="s">
        <v>84</v>
      </c>
      <c r="AH13" s="7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76" t="str">
        <f>IF($G$13=0,"",$G$13)</f>
        <v/>
      </c>
      <c r="AJ13" s="76" t="str">
        <f>IF($J$13=0,"",$J$13)</f>
        <v/>
      </c>
      <c r="AK13" s="76" t="str">
        <f>IF($K$13="нет","без дифференциации",IF($N$13=0,"",$N$13))</f>
        <v/>
      </c>
      <c r="AL13" s="76" t="str">
        <f>IF($O$13="нет","без дифференциации",IF($R$13=0,"",$R$13))</f>
        <v/>
      </c>
      <c r="AM13" s="76" t="str">
        <f>IF($S$13="нет","без дифференциации",IF($V$13=0,"",$V$13))</f>
        <v/>
      </c>
      <c r="AN13" s="76">
        <f>$I$13</f>
        <v>0</v>
      </c>
      <c r="AO13" s="76" t="str">
        <f>$I$13&amp;"."&amp;$M$13</f>
        <v>.</v>
      </c>
      <c r="AP13" s="76" t="str">
        <f>$I$13&amp;"."&amp;$M$13&amp;"."&amp;$Q$13</f>
        <v>..</v>
      </c>
      <c r="AQ13" s="76" t="str">
        <f>$I$13&amp;"."&amp;$M$13&amp;"."&amp;$Q$13&amp;"."&amp;$U$13</f>
        <v>...</v>
      </c>
      <c r="AR13" s="50">
        <v>0</v>
      </c>
    </row>
    <row r="14" spans="4:44" ht="17.25" hidden="1" customHeight="1">
      <c r="D14" s="910"/>
      <c r="E14" s="903"/>
      <c r="F14" s="913"/>
      <c r="G14" s="903"/>
      <c r="H14" s="906"/>
      <c r="I14" s="885"/>
      <c r="J14" s="885"/>
      <c r="K14" s="885"/>
      <c r="L14" s="885"/>
      <c r="M14" s="885"/>
      <c r="N14" s="885"/>
      <c r="O14" s="885"/>
      <c r="P14" s="885"/>
      <c r="Q14" s="885"/>
      <c r="R14" s="885"/>
      <c r="S14" s="885"/>
      <c r="W14" s="78"/>
      <c r="AR14" s="50">
        <v>0</v>
      </c>
    </row>
    <row r="15" spans="4:44" ht="17.25" hidden="1" customHeight="1">
      <c r="D15" s="910"/>
      <c r="E15" s="903"/>
      <c r="F15" s="913"/>
      <c r="G15" s="903"/>
      <c r="H15" s="906"/>
      <c r="I15" s="885"/>
      <c r="J15" s="885"/>
      <c r="K15" s="885"/>
      <c r="L15" s="885"/>
      <c r="M15" s="885"/>
      <c r="N15" s="885"/>
      <c r="O15" s="885"/>
      <c r="W15" s="78"/>
      <c r="AR15" s="50">
        <v>0</v>
      </c>
    </row>
    <row r="16" spans="4:44" ht="17.25" hidden="1" customHeight="1">
      <c r="D16" s="910"/>
      <c r="E16" s="903"/>
      <c r="F16" s="913"/>
      <c r="G16" s="903"/>
      <c r="H16" s="906"/>
      <c r="I16" s="885"/>
      <c r="J16" s="885"/>
      <c r="K16" s="885"/>
      <c r="W16" s="78"/>
      <c r="AR16" s="50">
        <v>0</v>
      </c>
    </row>
    <row r="17" spans="4:44" ht="17.25" hidden="1" customHeight="1">
      <c r="D17" s="911"/>
      <c r="E17" s="904"/>
      <c r="F17" s="914"/>
      <c r="G17" s="904"/>
      <c r="H17" s="80"/>
      <c r="I17" s="81"/>
      <c r="J17" s="81"/>
      <c r="K17" s="81"/>
      <c r="L17" s="81"/>
      <c r="M17" s="81"/>
      <c r="N17" s="81"/>
      <c r="O17" s="81"/>
      <c r="P17" s="81"/>
      <c r="Q17" s="81"/>
      <c r="R17" s="81"/>
      <c r="S17" s="82"/>
      <c r="T17" s="82"/>
      <c r="U17" s="82"/>
      <c r="V17" s="82"/>
      <c r="W17" s="83"/>
      <c r="AR17" s="50">
        <v>0</v>
      </c>
    </row>
    <row r="18" spans="4:44" ht="17.25" hidden="1" customHeight="1">
      <c r="D18" s="910">
        <v>2</v>
      </c>
      <c r="E18" s="923"/>
      <c r="F18" s="912" t="s">
        <v>3</v>
      </c>
      <c r="G18" s="903"/>
      <c r="H18" s="905"/>
      <c r="I18" s="907"/>
      <c r="J18" s="908"/>
      <c r="K18" s="902"/>
      <c r="L18" s="902"/>
      <c r="M18" s="902"/>
      <c r="N18" s="909"/>
      <c r="O18" s="902"/>
      <c r="P18" s="902"/>
      <c r="Q18" s="902"/>
      <c r="R18" s="901"/>
      <c r="S18" s="902"/>
      <c r="T18" s="73"/>
      <c r="U18" s="73"/>
      <c r="V18" s="74"/>
      <c r="W18" s="75"/>
      <c r="AC18" s="76" t="s">
        <v>85</v>
      </c>
      <c r="AD18" s="76" t="s">
        <v>86</v>
      </c>
      <c r="AE18" s="76" t="s">
        <v>87</v>
      </c>
      <c r="AF18" s="76" t="s">
        <v>88</v>
      </c>
      <c r="AG18" s="76" t="s">
        <v>89</v>
      </c>
      <c r="AH18" s="76" t="str">
        <f>IF($E$18=0,"",$E$18)</f>
        <v/>
      </c>
      <c r="AI18" s="76" t="str">
        <f>IF($G$18=0,"",$G$18)</f>
        <v/>
      </c>
      <c r="AJ18" s="76" t="str">
        <f>IF($J$18=0,"",$J$18)</f>
        <v/>
      </c>
      <c r="AK18" s="76" t="str">
        <f>IF($K$18="нет","без дифференциации",IF($N$18=0,"",$N$18))</f>
        <v/>
      </c>
      <c r="AL18" s="76" t="str">
        <f>IF($O$18="нет","без дифференциации",IF($R$18=0,"",$R$18))</f>
        <v/>
      </c>
      <c r="AM18" s="76" t="str">
        <f>IF($S$18="нет","без дифференциации",IF($V$18=0,"",$V$18))</f>
        <v/>
      </c>
      <c r="AN18" s="84">
        <f>$I$18</f>
        <v>0</v>
      </c>
      <c r="AO18" s="76" t="str">
        <f>$I$18&amp;"."&amp;$M$18</f>
        <v>.</v>
      </c>
      <c r="AP18" s="59" t="str">
        <f>$I$18&amp;"."&amp;$M$18&amp;"."&amp;$Q$18</f>
        <v>..</v>
      </c>
      <c r="AQ18" s="59" t="str">
        <f>$I$18&amp;"."&amp;$M$18&amp;"."&amp;$Q$18&amp;"."&amp;$U$18</f>
        <v>...</v>
      </c>
      <c r="AR18" s="50">
        <v>0</v>
      </c>
    </row>
    <row r="19" spans="4:44" ht="17.25" hidden="1" customHeight="1">
      <c r="D19" s="910"/>
      <c r="E19" s="923"/>
      <c r="F19" s="913"/>
      <c r="G19" s="903"/>
      <c r="H19" s="906"/>
      <c r="I19" s="885"/>
      <c r="J19" s="885"/>
      <c r="K19" s="885"/>
      <c r="L19" s="885"/>
      <c r="M19" s="885"/>
      <c r="N19" s="885"/>
      <c r="O19" s="885"/>
      <c r="P19" s="885"/>
      <c r="Q19" s="885"/>
      <c r="R19" s="885"/>
      <c r="S19" s="885"/>
      <c r="W19" s="78"/>
      <c r="AR19" s="50">
        <v>0</v>
      </c>
    </row>
    <row r="20" spans="4:44" ht="17.25" hidden="1" customHeight="1">
      <c r="D20" s="911"/>
      <c r="E20" s="924"/>
      <c r="F20" s="913"/>
      <c r="G20" s="904"/>
      <c r="H20" s="906"/>
      <c r="I20" s="885"/>
      <c r="J20" s="885"/>
      <c r="K20" s="885"/>
      <c r="L20" s="885"/>
      <c r="M20" s="885"/>
      <c r="N20" s="885"/>
      <c r="O20" s="885"/>
      <c r="W20" s="78"/>
      <c r="AR20" s="50">
        <v>0</v>
      </c>
    </row>
    <row r="21" spans="4:44" ht="17.25" hidden="1" customHeight="1">
      <c r="D21" s="911"/>
      <c r="E21" s="924"/>
      <c r="F21" s="913"/>
      <c r="G21" s="904"/>
      <c r="H21" s="906"/>
      <c r="I21" s="885"/>
      <c r="J21" s="885"/>
      <c r="K21" s="885"/>
      <c r="W21" s="78"/>
      <c r="AR21" s="50">
        <v>0</v>
      </c>
    </row>
    <row r="22" spans="4:44" ht="17.25" hidden="1" customHeight="1">
      <c r="D22" s="911"/>
      <c r="E22" s="924"/>
      <c r="F22" s="914"/>
      <c r="G22" s="904"/>
      <c r="H22" s="80"/>
      <c r="I22" s="81"/>
      <c r="J22" s="81"/>
      <c r="K22" s="81"/>
      <c r="L22" s="81"/>
      <c r="M22" s="81"/>
      <c r="N22" s="81"/>
      <c r="O22" s="81"/>
      <c r="P22" s="81"/>
      <c r="Q22" s="81"/>
      <c r="R22" s="81"/>
      <c r="S22" s="82"/>
      <c r="T22" s="82"/>
      <c r="U22" s="82"/>
      <c r="V22" s="82"/>
      <c r="W22" s="83"/>
      <c r="AR22" s="50">
        <v>0</v>
      </c>
    </row>
    <row r="23" spans="4:44" ht="17.25" hidden="1" customHeight="1">
      <c r="D23" s="910">
        <v>2</v>
      </c>
      <c r="E23" s="903" t="s">
        <v>90</v>
      </c>
      <c r="F23" s="912" t="s">
        <v>3</v>
      </c>
      <c r="G23" s="903"/>
      <c r="H23" s="905"/>
      <c r="I23" s="907"/>
      <c r="J23" s="908"/>
      <c r="K23" s="902"/>
      <c r="L23" s="902"/>
      <c r="M23" s="902"/>
      <c r="N23" s="909"/>
      <c r="O23" s="902"/>
      <c r="P23" s="902"/>
      <c r="Q23" s="902"/>
      <c r="R23" s="901"/>
      <c r="S23" s="902"/>
      <c r="T23" s="73"/>
      <c r="U23" s="73"/>
      <c r="V23" s="74"/>
      <c r="W23" s="75"/>
      <c r="AC23" s="76" t="s">
        <v>85</v>
      </c>
      <c r="AD23" s="76" t="s">
        <v>86</v>
      </c>
      <c r="AE23" s="76" t="s">
        <v>87</v>
      </c>
      <c r="AF23" s="76" t="s">
        <v>88</v>
      </c>
      <c r="AG23" s="76" t="s">
        <v>89</v>
      </c>
      <c r="AH23" s="76" t="str">
        <f>IF($E$23=0,"",$E$23)</f>
        <v>Тарифы на тепловую энергию (мощность), поставляемую теплоснабжающими организациями потребителям, другим теплоснабжающим организациям</v>
      </c>
      <c r="AI23" s="76" t="str">
        <f>IF($G$23=0,"",$G$23)</f>
        <v/>
      </c>
      <c r="AJ23" s="76" t="str">
        <f>IF($J$23=0,"",$J$23)</f>
        <v/>
      </c>
      <c r="AK23" s="76" t="str">
        <f>IF($K$23="нет","без дифференциации",IF($N$23=0,"",$N$23))</f>
        <v/>
      </c>
      <c r="AL23" s="76" t="str">
        <f>IF($O$23="нет","без дифференциации",IF($R$23=0,"",$R$23))</f>
        <v/>
      </c>
      <c r="AM23" s="76" t="str">
        <f>IF($S$23="нет","без дифференциации",IF($V$23=0,"",$V$23))</f>
        <v/>
      </c>
      <c r="AN23" s="84">
        <f>$I$23</f>
        <v>0</v>
      </c>
      <c r="AO23" s="76" t="str">
        <f>$I$23&amp;"."&amp;$M$23</f>
        <v>.</v>
      </c>
      <c r="AP23" s="59" t="str">
        <f>$I$23&amp;"."&amp;$M$23&amp;"."&amp;$Q$23</f>
        <v>..</v>
      </c>
      <c r="AQ23" s="59" t="str">
        <f>$I$23&amp;"."&amp;$M$23&amp;"."&amp;$Q$23&amp;"."&amp;$U$23</f>
        <v>...</v>
      </c>
      <c r="AR23" s="50">
        <v>0</v>
      </c>
    </row>
    <row r="24" spans="4:44" ht="17.25" hidden="1" customHeight="1">
      <c r="D24" s="910"/>
      <c r="E24" s="903"/>
      <c r="F24" s="913"/>
      <c r="G24" s="903"/>
      <c r="H24" s="906"/>
      <c r="I24" s="885"/>
      <c r="J24" s="885"/>
      <c r="K24" s="885"/>
      <c r="L24" s="885"/>
      <c r="M24" s="885"/>
      <c r="N24" s="885"/>
      <c r="O24" s="885"/>
      <c r="P24" s="885"/>
      <c r="Q24" s="885"/>
      <c r="R24" s="885"/>
      <c r="S24" s="885"/>
      <c r="W24" s="78"/>
      <c r="AR24" s="50">
        <v>0</v>
      </c>
    </row>
    <row r="25" spans="4:44" ht="17.25" hidden="1" customHeight="1">
      <c r="D25" s="911"/>
      <c r="E25" s="904"/>
      <c r="F25" s="913"/>
      <c r="G25" s="904"/>
      <c r="H25" s="906"/>
      <c r="I25" s="885"/>
      <c r="J25" s="885"/>
      <c r="K25" s="885"/>
      <c r="L25" s="885"/>
      <c r="M25" s="885"/>
      <c r="N25" s="885"/>
      <c r="O25" s="885"/>
      <c r="W25" s="78"/>
      <c r="AR25" s="50">
        <v>0</v>
      </c>
    </row>
    <row r="26" spans="4:44" ht="17.25" hidden="1" customHeight="1">
      <c r="D26" s="911"/>
      <c r="E26" s="904"/>
      <c r="F26" s="913"/>
      <c r="G26" s="904"/>
      <c r="H26" s="906"/>
      <c r="I26" s="885"/>
      <c r="J26" s="885"/>
      <c r="K26" s="885"/>
      <c r="W26" s="78"/>
      <c r="AR26" s="50">
        <v>0</v>
      </c>
    </row>
    <row r="27" spans="4:44" ht="17.25" hidden="1" customHeight="1">
      <c r="D27" s="911"/>
      <c r="E27" s="904"/>
      <c r="F27" s="914"/>
      <c r="G27" s="904"/>
      <c r="H27" s="80"/>
      <c r="I27" s="81"/>
      <c r="J27" s="81"/>
      <c r="K27" s="81"/>
      <c r="L27" s="81"/>
      <c r="M27" s="81"/>
      <c r="N27" s="81"/>
      <c r="O27" s="81"/>
      <c r="P27" s="81"/>
      <c r="Q27" s="81"/>
      <c r="R27" s="81"/>
      <c r="S27" s="82"/>
      <c r="T27" s="82"/>
      <c r="U27" s="82"/>
      <c r="V27" s="82"/>
      <c r="W27" s="83"/>
      <c r="AR27" s="50">
        <v>0</v>
      </c>
    </row>
    <row r="28" spans="4:44" ht="17.25" hidden="1" customHeight="1">
      <c r="D28" s="910">
        <v>3</v>
      </c>
      <c r="E28" s="903" t="s">
        <v>91</v>
      </c>
      <c r="F28" s="912" t="s">
        <v>3</v>
      </c>
      <c r="G28" s="903"/>
      <c r="H28" s="905"/>
      <c r="I28" s="907"/>
      <c r="J28" s="908"/>
      <c r="K28" s="902"/>
      <c r="L28" s="902"/>
      <c r="M28" s="902"/>
      <c r="N28" s="909"/>
      <c r="O28" s="902"/>
      <c r="P28" s="902"/>
      <c r="Q28" s="902"/>
      <c r="R28" s="901"/>
      <c r="S28" s="902"/>
      <c r="T28" s="73"/>
      <c r="U28" s="73"/>
      <c r="V28" s="74"/>
      <c r="W28" s="75"/>
      <c r="AC28" s="76" t="s">
        <v>92</v>
      </c>
      <c r="AD28" s="76" t="s">
        <v>93</v>
      </c>
      <c r="AE28" s="76" t="s">
        <v>94</v>
      </c>
      <c r="AF28" s="76" t="s">
        <v>95</v>
      </c>
      <c r="AG28" s="76" t="s">
        <v>96</v>
      </c>
      <c r="AH28" s="76" t="str">
        <f>IF($E$28=0,"",$E$28)</f>
        <v>Тарифы на теплоноситель, поставляемый теплоснабжающими организациями потребителям, другим теплоснабжающим организациям</v>
      </c>
      <c r="AI28" s="76" t="str">
        <f>IF($G$28=0,"",$G$28)</f>
        <v/>
      </c>
      <c r="AJ28" s="76" t="str">
        <f>IF($J$28=0,"",$J$28)</f>
        <v/>
      </c>
      <c r="AK28" s="76" t="str">
        <f>IF($K$28="нет","без дифференциации",IF($N$28=0,"",$N$28))</f>
        <v/>
      </c>
      <c r="AL28" s="76" t="str">
        <f>IF($O$28="нет","без дифференциации",IF($R$28=0,"",$R$28))</f>
        <v/>
      </c>
      <c r="AM28" s="76" t="str">
        <f>IF($S$28="нет","без дифференциации",IF($V$28=0,"",$V$28))</f>
        <v/>
      </c>
      <c r="AN28" s="84">
        <f>$I$28</f>
        <v>0</v>
      </c>
      <c r="AO28" s="76" t="str">
        <f>$I$28&amp;"."&amp;$M$28</f>
        <v>.</v>
      </c>
      <c r="AP28" s="59" t="str">
        <f>$I$28&amp;"."&amp;$M$28&amp;"."&amp;$Q$28</f>
        <v>..</v>
      </c>
      <c r="AQ28" s="59" t="str">
        <f>$I$28&amp;"."&amp;$M$28&amp;"."&amp;$Q$28&amp;"."&amp;$U$28</f>
        <v>...</v>
      </c>
      <c r="AR28" s="50">
        <v>0</v>
      </c>
    </row>
    <row r="29" spans="4:44" ht="17.25" hidden="1" customHeight="1">
      <c r="D29" s="910"/>
      <c r="E29" s="903"/>
      <c r="F29" s="913"/>
      <c r="G29" s="903"/>
      <c r="H29" s="906"/>
      <c r="I29" s="885"/>
      <c r="J29" s="885"/>
      <c r="K29" s="885"/>
      <c r="L29" s="885"/>
      <c r="M29" s="885"/>
      <c r="N29" s="885"/>
      <c r="O29" s="885"/>
      <c r="P29" s="885"/>
      <c r="Q29" s="885"/>
      <c r="R29" s="885"/>
      <c r="S29" s="885"/>
      <c r="W29" s="78"/>
      <c r="AR29" s="50">
        <v>0</v>
      </c>
    </row>
    <row r="30" spans="4:44" ht="17.25" hidden="1" customHeight="1">
      <c r="D30" s="911"/>
      <c r="E30" s="904"/>
      <c r="F30" s="913"/>
      <c r="G30" s="904"/>
      <c r="H30" s="906"/>
      <c r="I30" s="885"/>
      <c r="J30" s="885"/>
      <c r="K30" s="885"/>
      <c r="L30" s="885"/>
      <c r="M30" s="885"/>
      <c r="N30" s="885"/>
      <c r="O30" s="885"/>
      <c r="W30" s="78"/>
      <c r="AR30" s="50">
        <v>0</v>
      </c>
    </row>
    <row r="31" spans="4:44" ht="17.25" hidden="1" customHeight="1">
      <c r="D31" s="911"/>
      <c r="E31" s="904"/>
      <c r="F31" s="913"/>
      <c r="G31" s="904"/>
      <c r="H31" s="906"/>
      <c r="I31" s="885"/>
      <c r="J31" s="885"/>
      <c r="K31" s="885"/>
      <c r="W31" s="78"/>
      <c r="AR31" s="50">
        <v>0</v>
      </c>
    </row>
    <row r="32" spans="4:44" ht="17.25" hidden="1" customHeight="1">
      <c r="D32" s="911"/>
      <c r="E32" s="904"/>
      <c r="F32" s="914"/>
      <c r="G32" s="904"/>
      <c r="H32" s="80"/>
      <c r="I32" s="81"/>
      <c r="J32" s="81"/>
      <c r="K32" s="81"/>
      <c r="L32" s="81"/>
      <c r="M32" s="81"/>
      <c r="N32" s="81"/>
      <c r="O32" s="81"/>
      <c r="P32" s="81"/>
      <c r="Q32" s="81"/>
      <c r="R32" s="81"/>
      <c r="S32" s="82"/>
      <c r="T32" s="82"/>
      <c r="U32" s="82"/>
      <c r="V32" s="82"/>
      <c r="W32" s="83"/>
      <c r="AR32" s="50">
        <v>0</v>
      </c>
    </row>
    <row r="33" spans="4:44" ht="17.25" hidden="1" customHeight="1">
      <c r="D33" s="910">
        <v>4</v>
      </c>
      <c r="E33" s="903" t="s">
        <v>97</v>
      </c>
      <c r="F33" s="912" t="s">
        <v>3</v>
      </c>
      <c r="G33" s="903"/>
      <c r="H33" s="905"/>
      <c r="I33" s="907"/>
      <c r="J33" s="908"/>
      <c r="K33" s="902"/>
      <c r="L33" s="902"/>
      <c r="M33" s="902"/>
      <c r="N33" s="909"/>
      <c r="O33" s="902"/>
      <c r="P33" s="902"/>
      <c r="Q33" s="902"/>
      <c r="R33" s="901"/>
      <c r="S33" s="902"/>
      <c r="T33" s="73"/>
      <c r="U33" s="73"/>
      <c r="V33" s="74"/>
      <c r="W33" s="75"/>
      <c r="AC33" s="76" t="s">
        <v>98</v>
      </c>
      <c r="AD33" s="76" t="s">
        <v>99</v>
      </c>
      <c r="AE33" s="76" t="s">
        <v>100</v>
      </c>
      <c r="AF33" s="76" t="s">
        <v>101</v>
      </c>
      <c r="AG33" s="76" t="s">
        <v>102</v>
      </c>
      <c r="AH33" s="7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76" t="str">
        <f>IF($G$33=0,"",$G$33)</f>
        <v/>
      </c>
      <c r="AJ33" s="76" t="str">
        <f>IF($J$33=0,"",$J$33)</f>
        <v/>
      </c>
      <c r="AK33" s="76" t="str">
        <f>IF($K$33="нет","без дифференциации",IF($N$33=0,"",$N$33))</f>
        <v/>
      </c>
      <c r="AL33" s="76" t="str">
        <f>IF($O$33="нет","без дифференциации",IF($R$33=0,"",$R$33))</f>
        <v/>
      </c>
      <c r="AM33" s="76" t="str">
        <f>IF($S$33="нет","без дифференциации",IF($V$33=0,"",$V$33))</f>
        <v/>
      </c>
      <c r="AN33" s="84">
        <f>$I$33</f>
        <v>0</v>
      </c>
      <c r="AO33" s="76" t="str">
        <f>$I$33&amp;"."&amp;$M$33</f>
        <v>.</v>
      </c>
      <c r="AP33" s="59" t="str">
        <f>$I$33&amp;"."&amp;$M$33&amp;"."&amp;$Q$33</f>
        <v>..</v>
      </c>
      <c r="AQ33" s="59" t="str">
        <f>$I$33&amp;"."&amp;$M$33&amp;"."&amp;$Q$33&amp;"."&amp;$U$33</f>
        <v>...</v>
      </c>
      <c r="AR33" s="50">
        <v>0</v>
      </c>
    </row>
    <row r="34" spans="4:44" ht="17.25" hidden="1" customHeight="1">
      <c r="D34" s="910"/>
      <c r="E34" s="903"/>
      <c r="F34" s="913"/>
      <c r="G34" s="903"/>
      <c r="H34" s="906"/>
      <c r="I34" s="885"/>
      <c r="J34" s="885"/>
      <c r="K34" s="885"/>
      <c r="L34" s="885"/>
      <c r="M34" s="885"/>
      <c r="N34" s="885"/>
      <c r="O34" s="885"/>
      <c r="P34" s="885"/>
      <c r="Q34" s="885"/>
      <c r="R34" s="885"/>
      <c r="S34" s="885"/>
      <c r="W34" s="78"/>
      <c r="AR34" s="50">
        <v>0</v>
      </c>
    </row>
    <row r="35" spans="4:44" ht="17.25" hidden="1" customHeight="1">
      <c r="D35" s="911"/>
      <c r="E35" s="904"/>
      <c r="F35" s="913"/>
      <c r="G35" s="904"/>
      <c r="H35" s="906"/>
      <c r="I35" s="885"/>
      <c r="J35" s="885"/>
      <c r="K35" s="885"/>
      <c r="L35" s="885"/>
      <c r="M35" s="885"/>
      <c r="N35" s="885"/>
      <c r="O35" s="885"/>
      <c r="W35" s="78"/>
      <c r="AR35" s="50">
        <v>0</v>
      </c>
    </row>
    <row r="36" spans="4:44" ht="17.25" hidden="1" customHeight="1">
      <c r="D36" s="911"/>
      <c r="E36" s="904"/>
      <c r="F36" s="913"/>
      <c r="G36" s="904"/>
      <c r="H36" s="906"/>
      <c r="I36" s="885"/>
      <c r="J36" s="885"/>
      <c r="K36" s="885"/>
      <c r="W36" s="78"/>
      <c r="AR36" s="50">
        <v>0</v>
      </c>
    </row>
    <row r="37" spans="4:44" ht="17.25" hidden="1" customHeight="1">
      <c r="D37" s="911"/>
      <c r="E37" s="904"/>
      <c r="F37" s="914"/>
      <c r="G37" s="904"/>
      <c r="H37" s="80"/>
      <c r="I37" s="81"/>
      <c r="J37" s="81"/>
      <c r="K37" s="81"/>
      <c r="L37" s="81"/>
      <c r="M37" s="81"/>
      <c r="N37" s="81"/>
      <c r="O37" s="81"/>
      <c r="P37" s="81"/>
      <c r="Q37" s="81"/>
      <c r="R37" s="81"/>
      <c r="S37" s="82"/>
      <c r="T37" s="82"/>
      <c r="U37" s="82"/>
      <c r="V37" s="82"/>
      <c r="W37" s="83"/>
      <c r="AR37" s="50">
        <v>0</v>
      </c>
    </row>
    <row r="38" spans="4:44" ht="17.25" hidden="1" customHeight="1">
      <c r="D38" s="910">
        <v>5</v>
      </c>
      <c r="E38" s="903" t="s">
        <v>103</v>
      </c>
      <c r="F38" s="912" t="s">
        <v>3</v>
      </c>
      <c r="G38" s="903"/>
      <c r="H38" s="905"/>
      <c r="I38" s="907"/>
      <c r="J38" s="908"/>
      <c r="K38" s="902"/>
      <c r="L38" s="902"/>
      <c r="M38" s="902"/>
      <c r="N38" s="909"/>
      <c r="O38" s="902"/>
      <c r="P38" s="902"/>
      <c r="Q38" s="902"/>
      <c r="R38" s="901"/>
      <c r="S38" s="902"/>
      <c r="T38" s="73"/>
      <c r="U38" s="73"/>
      <c r="V38" s="74"/>
      <c r="W38" s="75"/>
      <c r="AC38" s="76" t="s">
        <v>104</v>
      </c>
      <c r="AD38" s="76" t="s">
        <v>105</v>
      </c>
      <c r="AE38" s="76" t="s">
        <v>106</v>
      </c>
      <c r="AF38" s="76" t="s">
        <v>107</v>
      </c>
      <c r="AG38" s="76" t="s">
        <v>108</v>
      </c>
      <c r="AH38" s="76" t="str">
        <f>IF($E$38=0,"",$E$38)</f>
        <v>Тарифы на услуги по передаче тепловой энергии</v>
      </c>
      <c r="AI38" s="76" t="str">
        <f>IF($G$38=0,"",$G$38)</f>
        <v/>
      </c>
      <c r="AJ38" s="76" t="str">
        <f>IF($J$38=0,"",$J$38)</f>
        <v/>
      </c>
      <c r="AK38" s="76" t="str">
        <f>IF($K$38="нет","без дифференциации",IF($N$38=0,"",$N$38))</f>
        <v/>
      </c>
      <c r="AL38" s="76" t="str">
        <f>IF($O$38="нет","без дифференциации",IF($R$38=0,"",$R$38))</f>
        <v/>
      </c>
      <c r="AM38" s="76" t="str">
        <f>IF($S$38="нет","без дифференциации",IF($V$38=0,"",$V$38))</f>
        <v/>
      </c>
      <c r="AN38" s="84">
        <f>$I$38</f>
        <v>0</v>
      </c>
      <c r="AO38" s="76" t="str">
        <f>$I$38&amp;"."&amp;$M$38</f>
        <v>.</v>
      </c>
      <c r="AP38" s="59" t="str">
        <f>$I$38&amp;"."&amp;$M$38&amp;"."&amp;$Q$38</f>
        <v>..</v>
      </c>
      <c r="AQ38" s="59" t="str">
        <f>$I$38&amp;"."&amp;$M$38&amp;"."&amp;$Q$38&amp;"."&amp;$U$38</f>
        <v>...</v>
      </c>
      <c r="AR38" s="50">
        <v>0</v>
      </c>
    </row>
    <row r="39" spans="4:44" ht="17.25" hidden="1" customHeight="1">
      <c r="D39" s="910"/>
      <c r="E39" s="903"/>
      <c r="F39" s="913"/>
      <c r="G39" s="903"/>
      <c r="H39" s="906"/>
      <c r="I39" s="885"/>
      <c r="J39" s="885"/>
      <c r="K39" s="885"/>
      <c r="L39" s="885"/>
      <c r="M39" s="885"/>
      <c r="N39" s="885"/>
      <c r="O39" s="885"/>
      <c r="P39" s="885"/>
      <c r="Q39" s="885"/>
      <c r="R39" s="885"/>
      <c r="S39" s="885"/>
      <c r="W39" s="78"/>
      <c r="AR39" s="50">
        <v>0</v>
      </c>
    </row>
    <row r="40" spans="4:44" ht="17.25" hidden="1" customHeight="1">
      <c r="D40" s="911"/>
      <c r="E40" s="904"/>
      <c r="F40" s="913"/>
      <c r="G40" s="904"/>
      <c r="H40" s="906"/>
      <c r="I40" s="885"/>
      <c r="J40" s="885"/>
      <c r="K40" s="885"/>
      <c r="L40" s="885"/>
      <c r="M40" s="885"/>
      <c r="N40" s="885"/>
      <c r="O40" s="885"/>
      <c r="W40" s="78"/>
      <c r="AR40" s="50">
        <v>0</v>
      </c>
    </row>
    <row r="41" spans="4:44" ht="17.25" hidden="1" customHeight="1">
      <c r="D41" s="911"/>
      <c r="E41" s="904"/>
      <c r="F41" s="913"/>
      <c r="G41" s="904"/>
      <c r="H41" s="906"/>
      <c r="I41" s="885"/>
      <c r="J41" s="885"/>
      <c r="K41" s="885"/>
      <c r="W41" s="78"/>
      <c r="AR41" s="50">
        <v>0</v>
      </c>
    </row>
    <row r="42" spans="4:44" ht="17.25" hidden="1" customHeight="1">
      <c r="D42" s="911"/>
      <c r="E42" s="904"/>
      <c r="F42" s="914"/>
      <c r="G42" s="904"/>
      <c r="H42" s="80"/>
      <c r="I42" s="81"/>
      <c r="J42" s="81"/>
      <c r="K42" s="81"/>
      <c r="L42" s="81"/>
      <c r="M42" s="81"/>
      <c r="N42" s="81"/>
      <c r="O42" s="81"/>
      <c r="P42" s="81"/>
      <c r="Q42" s="81"/>
      <c r="R42" s="81"/>
      <c r="S42" s="82"/>
      <c r="T42" s="82"/>
      <c r="U42" s="82"/>
      <c r="V42" s="82"/>
      <c r="W42" s="83"/>
      <c r="AR42" s="50">
        <v>0</v>
      </c>
    </row>
    <row r="43" spans="4:44" ht="17.25" hidden="1" customHeight="1">
      <c r="D43" s="910">
        <v>6</v>
      </c>
      <c r="E43" s="903" t="s">
        <v>109</v>
      </c>
      <c r="F43" s="912" t="s">
        <v>3</v>
      </c>
      <c r="G43" s="903"/>
      <c r="H43" s="905"/>
      <c r="I43" s="907"/>
      <c r="J43" s="908"/>
      <c r="K43" s="902"/>
      <c r="L43" s="902"/>
      <c r="M43" s="902"/>
      <c r="N43" s="909"/>
      <c r="O43" s="902"/>
      <c r="P43" s="902"/>
      <c r="Q43" s="902"/>
      <c r="R43" s="901"/>
      <c r="S43" s="902"/>
      <c r="T43" s="73"/>
      <c r="U43" s="73"/>
      <c r="V43" s="74"/>
      <c r="W43" s="75"/>
      <c r="AC43" s="76" t="s">
        <v>110</v>
      </c>
      <c r="AD43" s="76" t="s">
        <v>111</v>
      </c>
      <c r="AE43" s="76" t="s">
        <v>112</v>
      </c>
      <c r="AF43" s="76" t="s">
        <v>113</v>
      </c>
      <c r="AG43" s="76" t="s">
        <v>114</v>
      </c>
      <c r="AH43" s="76" t="str">
        <f>IF($E$43=0,"",$E$43)</f>
        <v>Тарифы на услуги по передаче теплоносителя</v>
      </c>
      <c r="AI43" s="76" t="str">
        <f>IF($G$43=0,"",$G$43)</f>
        <v/>
      </c>
      <c r="AJ43" s="76" t="str">
        <f>IF($J$43=0,"",$J$43)</f>
        <v/>
      </c>
      <c r="AK43" s="76" t="str">
        <f>IF($K$43="нет","без дифференциации",IF($N$43=0,"",$N$43))</f>
        <v/>
      </c>
      <c r="AL43" s="76" t="str">
        <f>IF($O$43="нет","без дифференциации",IF($R$43=0,"",$R$43))</f>
        <v/>
      </c>
      <c r="AM43" s="76" t="str">
        <f>IF($S$43="нет","без дифференциации",IF($V$43=0,"",$V$43))</f>
        <v/>
      </c>
      <c r="AN43" s="84">
        <f>$I$43</f>
        <v>0</v>
      </c>
      <c r="AO43" s="76" t="str">
        <f>$I$43&amp;"."&amp;$M$43</f>
        <v>.</v>
      </c>
      <c r="AP43" s="59" t="str">
        <f>$I$43&amp;"."&amp;$M$43&amp;"."&amp;$Q$43</f>
        <v>..</v>
      </c>
      <c r="AQ43" s="59" t="str">
        <f>$I$43&amp;"."&amp;$M$43&amp;"."&amp;$Q$43&amp;"."&amp;$U$43</f>
        <v>...</v>
      </c>
      <c r="AR43" s="50">
        <v>0</v>
      </c>
    </row>
    <row r="44" spans="4:44" ht="17.25" hidden="1" customHeight="1">
      <c r="D44" s="910"/>
      <c r="E44" s="903"/>
      <c r="F44" s="913"/>
      <c r="G44" s="903"/>
      <c r="H44" s="906"/>
      <c r="I44" s="885"/>
      <c r="J44" s="885"/>
      <c r="K44" s="885"/>
      <c r="L44" s="885"/>
      <c r="M44" s="885"/>
      <c r="N44" s="885"/>
      <c r="O44" s="885"/>
      <c r="P44" s="885"/>
      <c r="Q44" s="885"/>
      <c r="R44" s="885"/>
      <c r="S44" s="885"/>
      <c r="W44" s="78"/>
      <c r="AR44" s="50">
        <v>0</v>
      </c>
    </row>
    <row r="45" spans="4:44" ht="17.25" hidden="1" customHeight="1">
      <c r="D45" s="911"/>
      <c r="E45" s="904"/>
      <c r="F45" s="913"/>
      <c r="G45" s="904"/>
      <c r="H45" s="906"/>
      <c r="I45" s="885"/>
      <c r="J45" s="885"/>
      <c r="K45" s="885"/>
      <c r="L45" s="885"/>
      <c r="M45" s="885"/>
      <c r="N45" s="885"/>
      <c r="O45" s="885"/>
      <c r="W45" s="78"/>
      <c r="AR45" s="50">
        <v>0</v>
      </c>
    </row>
    <row r="46" spans="4:44" ht="17.25" hidden="1" customHeight="1">
      <c r="D46" s="911"/>
      <c r="E46" s="904"/>
      <c r="F46" s="913"/>
      <c r="G46" s="904"/>
      <c r="H46" s="906"/>
      <c r="I46" s="885"/>
      <c r="J46" s="885"/>
      <c r="K46" s="885"/>
      <c r="W46" s="78"/>
      <c r="AR46" s="50">
        <v>0</v>
      </c>
    </row>
    <row r="47" spans="4:44" ht="17.25" hidden="1" customHeight="1">
      <c r="D47" s="911"/>
      <c r="E47" s="904"/>
      <c r="F47" s="914"/>
      <c r="G47" s="904"/>
      <c r="H47" s="80"/>
      <c r="I47" s="81"/>
      <c r="J47" s="81"/>
      <c r="K47" s="81"/>
      <c r="L47" s="81"/>
      <c r="M47" s="81"/>
      <c r="N47" s="81"/>
      <c r="O47" s="81"/>
      <c r="P47" s="81"/>
      <c r="Q47" s="81"/>
      <c r="R47" s="81"/>
      <c r="S47" s="82"/>
      <c r="T47" s="82"/>
      <c r="U47" s="82"/>
      <c r="V47" s="82"/>
      <c r="W47" s="83"/>
      <c r="AR47" s="50">
        <v>0</v>
      </c>
    </row>
    <row r="48" spans="4:44" ht="17.25" hidden="1" customHeight="1">
      <c r="D48" s="917">
        <v>7</v>
      </c>
      <c r="E48" s="920" t="s">
        <v>115</v>
      </c>
      <c r="F48" s="912" t="s">
        <v>3</v>
      </c>
      <c r="G48" s="920"/>
      <c r="H48" s="905"/>
      <c r="I48" s="907"/>
      <c r="J48" s="908"/>
      <c r="K48" s="902"/>
      <c r="L48" s="902"/>
      <c r="M48" s="902"/>
      <c r="N48" s="909"/>
      <c r="O48" s="902"/>
      <c r="P48" s="902"/>
      <c r="Q48" s="902"/>
      <c r="R48" s="901"/>
      <c r="S48" s="902"/>
      <c r="T48" s="73"/>
      <c r="U48" s="73"/>
      <c r="V48" s="74"/>
      <c r="W48" s="75"/>
      <c r="AC48" s="76" t="s">
        <v>116</v>
      </c>
      <c r="AD48" s="76" t="s">
        <v>117</v>
      </c>
      <c r="AE48" s="76" t="s">
        <v>118</v>
      </c>
      <c r="AF48" s="76" t="s">
        <v>119</v>
      </c>
      <c r="AG48" s="76" t="s">
        <v>120</v>
      </c>
      <c r="AH48" s="76" t="str">
        <f>IF($E$48=0,"",$E$48)</f>
        <v>Плата за услуги по поддержанию резервной тепловой мощности при отсутствии потребления тепловой энергии</v>
      </c>
      <c r="AI48" s="76" t="str">
        <f>IF($G$48=0,"",$G$48)</f>
        <v/>
      </c>
      <c r="AJ48" s="76" t="str">
        <f>IF($J$48=0,"",$J$48)</f>
        <v/>
      </c>
      <c r="AK48" s="76" t="str">
        <f>IF($K$48="нет","без дифференциации",IF($N$48=0,"",$N$48))</f>
        <v/>
      </c>
      <c r="AL48" s="76" t="str">
        <f>IF($O$48="нет","без дифференциации",IF($R$48=0,"",$R$48))</f>
        <v/>
      </c>
      <c r="AM48" s="76" t="str">
        <f>IF($S$48="нет","без дифференциации",IF($V$48=0,"",$V$48))</f>
        <v/>
      </c>
      <c r="AN48" s="84">
        <f>$I$48</f>
        <v>0</v>
      </c>
      <c r="AO48" s="76" t="str">
        <f>$I$48&amp;"."&amp;$M$48</f>
        <v>.</v>
      </c>
      <c r="AP48" s="59" t="str">
        <f>$I$48&amp;"."&amp;$M$48&amp;"."&amp;$Q$48</f>
        <v>..</v>
      </c>
      <c r="AQ48" s="59" t="str">
        <f>$I$48&amp;"."&amp;$M$48&amp;"."&amp;$Q$48&amp;"."&amp;$U$48</f>
        <v>...</v>
      </c>
      <c r="AR48" s="50">
        <v>0</v>
      </c>
    </row>
    <row r="49" spans="4:44" ht="17.25" hidden="1" customHeight="1">
      <c r="D49" s="918"/>
      <c r="E49" s="921"/>
      <c r="F49" s="913"/>
      <c r="G49" s="921"/>
      <c r="H49" s="906"/>
      <c r="I49" s="885"/>
      <c r="J49" s="885"/>
      <c r="K49" s="885"/>
      <c r="L49" s="885"/>
      <c r="M49" s="885"/>
      <c r="N49" s="885"/>
      <c r="O49" s="885"/>
      <c r="P49" s="885"/>
      <c r="Q49" s="885"/>
      <c r="R49" s="885"/>
      <c r="S49" s="885"/>
      <c r="W49" s="78"/>
      <c r="AR49" s="50">
        <v>0</v>
      </c>
    </row>
    <row r="50" spans="4:44" ht="17.25" hidden="1" customHeight="1">
      <c r="D50" s="918"/>
      <c r="E50" s="921"/>
      <c r="F50" s="913"/>
      <c r="G50" s="921"/>
      <c r="H50" s="906"/>
      <c r="I50" s="885"/>
      <c r="J50" s="885"/>
      <c r="K50" s="885"/>
      <c r="L50" s="885"/>
      <c r="M50" s="885"/>
      <c r="N50" s="885"/>
      <c r="O50" s="885"/>
      <c r="W50" s="78"/>
      <c r="AR50" s="50">
        <v>0</v>
      </c>
    </row>
    <row r="51" spans="4:44" ht="17.25" hidden="1" customHeight="1">
      <c r="D51" s="918"/>
      <c r="E51" s="921"/>
      <c r="F51" s="913"/>
      <c r="G51" s="921"/>
      <c r="H51" s="906"/>
      <c r="I51" s="885"/>
      <c r="J51" s="885"/>
      <c r="K51" s="885"/>
      <c r="W51" s="78"/>
      <c r="AR51" s="50">
        <v>0</v>
      </c>
    </row>
    <row r="52" spans="4:44" ht="17.25" hidden="1" customHeight="1">
      <c r="D52" s="919"/>
      <c r="E52" s="922"/>
      <c r="F52" s="914"/>
      <c r="G52" s="922"/>
      <c r="H52" s="80"/>
      <c r="I52" s="81"/>
      <c r="J52" s="81"/>
      <c r="K52" s="81"/>
      <c r="L52" s="81"/>
      <c r="M52" s="81"/>
      <c r="N52" s="81"/>
      <c r="O52" s="81"/>
      <c r="P52" s="81"/>
      <c r="Q52" s="81"/>
      <c r="R52" s="81"/>
      <c r="S52" s="82"/>
      <c r="T52" s="82"/>
      <c r="U52" s="82"/>
      <c r="V52" s="82"/>
      <c r="W52" s="83"/>
      <c r="AR52" s="50">
        <v>0</v>
      </c>
    </row>
    <row r="53" spans="4:44" ht="17.25" hidden="1" customHeight="1">
      <c r="D53" s="910">
        <v>8</v>
      </c>
      <c r="E53" s="903" t="s">
        <v>121</v>
      </c>
      <c r="F53" s="912" t="s">
        <v>3</v>
      </c>
      <c r="G53" s="903"/>
      <c r="H53" s="905"/>
      <c r="I53" s="907"/>
      <c r="J53" s="908"/>
      <c r="K53" s="902"/>
      <c r="L53" s="902"/>
      <c r="M53" s="902"/>
      <c r="N53" s="909"/>
      <c r="O53" s="902"/>
      <c r="P53" s="902"/>
      <c r="Q53" s="902"/>
      <c r="R53" s="901"/>
      <c r="S53" s="902"/>
      <c r="T53" s="73"/>
      <c r="U53" s="73"/>
      <c r="V53" s="74"/>
      <c r="W53" s="75"/>
      <c r="AC53" s="76" t="s">
        <v>122</v>
      </c>
      <c r="AD53" s="76" t="s">
        <v>123</v>
      </c>
      <c r="AE53" s="76" t="s">
        <v>124</v>
      </c>
      <c r="AF53" s="76" t="s">
        <v>125</v>
      </c>
      <c r="AG53" s="76" t="s">
        <v>126</v>
      </c>
      <c r="AH53" s="76" t="str">
        <f>IF($E$53=0,"",$E$53)</f>
        <v>Плата за подключение (технологическое присоединение) к системе теплоснабжения</v>
      </c>
      <c r="AI53" s="76" t="str">
        <f>IF($G$53=0,"",$G$53)</f>
        <v/>
      </c>
      <c r="AJ53" s="76" t="str">
        <f>IF($J$53=0,"",$J$53)</f>
        <v/>
      </c>
      <c r="AK53" s="76" t="str">
        <f>IF($K$53="нет","без дифференциации",IF($N$53=0,"",$N$53))</f>
        <v/>
      </c>
      <c r="AL53" s="76" t="str">
        <f>IF($O$53="нет","без дифференциации",IF($R$53=0,"",$R$53))</f>
        <v/>
      </c>
      <c r="AM53" s="76" t="str">
        <f>IF($S$53="нет","без дифференциации",IF($V$53=0,"",$V$53))</f>
        <v/>
      </c>
      <c r="AN53" s="84">
        <f>$I$53</f>
        <v>0</v>
      </c>
      <c r="AO53" s="76" t="str">
        <f>$I$53&amp;"."&amp;$M$53</f>
        <v>.</v>
      </c>
      <c r="AP53" s="59" t="str">
        <f>$I$53&amp;"."&amp;$M$53&amp;"."&amp;$Q$53</f>
        <v>..</v>
      </c>
      <c r="AQ53" s="59" t="str">
        <f>$I$53&amp;"."&amp;$M$53&amp;"."&amp;$Q$53&amp;"."&amp;$U$53</f>
        <v>...</v>
      </c>
      <c r="AR53" s="50">
        <v>0</v>
      </c>
    </row>
    <row r="54" spans="4:44" ht="17.25" hidden="1" customHeight="1">
      <c r="D54" s="910"/>
      <c r="E54" s="903"/>
      <c r="F54" s="913"/>
      <c r="G54" s="903"/>
      <c r="H54" s="906"/>
      <c r="I54" s="885"/>
      <c r="J54" s="885"/>
      <c r="K54" s="885"/>
      <c r="L54" s="885"/>
      <c r="M54" s="885"/>
      <c r="N54" s="885"/>
      <c r="O54" s="885"/>
      <c r="P54" s="885"/>
      <c r="Q54" s="885"/>
      <c r="R54" s="885"/>
      <c r="S54" s="885"/>
      <c r="W54" s="78"/>
      <c r="AR54" s="50">
        <v>0</v>
      </c>
    </row>
    <row r="55" spans="4:44" ht="17.25" hidden="1" customHeight="1">
      <c r="D55" s="911"/>
      <c r="E55" s="904"/>
      <c r="F55" s="913"/>
      <c r="G55" s="904"/>
      <c r="H55" s="906"/>
      <c r="I55" s="885"/>
      <c r="J55" s="885"/>
      <c r="K55" s="885"/>
      <c r="L55" s="885"/>
      <c r="M55" s="885"/>
      <c r="N55" s="885"/>
      <c r="O55" s="885"/>
      <c r="W55" s="78"/>
      <c r="AR55" s="50">
        <v>0</v>
      </c>
    </row>
    <row r="56" spans="4:44" ht="17.25" hidden="1" customHeight="1">
      <c r="D56" s="911"/>
      <c r="E56" s="904"/>
      <c r="F56" s="913"/>
      <c r="G56" s="904"/>
      <c r="H56" s="906"/>
      <c r="I56" s="885"/>
      <c r="J56" s="885"/>
      <c r="K56" s="885"/>
      <c r="W56" s="78"/>
      <c r="AR56" s="50">
        <v>0</v>
      </c>
    </row>
    <row r="57" spans="4:44" ht="17.25" hidden="1" customHeight="1">
      <c r="D57" s="911"/>
      <c r="E57" s="904"/>
      <c r="F57" s="914"/>
      <c r="G57" s="904"/>
      <c r="H57" s="80"/>
      <c r="I57" s="81"/>
      <c r="J57" s="81"/>
      <c r="K57" s="81"/>
      <c r="L57" s="81"/>
      <c r="M57" s="81"/>
      <c r="N57" s="81"/>
      <c r="O57" s="81"/>
      <c r="P57" s="81"/>
      <c r="Q57" s="81"/>
      <c r="R57" s="81"/>
      <c r="S57" s="82"/>
      <c r="T57" s="82"/>
      <c r="U57" s="82"/>
      <c r="V57" s="82"/>
      <c r="W57" s="83"/>
      <c r="AR57" s="50">
        <v>0</v>
      </c>
    </row>
    <row r="58" spans="4:44" ht="17.25" hidden="1" customHeight="1">
      <c r="D58" s="910">
        <v>9</v>
      </c>
      <c r="E58" s="903" t="s">
        <v>127</v>
      </c>
      <c r="F58" s="912" t="s">
        <v>3</v>
      </c>
      <c r="G58" s="903"/>
      <c r="H58" s="905"/>
      <c r="I58" s="907"/>
      <c r="J58" s="908"/>
      <c r="K58" s="902"/>
      <c r="L58" s="902"/>
      <c r="M58" s="902"/>
      <c r="N58" s="909"/>
      <c r="O58" s="902"/>
      <c r="P58" s="902"/>
      <c r="Q58" s="902"/>
      <c r="R58" s="901"/>
      <c r="S58" s="902"/>
      <c r="T58" s="73"/>
      <c r="U58" s="73"/>
      <c r="V58" s="74"/>
      <c r="W58" s="75"/>
      <c r="AC58" s="76" t="s">
        <v>128</v>
      </c>
      <c r="AD58" s="76" t="s">
        <v>129</v>
      </c>
      <c r="AE58" s="76" t="s">
        <v>130</v>
      </c>
      <c r="AF58" s="76" t="s">
        <v>131</v>
      </c>
      <c r="AG58" s="76" t="s">
        <v>132</v>
      </c>
      <c r="AH58" s="76" t="str">
        <f>IF($E$58=0,"",$E$58)</f>
        <v>Плата за подключение (технологическое присоединение) к системе теплоснабжения (индивидуальная)</v>
      </c>
      <c r="AI58" s="76" t="str">
        <f>IF($G$58=0,"",$G$58)</f>
        <v/>
      </c>
      <c r="AJ58" s="76" t="str">
        <f>IF($J$58=0,"",$J$58)</f>
        <v/>
      </c>
      <c r="AK58" s="76" t="str">
        <f>IF($K$58="нет","без дифференциации",IF($N$58=0,"",$N$58))</f>
        <v/>
      </c>
      <c r="AL58" s="76" t="str">
        <f>IF($O$58="нет","без дифференциации",IF($R$58=0,"",$R$58))</f>
        <v/>
      </c>
      <c r="AM58" s="76" t="str">
        <f>IF($S$58="нет","без дифференциации",IF($V$58=0,"",$V$58))</f>
        <v/>
      </c>
      <c r="AN58" s="84">
        <f>$I$58</f>
        <v>0</v>
      </c>
      <c r="AO58" s="76" t="str">
        <f>$I$58&amp;"."&amp;$M$58</f>
        <v>.</v>
      </c>
      <c r="AP58" s="59" t="str">
        <f>$I$58&amp;"."&amp;$M$58&amp;"."&amp;$Q$58</f>
        <v>..</v>
      </c>
      <c r="AQ58" s="59" t="str">
        <f>$I$58&amp;"."&amp;$M$58&amp;"."&amp;$Q$58&amp;"."&amp;$U$58</f>
        <v>...</v>
      </c>
      <c r="AR58" s="50">
        <v>0</v>
      </c>
    </row>
    <row r="59" spans="4:44" ht="17.25" hidden="1" customHeight="1">
      <c r="D59" s="910"/>
      <c r="E59" s="903"/>
      <c r="F59" s="913"/>
      <c r="G59" s="903"/>
      <c r="H59" s="906"/>
      <c r="I59" s="885"/>
      <c r="J59" s="885"/>
      <c r="K59" s="885"/>
      <c r="L59" s="885"/>
      <c r="M59" s="885"/>
      <c r="N59" s="885"/>
      <c r="O59" s="885"/>
      <c r="P59" s="885"/>
      <c r="Q59" s="885"/>
      <c r="R59" s="885"/>
      <c r="S59" s="885"/>
      <c r="W59" s="78"/>
      <c r="AR59" s="50">
        <v>0</v>
      </c>
    </row>
    <row r="60" spans="4:44" ht="17.25" hidden="1" customHeight="1">
      <c r="D60" s="911"/>
      <c r="E60" s="904"/>
      <c r="F60" s="913"/>
      <c r="G60" s="904"/>
      <c r="H60" s="906"/>
      <c r="I60" s="885"/>
      <c r="J60" s="885"/>
      <c r="K60" s="885"/>
      <c r="L60" s="885"/>
      <c r="M60" s="885"/>
      <c r="N60" s="885"/>
      <c r="O60" s="885"/>
      <c r="W60" s="78"/>
      <c r="AR60" s="50">
        <v>0</v>
      </c>
    </row>
    <row r="61" spans="4:44" ht="17.25" hidden="1" customHeight="1">
      <c r="D61" s="911"/>
      <c r="E61" s="904"/>
      <c r="F61" s="913"/>
      <c r="G61" s="904"/>
      <c r="H61" s="906"/>
      <c r="I61" s="885"/>
      <c r="J61" s="885"/>
      <c r="K61" s="885"/>
      <c r="W61" s="78"/>
      <c r="AR61" s="50">
        <v>0</v>
      </c>
    </row>
    <row r="62" spans="4:44" ht="17.25" hidden="1" customHeight="1">
      <c r="D62" s="911"/>
      <c r="E62" s="904"/>
      <c r="F62" s="914"/>
      <c r="G62" s="904"/>
      <c r="H62" s="80"/>
      <c r="I62" s="81"/>
      <c r="J62" s="81"/>
      <c r="K62" s="81"/>
      <c r="L62" s="81"/>
      <c r="M62" s="81"/>
      <c r="N62" s="81"/>
      <c r="O62" s="81"/>
      <c r="P62" s="81"/>
      <c r="Q62" s="81"/>
      <c r="R62" s="81"/>
      <c r="S62" s="82"/>
      <c r="T62" s="82"/>
      <c r="U62" s="82"/>
      <c r="V62" s="82"/>
      <c r="W62" s="83"/>
      <c r="AR62" s="50">
        <v>0</v>
      </c>
    </row>
    <row r="63" spans="4:44" ht="17.25" hidden="1" customHeight="1">
      <c r="D63" s="910">
        <v>10</v>
      </c>
      <c r="E63" s="903" t="s">
        <v>133</v>
      </c>
      <c r="F63" s="912" t="s">
        <v>3</v>
      </c>
      <c r="G63" s="903"/>
      <c r="H63" s="905"/>
      <c r="I63" s="907"/>
      <c r="J63" s="908"/>
      <c r="K63" s="902"/>
      <c r="L63" s="902"/>
      <c r="M63" s="902"/>
      <c r="N63" s="909"/>
      <c r="O63" s="902"/>
      <c r="P63" s="902"/>
      <c r="Q63" s="902"/>
      <c r="R63" s="901"/>
      <c r="S63" s="902"/>
      <c r="T63" s="73"/>
      <c r="U63" s="73"/>
      <c r="V63" s="74"/>
      <c r="W63" s="75"/>
      <c r="AC63" s="76" t="s">
        <v>134</v>
      </c>
      <c r="AD63" s="76" t="s">
        <v>135</v>
      </c>
      <c r="AE63" s="76" t="s">
        <v>136</v>
      </c>
      <c r="AF63" s="76" t="s">
        <v>137</v>
      </c>
      <c r="AG63" s="76" t="s">
        <v>138</v>
      </c>
      <c r="AH63" s="76" t="str">
        <f>IF($E$63=0,"",$E$63)</f>
        <v>Предельный уровень цены на тепловую энергию (мощность), поставляемую теплоснабжающими организациями потребителям</v>
      </c>
      <c r="AI63" s="76" t="str">
        <f>IF($G$63=0,"",$G$63)</f>
        <v/>
      </c>
      <c r="AJ63" s="76" t="str">
        <f>IF($J$63=0,"",$J$63)</f>
        <v/>
      </c>
      <c r="AK63" s="76" t="str">
        <f>IF($K$63="нет","без дифференциации",IF($N$63=0,"",$N$63))</f>
        <v/>
      </c>
      <c r="AL63" s="76" t="str">
        <f>IF($O$63="нет","без дифференциации",IF($R$63=0,"",$R$63))</f>
        <v/>
      </c>
      <c r="AM63" s="76" t="str">
        <f>IF($S$63="нет","без дифференциации",IF($V$63=0,"",$V$63))</f>
        <v/>
      </c>
      <c r="AN63" s="84">
        <f>$I$63</f>
        <v>0</v>
      </c>
      <c r="AO63" s="76" t="str">
        <f>$I$63&amp;"."&amp;$M$63</f>
        <v>.</v>
      </c>
      <c r="AP63" s="59" t="str">
        <f>$I$63&amp;"."&amp;$M$63&amp;"."&amp;$Q$63</f>
        <v>..</v>
      </c>
      <c r="AQ63" s="59" t="str">
        <f>$I$63&amp;"."&amp;$M$63&amp;"."&amp;$Q$63&amp;"."&amp;$U$63</f>
        <v>...</v>
      </c>
      <c r="AR63" s="50">
        <v>0</v>
      </c>
    </row>
    <row r="64" spans="4:44" ht="17.25" hidden="1" customHeight="1">
      <c r="D64" s="910"/>
      <c r="E64" s="903"/>
      <c r="F64" s="913"/>
      <c r="G64" s="903"/>
      <c r="H64" s="906"/>
      <c r="I64" s="885"/>
      <c r="J64" s="885"/>
      <c r="K64" s="885"/>
      <c r="L64" s="885"/>
      <c r="M64" s="885"/>
      <c r="N64" s="885"/>
      <c r="O64" s="885"/>
      <c r="P64" s="885"/>
      <c r="Q64" s="885"/>
      <c r="R64" s="885"/>
      <c r="S64" s="885"/>
      <c r="W64" s="78"/>
      <c r="AR64" s="50">
        <v>0</v>
      </c>
    </row>
    <row r="65" spans="4:44" ht="17.25" hidden="1" customHeight="1">
      <c r="D65" s="911"/>
      <c r="E65" s="904"/>
      <c r="F65" s="913"/>
      <c r="G65" s="904"/>
      <c r="H65" s="906"/>
      <c r="I65" s="885"/>
      <c r="J65" s="885"/>
      <c r="K65" s="885"/>
      <c r="L65" s="885"/>
      <c r="M65" s="885"/>
      <c r="N65" s="885"/>
      <c r="O65" s="885"/>
      <c r="W65" s="78"/>
      <c r="AR65" s="50">
        <v>0</v>
      </c>
    </row>
    <row r="66" spans="4:44" ht="17.25" hidden="1" customHeight="1">
      <c r="D66" s="911"/>
      <c r="E66" s="904"/>
      <c r="F66" s="913"/>
      <c r="G66" s="904"/>
      <c r="H66" s="906"/>
      <c r="I66" s="885"/>
      <c r="J66" s="885"/>
      <c r="K66" s="885"/>
      <c r="W66" s="78"/>
      <c r="AR66" s="50">
        <v>0</v>
      </c>
    </row>
    <row r="67" spans="4:44" ht="17.25" hidden="1" customHeight="1">
      <c r="D67" s="911"/>
      <c r="E67" s="904"/>
      <c r="F67" s="914"/>
      <c r="G67" s="904"/>
      <c r="H67" s="80"/>
      <c r="I67" s="81"/>
      <c r="J67" s="81"/>
      <c r="K67" s="81"/>
      <c r="L67" s="81"/>
      <c r="M67" s="81"/>
      <c r="N67" s="81"/>
      <c r="O67" s="81"/>
      <c r="P67" s="81"/>
      <c r="Q67" s="81"/>
      <c r="R67" s="81"/>
      <c r="S67" s="82"/>
      <c r="T67" s="82"/>
      <c r="U67" s="82"/>
      <c r="V67" s="82"/>
      <c r="W67" s="83"/>
      <c r="AR67" s="50">
        <v>0</v>
      </c>
    </row>
    <row r="68" spans="4:44" ht="11.25" hidden="1" customHeight="1">
      <c r="AR68" s="50">
        <v>0</v>
      </c>
    </row>
    <row r="69" spans="4:44" ht="11.25" hidden="1" customHeight="1">
      <c r="E69" s="916" t="s">
        <v>139</v>
      </c>
      <c r="F69" s="885"/>
      <c r="G69" s="885"/>
      <c r="H69" s="885"/>
      <c r="I69" s="885"/>
      <c r="J69" s="885"/>
      <c r="K69" s="885"/>
      <c r="L69" s="885"/>
      <c r="M69" s="885"/>
      <c r="N69" s="885"/>
      <c r="O69" s="885"/>
      <c r="P69" s="885"/>
      <c r="Q69" s="885"/>
      <c r="R69" s="885"/>
      <c r="S69" s="885"/>
      <c r="T69" s="885"/>
      <c r="U69" s="885"/>
      <c r="V69" s="885"/>
      <c r="W69" s="885"/>
      <c r="AR69" s="50">
        <v>0</v>
      </c>
    </row>
    <row r="70" spans="4:44" ht="36.75" hidden="1" customHeight="1">
      <c r="E70" s="915" t="s">
        <v>140</v>
      </c>
      <c r="F70" s="885"/>
      <c r="G70" s="885"/>
      <c r="H70" s="885"/>
      <c r="I70" s="885"/>
      <c r="J70" s="885"/>
      <c r="K70" s="885"/>
      <c r="L70" s="885"/>
      <c r="M70" s="885"/>
      <c r="N70" s="885"/>
      <c r="O70" s="885"/>
      <c r="P70" s="885"/>
      <c r="Q70" s="885"/>
      <c r="R70" s="885"/>
      <c r="S70" s="885"/>
      <c r="T70" s="885"/>
      <c r="U70" s="885"/>
      <c r="V70" s="885"/>
      <c r="W70" s="885"/>
      <c r="AR70" s="50">
        <v>0</v>
      </c>
    </row>
    <row r="71" spans="4:44" ht="28.5" hidden="1" customHeight="1">
      <c r="E71" s="915" t="s">
        <v>141</v>
      </c>
      <c r="F71" s="885"/>
      <c r="G71" s="885"/>
      <c r="H71" s="885"/>
      <c r="I71" s="885"/>
      <c r="J71" s="885"/>
      <c r="K71" s="885"/>
      <c r="L71" s="885"/>
      <c r="M71" s="885"/>
      <c r="N71" s="885"/>
      <c r="O71" s="885"/>
      <c r="P71" s="885"/>
      <c r="Q71" s="885"/>
      <c r="R71" s="885"/>
      <c r="S71" s="885"/>
      <c r="T71" s="885"/>
      <c r="U71" s="885"/>
      <c r="V71" s="885"/>
      <c r="W71" s="885"/>
      <c r="AR71" s="50">
        <v>0</v>
      </c>
    </row>
    <row r="72" spans="4:44" ht="27" hidden="1" customHeight="1">
      <c r="E72" s="915" t="s">
        <v>142</v>
      </c>
      <c r="F72" s="885"/>
      <c r="G72" s="885"/>
      <c r="H72" s="885"/>
      <c r="I72" s="885"/>
      <c r="J72" s="885"/>
      <c r="K72" s="885"/>
      <c r="L72" s="885"/>
      <c r="M72" s="885"/>
      <c r="N72" s="885"/>
      <c r="O72" s="885"/>
      <c r="P72" s="885"/>
      <c r="Q72" s="885"/>
      <c r="R72" s="885"/>
      <c r="S72" s="885"/>
      <c r="T72" s="885"/>
      <c r="U72" s="885"/>
      <c r="V72" s="885"/>
      <c r="W72" s="885"/>
      <c r="AR72" s="50">
        <v>0</v>
      </c>
    </row>
    <row r="73" spans="4:44" ht="17.25" hidden="1" customHeight="1">
      <c r="E73" s="915" t="s">
        <v>143</v>
      </c>
      <c r="F73" s="885"/>
      <c r="G73" s="885"/>
      <c r="H73" s="885"/>
      <c r="I73" s="885"/>
      <c r="J73" s="885"/>
      <c r="K73" s="885"/>
      <c r="L73" s="885"/>
      <c r="M73" s="885"/>
      <c r="N73" s="885"/>
      <c r="O73" s="885"/>
      <c r="P73" s="885"/>
      <c r="Q73" s="885"/>
      <c r="R73" s="885"/>
      <c r="S73" s="885"/>
      <c r="T73" s="885"/>
      <c r="U73" s="885"/>
      <c r="V73" s="885"/>
      <c r="W73" s="885"/>
      <c r="AR73" s="50">
        <v>0</v>
      </c>
    </row>
    <row r="74" spans="4:44" ht="15" hidden="1" customHeight="1">
      <c r="AR74" s="50">
        <v>0</v>
      </c>
    </row>
    <row r="75" spans="4:44" ht="15" hidden="1" customHeight="1">
      <c r="E75" s="916" t="s">
        <v>144</v>
      </c>
      <c r="F75" s="885"/>
      <c r="G75" s="885"/>
      <c r="H75" s="885"/>
      <c r="I75" s="885"/>
      <c r="J75" s="885"/>
      <c r="K75" s="885"/>
      <c r="L75" s="885"/>
      <c r="M75" s="885"/>
      <c r="N75" s="885"/>
      <c r="O75" s="885"/>
      <c r="P75" s="885"/>
      <c r="Q75" s="885"/>
      <c r="R75" s="885"/>
      <c r="S75" s="885"/>
      <c r="T75" s="885"/>
      <c r="U75" s="885"/>
      <c r="V75" s="885"/>
      <c r="W75" s="885"/>
      <c r="AR75" s="50">
        <v>0</v>
      </c>
    </row>
    <row r="76" spans="4:44" ht="17.25" hidden="1" customHeight="1">
      <c r="E76" s="915" t="s">
        <v>145</v>
      </c>
      <c r="F76" s="885"/>
      <c r="G76" s="885"/>
      <c r="H76" s="885"/>
      <c r="I76" s="885"/>
      <c r="J76" s="885"/>
      <c r="K76" s="885"/>
      <c r="L76" s="885"/>
      <c r="M76" s="885"/>
      <c r="N76" s="885"/>
      <c r="O76" s="885"/>
      <c r="P76" s="885"/>
      <c r="Q76" s="885"/>
      <c r="R76" s="885"/>
      <c r="S76" s="885"/>
      <c r="T76" s="885"/>
      <c r="U76" s="885"/>
      <c r="V76" s="885"/>
      <c r="W76" s="885"/>
      <c r="AR76" s="50">
        <v>0</v>
      </c>
    </row>
    <row r="77" spans="4:44" ht="17.25" hidden="1" customHeight="1">
      <c r="E77" s="915" t="s">
        <v>146</v>
      </c>
      <c r="F77" s="885"/>
      <c r="G77" s="885"/>
      <c r="H77" s="885"/>
      <c r="I77" s="885"/>
      <c r="J77" s="885"/>
      <c r="K77" s="885"/>
      <c r="L77" s="885"/>
      <c r="M77" s="885"/>
      <c r="N77" s="885"/>
      <c r="O77" s="885"/>
      <c r="P77" s="885"/>
      <c r="Q77" s="885"/>
      <c r="R77" s="885"/>
      <c r="S77" s="885"/>
      <c r="T77" s="885"/>
      <c r="U77" s="885"/>
      <c r="V77" s="885"/>
      <c r="W77" s="885"/>
      <c r="AR77" s="50">
        <v>0</v>
      </c>
    </row>
    <row r="78" spans="4:44" ht="11.25" hidden="1" customHeight="1">
      <c r="AR78" s="50">
        <v>0</v>
      </c>
    </row>
    <row r="79" spans="4:44" ht="17.25" hidden="1" customHeight="1">
      <c r="D79" s="910">
        <v>1</v>
      </c>
      <c r="E79" s="903" t="s">
        <v>147</v>
      </c>
      <c r="F79" s="912" t="s">
        <v>3</v>
      </c>
      <c r="G79" s="903"/>
      <c r="H79" s="905"/>
      <c r="I79" s="907"/>
      <c r="J79" s="908"/>
      <c r="K79" s="902"/>
      <c r="L79" s="902"/>
      <c r="M79" s="902"/>
      <c r="N79" s="909"/>
      <c r="O79" s="902"/>
      <c r="P79" s="902"/>
      <c r="Q79" s="902"/>
      <c r="R79" s="901"/>
      <c r="S79" s="902"/>
      <c r="T79" s="73"/>
      <c r="U79" s="73"/>
      <c r="V79" s="74"/>
      <c r="W79" s="75"/>
      <c r="AC79" s="76" t="s">
        <v>148</v>
      </c>
      <c r="AD79" s="76" t="s">
        <v>149</v>
      </c>
      <c r="AE79" s="76" t="s">
        <v>150</v>
      </c>
      <c r="AF79" s="76" t="s">
        <v>151</v>
      </c>
      <c r="AH79" s="76" t="str">
        <f>IF($E$79=0,"",$E$79)</f>
        <v>Тариф на питьевую воду (питьевое водоснабжение)</v>
      </c>
      <c r="AI79" s="76" t="str">
        <f>IF($G$79=0,"",$G$79)</f>
        <v/>
      </c>
      <c r="AJ79" s="76" t="str">
        <f>IF($J$79=0,"",$J$79)</f>
        <v/>
      </c>
      <c r="AK79" s="76" t="str">
        <f>IF($K$79="нет","без дифференциации",IF($N$79=0,"",$N$79))</f>
        <v/>
      </c>
      <c r="AL79" s="76" t="str">
        <f>IF($O$79="нет","без дифференциации",IF($R$79=0,"",$R$79))</f>
        <v/>
      </c>
      <c r="AM79" s="76" t="str">
        <f>IF($S$79="нет","без дифференциации",IF($V$79=0,"",$V$79))</f>
        <v/>
      </c>
      <c r="AN79" s="76">
        <f>$I$79</f>
        <v>0</v>
      </c>
      <c r="AO79" s="76" t="str">
        <f>$I$79&amp;"."&amp;$M$79</f>
        <v>.</v>
      </c>
      <c r="AP79" s="76" t="str">
        <f>$I$79&amp;"."&amp;$M$79&amp;"."&amp;$Q$79</f>
        <v>..</v>
      </c>
      <c r="AQ79" s="76" t="str">
        <f>$I$79&amp;"."&amp;$M$79&amp;"."&amp;$Q$79&amp;"."&amp;$U$79</f>
        <v>...</v>
      </c>
      <c r="AR79" s="50">
        <v>0</v>
      </c>
    </row>
    <row r="80" spans="4:44" ht="17.25" hidden="1" customHeight="1">
      <c r="D80" s="910"/>
      <c r="E80" s="903"/>
      <c r="F80" s="913"/>
      <c r="G80" s="903"/>
      <c r="H80" s="906"/>
      <c r="I80" s="885"/>
      <c r="J80" s="885"/>
      <c r="K80" s="885"/>
      <c r="L80" s="885"/>
      <c r="M80" s="885"/>
      <c r="N80" s="885"/>
      <c r="O80" s="885"/>
      <c r="P80" s="885"/>
      <c r="Q80" s="885"/>
      <c r="R80" s="885"/>
      <c r="S80" s="885"/>
      <c r="W80" s="78"/>
      <c r="AR80" s="50">
        <v>0</v>
      </c>
    </row>
    <row r="81" spans="4:44" ht="17.25" hidden="1" customHeight="1">
      <c r="D81" s="910"/>
      <c r="E81" s="903"/>
      <c r="F81" s="913"/>
      <c r="G81" s="903"/>
      <c r="H81" s="906"/>
      <c r="I81" s="885"/>
      <c r="J81" s="885"/>
      <c r="K81" s="885"/>
      <c r="L81" s="885"/>
      <c r="M81" s="885"/>
      <c r="N81" s="885"/>
      <c r="O81" s="885"/>
      <c r="W81" s="78"/>
      <c r="AR81" s="50">
        <v>0</v>
      </c>
    </row>
    <row r="82" spans="4:44" ht="17.25" hidden="1" customHeight="1">
      <c r="D82" s="910"/>
      <c r="E82" s="903"/>
      <c r="F82" s="913"/>
      <c r="G82" s="903"/>
      <c r="H82" s="906"/>
      <c r="I82" s="885"/>
      <c r="J82" s="885"/>
      <c r="K82" s="885"/>
      <c r="W82" s="78"/>
      <c r="AR82" s="50">
        <v>0</v>
      </c>
    </row>
    <row r="83" spans="4:44" ht="17.25" hidden="1" customHeight="1">
      <c r="D83" s="911"/>
      <c r="E83" s="904"/>
      <c r="F83" s="914"/>
      <c r="G83" s="904"/>
      <c r="H83" s="80"/>
      <c r="I83" s="81"/>
      <c r="J83" s="81"/>
      <c r="K83" s="81"/>
      <c r="L83" s="81"/>
      <c r="M83" s="81"/>
      <c r="N83" s="81"/>
      <c r="O83" s="81"/>
      <c r="P83" s="81"/>
      <c r="Q83" s="81"/>
      <c r="R83" s="81"/>
      <c r="S83" s="82"/>
      <c r="T83" s="82"/>
      <c r="U83" s="82"/>
      <c r="V83" s="82"/>
      <c r="W83" s="83"/>
      <c r="AR83" s="50">
        <v>0</v>
      </c>
    </row>
    <row r="84" spans="4:44" ht="17.25" hidden="1" customHeight="1">
      <c r="D84" s="910">
        <v>2</v>
      </c>
      <c r="E84" s="903" t="s">
        <v>152</v>
      </c>
      <c r="F84" s="912" t="s">
        <v>3</v>
      </c>
      <c r="G84" s="903"/>
      <c r="H84" s="905"/>
      <c r="I84" s="907"/>
      <c r="J84" s="908"/>
      <c r="K84" s="902"/>
      <c r="L84" s="902"/>
      <c r="M84" s="902"/>
      <c r="N84" s="909"/>
      <c r="O84" s="902"/>
      <c r="P84" s="902"/>
      <c r="Q84" s="902"/>
      <c r="R84" s="901"/>
      <c r="S84" s="902"/>
      <c r="T84" s="73"/>
      <c r="U84" s="73"/>
      <c r="V84" s="74"/>
      <c r="W84" s="75"/>
      <c r="AC84" s="76" t="s">
        <v>153</v>
      </c>
      <c r="AD84" s="76" t="s">
        <v>154</v>
      </c>
      <c r="AE84" s="76" t="s">
        <v>155</v>
      </c>
      <c r="AF84" s="76" t="s">
        <v>156</v>
      </c>
      <c r="AH84" s="76" t="str">
        <f>IF($E$84=0,"",$E$84)</f>
        <v>Тариф на техническую воду</v>
      </c>
      <c r="AI84" s="76" t="str">
        <f>IF($G$84=0,"",$G$84)</f>
        <v/>
      </c>
      <c r="AJ84" s="76" t="str">
        <f>IF($J$84=0,"",$J$84)</f>
        <v/>
      </c>
      <c r="AK84" s="76" t="str">
        <f>IF($K$84="нет","без дифференциации",IF($N$84=0,"",$N$84))</f>
        <v/>
      </c>
      <c r="AL84" s="76" t="str">
        <f>IF($O$84="нет","без дифференциации",IF($R$84=0,"",$R$84))</f>
        <v/>
      </c>
      <c r="AM84" s="76" t="str">
        <f>IF($S$84="нет","без дифференциации",IF($V$84=0,"",$V$84))</f>
        <v/>
      </c>
      <c r="AN84" s="84">
        <f>$I$84</f>
        <v>0</v>
      </c>
      <c r="AO84" s="76" t="str">
        <f>$I$84&amp;"."&amp;$M$84</f>
        <v>.</v>
      </c>
      <c r="AP84" s="59" t="str">
        <f>$I$84&amp;"."&amp;$M$84&amp;"."&amp;$Q$84</f>
        <v>..</v>
      </c>
      <c r="AQ84" s="59" t="str">
        <f>$I$84&amp;"."&amp;$M$84&amp;"."&amp;$Q$84&amp;"."&amp;$U$84</f>
        <v>...</v>
      </c>
      <c r="AR84" s="50">
        <v>0</v>
      </c>
    </row>
    <row r="85" spans="4:44" ht="17.25" hidden="1" customHeight="1">
      <c r="D85" s="910"/>
      <c r="E85" s="903"/>
      <c r="F85" s="913"/>
      <c r="G85" s="903"/>
      <c r="H85" s="906"/>
      <c r="I85" s="885"/>
      <c r="J85" s="885"/>
      <c r="K85" s="885"/>
      <c r="L85" s="885"/>
      <c r="M85" s="885"/>
      <c r="N85" s="885"/>
      <c r="O85" s="885"/>
      <c r="P85" s="885"/>
      <c r="Q85" s="885"/>
      <c r="R85" s="885"/>
      <c r="S85" s="885"/>
      <c r="W85" s="78"/>
      <c r="AR85" s="50">
        <v>0</v>
      </c>
    </row>
    <row r="86" spans="4:44" ht="17.25" hidden="1" customHeight="1">
      <c r="D86" s="911"/>
      <c r="E86" s="904"/>
      <c r="F86" s="913"/>
      <c r="G86" s="904"/>
      <c r="H86" s="906"/>
      <c r="I86" s="885"/>
      <c r="J86" s="885"/>
      <c r="K86" s="885"/>
      <c r="L86" s="885"/>
      <c r="M86" s="885"/>
      <c r="N86" s="885"/>
      <c r="O86" s="885"/>
      <c r="W86" s="78"/>
      <c r="AR86" s="50">
        <v>0</v>
      </c>
    </row>
    <row r="87" spans="4:44" ht="17.25" hidden="1" customHeight="1">
      <c r="D87" s="911"/>
      <c r="E87" s="904"/>
      <c r="F87" s="913"/>
      <c r="G87" s="904"/>
      <c r="H87" s="906"/>
      <c r="I87" s="885"/>
      <c r="J87" s="885"/>
      <c r="K87" s="885"/>
      <c r="W87" s="78"/>
      <c r="AR87" s="50">
        <v>0</v>
      </c>
    </row>
    <row r="88" spans="4:44" ht="17.25" hidden="1" customHeight="1">
      <c r="D88" s="911"/>
      <c r="E88" s="904"/>
      <c r="F88" s="914"/>
      <c r="G88" s="904"/>
      <c r="H88" s="80"/>
      <c r="I88" s="81"/>
      <c r="J88" s="81"/>
      <c r="K88" s="81"/>
      <c r="L88" s="81"/>
      <c r="M88" s="81"/>
      <c r="N88" s="81"/>
      <c r="O88" s="81"/>
      <c r="P88" s="81"/>
      <c r="Q88" s="81"/>
      <c r="R88" s="81"/>
      <c r="S88" s="82"/>
      <c r="T88" s="82"/>
      <c r="U88" s="82"/>
      <c r="V88" s="82"/>
      <c r="W88" s="83"/>
      <c r="AR88" s="50">
        <v>0</v>
      </c>
    </row>
    <row r="89" spans="4:44" ht="17.25" hidden="1" customHeight="1">
      <c r="D89" s="910">
        <v>3</v>
      </c>
      <c r="E89" s="903" t="s">
        <v>157</v>
      </c>
      <c r="F89" s="912" t="s">
        <v>3</v>
      </c>
      <c r="G89" s="903"/>
      <c r="H89" s="905"/>
      <c r="I89" s="907"/>
      <c r="J89" s="908"/>
      <c r="K89" s="902"/>
      <c r="L89" s="902"/>
      <c r="M89" s="902"/>
      <c r="N89" s="909"/>
      <c r="O89" s="902"/>
      <c r="P89" s="902"/>
      <c r="Q89" s="902"/>
      <c r="R89" s="901"/>
      <c r="S89" s="902"/>
      <c r="T89" s="73"/>
      <c r="U89" s="73"/>
      <c r="V89" s="74"/>
      <c r="W89" s="75"/>
      <c r="AC89" s="76" t="s">
        <v>158</v>
      </c>
      <c r="AD89" s="76" t="s">
        <v>159</v>
      </c>
      <c r="AE89" s="76" t="s">
        <v>160</v>
      </c>
      <c r="AF89" s="76" t="s">
        <v>161</v>
      </c>
      <c r="AH89" s="76" t="str">
        <f>IF($E$89=0,"",$E$89)</f>
        <v>Тариф на транспортировку воды</v>
      </c>
      <c r="AI89" s="76" t="str">
        <f>IF($G$89=0,"",$G$89)</f>
        <v/>
      </c>
      <c r="AJ89" s="76" t="str">
        <f>IF($J$89=0,"",$J$89)</f>
        <v/>
      </c>
      <c r="AK89" s="76" t="str">
        <f>IF($K$89="нет","без дифференциации",IF($N$89=0,"",$N$89))</f>
        <v/>
      </c>
      <c r="AL89" s="76" t="str">
        <f>IF($O$89="нет","без дифференциации",IF($R$89=0,"",$R$89))</f>
        <v/>
      </c>
      <c r="AM89" s="76" t="str">
        <f>IF($S$89="нет","без дифференциации",IF($V$89=0,"",$V$89))</f>
        <v/>
      </c>
      <c r="AN89" s="84">
        <f>$I$89</f>
        <v>0</v>
      </c>
      <c r="AO89" s="76" t="str">
        <f>$I$89&amp;"."&amp;$M$89</f>
        <v>.</v>
      </c>
      <c r="AP89" s="59" t="str">
        <f>$I$89&amp;"."&amp;$M$89&amp;"."&amp;$Q$89</f>
        <v>..</v>
      </c>
      <c r="AQ89" s="59" t="str">
        <f>$I$89&amp;"."&amp;$M$89&amp;"."&amp;$Q$89&amp;"."&amp;$U$89</f>
        <v>...</v>
      </c>
      <c r="AR89" s="50">
        <v>0</v>
      </c>
    </row>
    <row r="90" spans="4:44" ht="17.25" hidden="1" customHeight="1">
      <c r="D90" s="910"/>
      <c r="E90" s="903"/>
      <c r="F90" s="913"/>
      <c r="G90" s="903"/>
      <c r="H90" s="906"/>
      <c r="I90" s="885"/>
      <c r="J90" s="885"/>
      <c r="K90" s="885"/>
      <c r="L90" s="885"/>
      <c r="M90" s="885"/>
      <c r="N90" s="885"/>
      <c r="O90" s="885"/>
      <c r="P90" s="885"/>
      <c r="Q90" s="885"/>
      <c r="R90" s="885"/>
      <c r="S90" s="885"/>
      <c r="W90" s="78"/>
      <c r="AR90" s="50">
        <v>0</v>
      </c>
    </row>
    <row r="91" spans="4:44" ht="17.25" hidden="1" customHeight="1">
      <c r="D91" s="911"/>
      <c r="E91" s="904"/>
      <c r="F91" s="913"/>
      <c r="G91" s="904"/>
      <c r="H91" s="906"/>
      <c r="I91" s="885"/>
      <c r="J91" s="885"/>
      <c r="K91" s="885"/>
      <c r="L91" s="885"/>
      <c r="M91" s="885"/>
      <c r="N91" s="885"/>
      <c r="O91" s="885"/>
      <c r="W91" s="78"/>
      <c r="AR91" s="50">
        <v>0</v>
      </c>
    </row>
    <row r="92" spans="4:44" ht="17.25" hidden="1" customHeight="1">
      <c r="D92" s="911"/>
      <c r="E92" s="904"/>
      <c r="F92" s="913"/>
      <c r="G92" s="904"/>
      <c r="H92" s="906"/>
      <c r="I92" s="885"/>
      <c r="J92" s="885"/>
      <c r="K92" s="885"/>
      <c r="W92" s="78"/>
      <c r="AR92" s="50">
        <v>0</v>
      </c>
    </row>
    <row r="93" spans="4:44" ht="17.25" hidden="1" customHeight="1">
      <c r="D93" s="911"/>
      <c r="E93" s="904"/>
      <c r="F93" s="914"/>
      <c r="G93" s="904"/>
      <c r="H93" s="80"/>
      <c r="I93" s="81"/>
      <c r="J93" s="81"/>
      <c r="K93" s="81"/>
      <c r="L93" s="81"/>
      <c r="M93" s="81"/>
      <c r="N93" s="81"/>
      <c r="O93" s="81"/>
      <c r="P93" s="81"/>
      <c r="Q93" s="81"/>
      <c r="R93" s="81"/>
      <c r="S93" s="82"/>
      <c r="T93" s="82"/>
      <c r="U93" s="82"/>
      <c r="V93" s="82"/>
      <c r="W93" s="83"/>
      <c r="AR93" s="50">
        <v>0</v>
      </c>
    </row>
    <row r="94" spans="4:44" ht="17.25" hidden="1" customHeight="1">
      <c r="D94" s="910">
        <v>4</v>
      </c>
      <c r="E94" s="903" t="s">
        <v>162</v>
      </c>
      <c r="F94" s="912" t="s">
        <v>3</v>
      </c>
      <c r="G94" s="903"/>
      <c r="H94" s="905"/>
      <c r="I94" s="907"/>
      <c r="J94" s="908"/>
      <c r="K94" s="902"/>
      <c r="L94" s="902"/>
      <c r="M94" s="902"/>
      <c r="N94" s="909"/>
      <c r="O94" s="902"/>
      <c r="P94" s="902"/>
      <c r="Q94" s="902"/>
      <c r="R94" s="901"/>
      <c r="S94" s="902"/>
      <c r="T94" s="73"/>
      <c r="U94" s="73"/>
      <c r="V94" s="74"/>
      <c r="W94" s="75"/>
      <c r="AC94" s="76" t="s">
        <v>163</v>
      </c>
      <c r="AD94" s="76" t="s">
        <v>164</v>
      </c>
      <c r="AE94" s="76" t="s">
        <v>165</v>
      </c>
      <c r="AF94" s="76" t="s">
        <v>166</v>
      </c>
      <c r="AH94" s="76" t="str">
        <f>IF($E$94=0,"",$E$94)</f>
        <v>Тариф на подвоз воды</v>
      </c>
      <c r="AI94" s="76" t="str">
        <f>IF($G$94=0,"",$G$94)</f>
        <v/>
      </c>
      <c r="AJ94" s="76" t="str">
        <f>IF($J$94=0,"",$J$94)</f>
        <v/>
      </c>
      <c r="AK94" s="76" t="str">
        <f>IF($K$94="нет","без дифференциации",IF($N$94=0,"",$N$94))</f>
        <v/>
      </c>
      <c r="AL94" s="76" t="str">
        <f>IF($O$94="нет","без дифференциации",IF($R$94=0,"",$R$94))</f>
        <v/>
      </c>
      <c r="AM94" s="76" t="str">
        <f>IF($S$94="нет","без дифференциации",IF($V$94=0,"",$V$94))</f>
        <v/>
      </c>
      <c r="AN94" s="84">
        <f>$I$94</f>
        <v>0</v>
      </c>
      <c r="AO94" s="76" t="str">
        <f>$I$94&amp;"."&amp;$M$94</f>
        <v>.</v>
      </c>
      <c r="AP94" s="59" t="str">
        <f>$I$94&amp;"."&amp;$M$94&amp;"."&amp;$Q$94</f>
        <v>..</v>
      </c>
      <c r="AQ94" s="59" t="str">
        <f>$I$94&amp;"."&amp;$M$94&amp;"."&amp;$Q$94&amp;"."&amp;$U$94</f>
        <v>...</v>
      </c>
      <c r="AR94" s="50">
        <v>0</v>
      </c>
    </row>
    <row r="95" spans="4:44" ht="17.25" hidden="1" customHeight="1">
      <c r="D95" s="910"/>
      <c r="E95" s="903"/>
      <c r="F95" s="913"/>
      <c r="G95" s="903"/>
      <c r="H95" s="906"/>
      <c r="I95" s="885"/>
      <c r="J95" s="885"/>
      <c r="K95" s="885"/>
      <c r="L95" s="885"/>
      <c r="M95" s="885"/>
      <c r="N95" s="885"/>
      <c r="O95" s="885"/>
      <c r="P95" s="885"/>
      <c r="Q95" s="885"/>
      <c r="R95" s="885"/>
      <c r="S95" s="885"/>
      <c r="W95" s="78"/>
      <c r="AR95" s="50">
        <v>0</v>
      </c>
    </row>
    <row r="96" spans="4:44" ht="17.25" hidden="1" customHeight="1">
      <c r="D96" s="911"/>
      <c r="E96" s="904"/>
      <c r="F96" s="913"/>
      <c r="G96" s="904"/>
      <c r="H96" s="906"/>
      <c r="I96" s="885"/>
      <c r="J96" s="885"/>
      <c r="K96" s="885"/>
      <c r="L96" s="885"/>
      <c r="M96" s="885"/>
      <c r="N96" s="885"/>
      <c r="O96" s="885"/>
      <c r="W96" s="78"/>
      <c r="AR96" s="50">
        <v>0</v>
      </c>
    </row>
    <row r="97" spans="4:44" ht="17.25" hidden="1" customHeight="1">
      <c r="D97" s="911"/>
      <c r="E97" s="904"/>
      <c r="F97" s="913"/>
      <c r="G97" s="904"/>
      <c r="H97" s="906"/>
      <c r="I97" s="885"/>
      <c r="J97" s="885"/>
      <c r="K97" s="885"/>
      <c r="W97" s="78"/>
      <c r="AR97" s="50">
        <v>0</v>
      </c>
    </row>
    <row r="98" spans="4:44" ht="17.25" hidden="1" customHeight="1">
      <c r="D98" s="911"/>
      <c r="E98" s="904"/>
      <c r="F98" s="914"/>
      <c r="G98" s="904"/>
      <c r="H98" s="80"/>
      <c r="I98" s="81"/>
      <c r="J98" s="81"/>
      <c r="K98" s="81"/>
      <c r="L98" s="81"/>
      <c r="M98" s="81"/>
      <c r="N98" s="81"/>
      <c r="O98" s="81"/>
      <c r="P98" s="81"/>
      <c r="Q98" s="81"/>
      <c r="R98" s="81"/>
      <c r="S98" s="82"/>
      <c r="T98" s="82"/>
      <c r="U98" s="82"/>
      <c r="V98" s="82"/>
      <c r="W98" s="83"/>
      <c r="AR98" s="50">
        <v>0</v>
      </c>
    </row>
    <row r="99" spans="4:44" ht="17.25" hidden="1" customHeight="1">
      <c r="D99" s="910">
        <v>5</v>
      </c>
      <c r="E99" s="903" t="s">
        <v>167</v>
      </c>
      <c r="F99" s="912" t="s">
        <v>3</v>
      </c>
      <c r="G99" s="903"/>
      <c r="H99" s="905"/>
      <c r="I99" s="907"/>
      <c r="J99" s="908"/>
      <c r="K99" s="902"/>
      <c r="L99" s="902"/>
      <c r="M99" s="902"/>
      <c r="N99" s="909"/>
      <c r="O99" s="902"/>
      <c r="P99" s="902"/>
      <c r="Q99" s="902"/>
      <c r="R99" s="901"/>
      <c r="S99" s="902"/>
      <c r="T99" s="73"/>
      <c r="U99" s="73"/>
      <c r="V99" s="74"/>
      <c r="W99" s="75"/>
      <c r="AC99" s="76" t="s">
        <v>168</v>
      </c>
      <c r="AD99" s="76" t="s">
        <v>169</v>
      </c>
      <c r="AE99" s="76" t="s">
        <v>170</v>
      </c>
      <c r="AF99" s="76" t="s">
        <v>171</v>
      </c>
      <c r="AH99" s="76" t="str">
        <f>IF($E$99=0,"",$E$99)</f>
        <v>Тариф на подключение (технологическое присоединение) к централизованной системе холодного водоснабжения</v>
      </c>
      <c r="AI99" s="76" t="str">
        <f>IF($G$99=0,"",$G$99)</f>
        <v/>
      </c>
      <c r="AJ99" s="76" t="str">
        <f>IF($J$99=0,"",$J$99)</f>
        <v/>
      </c>
      <c r="AK99" s="76" t="str">
        <f>IF($K$99="нет","без дифференциации",IF($N$99=0,"",$N$99))</f>
        <v/>
      </c>
      <c r="AL99" s="76" t="str">
        <f>IF($O$99="нет","без дифференциации",IF($R$99=0,"",$R$99))</f>
        <v/>
      </c>
      <c r="AM99" s="76" t="str">
        <f>IF($S$99="нет","без дифференциации",IF($V$99=0,"",$V$99))</f>
        <v/>
      </c>
      <c r="AN99" s="84">
        <f>$I$99</f>
        <v>0</v>
      </c>
      <c r="AO99" s="76" t="str">
        <f>$I$99&amp;"."&amp;$M$99</f>
        <v>.</v>
      </c>
      <c r="AP99" s="59" t="str">
        <f>$I$99&amp;"."&amp;$M$99&amp;"."&amp;$Q$99</f>
        <v>..</v>
      </c>
      <c r="AQ99" s="59" t="str">
        <f>$I$99&amp;"."&amp;$M$99&amp;"."&amp;$Q$99&amp;"."&amp;$U$99</f>
        <v>...</v>
      </c>
      <c r="AR99" s="50">
        <v>0</v>
      </c>
    </row>
    <row r="100" spans="4:44" ht="17.25" hidden="1" customHeight="1">
      <c r="D100" s="910"/>
      <c r="E100" s="903"/>
      <c r="F100" s="913"/>
      <c r="G100" s="903"/>
      <c r="H100" s="906"/>
      <c r="I100" s="885"/>
      <c r="J100" s="885"/>
      <c r="K100" s="885"/>
      <c r="L100" s="885"/>
      <c r="M100" s="885"/>
      <c r="N100" s="885"/>
      <c r="O100" s="885"/>
      <c r="P100" s="885"/>
      <c r="Q100" s="885"/>
      <c r="R100" s="885"/>
      <c r="S100" s="885"/>
      <c r="W100" s="78"/>
      <c r="AR100" s="50">
        <v>0</v>
      </c>
    </row>
    <row r="101" spans="4:44" ht="17.25" hidden="1" customHeight="1">
      <c r="D101" s="911"/>
      <c r="E101" s="904"/>
      <c r="F101" s="913"/>
      <c r="G101" s="904"/>
      <c r="H101" s="906"/>
      <c r="I101" s="885"/>
      <c r="J101" s="885"/>
      <c r="K101" s="885"/>
      <c r="L101" s="885"/>
      <c r="M101" s="885"/>
      <c r="N101" s="885"/>
      <c r="O101" s="885"/>
      <c r="W101" s="78"/>
      <c r="AR101" s="50">
        <v>0</v>
      </c>
    </row>
    <row r="102" spans="4:44" ht="17.25" hidden="1" customHeight="1">
      <c r="D102" s="911"/>
      <c r="E102" s="904"/>
      <c r="F102" s="913"/>
      <c r="G102" s="904"/>
      <c r="H102" s="906"/>
      <c r="I102" s="885"/>
      <c r="J102" s="885"/>
      <c r="K102" s="885"/>
      <c r="W102" s="78"/>
      <c r="AR102" s="50">
        <v>0</v>
      </c>
    </row>
    <row r="103" spans="4:44" ht="17.25" hidden="1" customHeight="1">
      <c r="D103" s="911"/>
      <c r="E103" s="904"/>
      <c r="F103" s="914"/>
      <c r="G103" s="904"/>
      <c r="H103" s="80"/>
      <c r="I103" s="81"/>
      <c r="J103" s="81"/>
      <c r="K103" s="81"/>
      <c r="L103" s="81"/>
      <c r="M103" s="81"/>
      <c r="N103" s="81"/>
      <c r="O103" s="81"/>
      <c r="P103" s="81"/>
      <c r="Q103" s="81"/>
      <c r="R103" s="81"/>
      <c r="S103" s="82"/>
      <c r="T103" s="82"/>
      <c r="U103" s="82"/>
      <c r="V103" s="82"/>
      <c r="W103" s="83"/>
      <c r="AR103" s="50">
        <v>0</v>
      </c>
    </row>
    <row r="104" spans="4:44" ht="11.25" hidden="1" customHeight="1">
      <c r="AR104" s="50">
        <v>0</v>
      </c>
    </row>
    <row r="105" spans="4:44" ht="17.25" hidden="1" customHeight="1">
      <c r="D105" s="910">
        <v>1</v>
      </c>
      <c r="E105" s="903" t="s">
        <v>172</v>
      </c>
      <c r="F105" s="912" t="s">
        <v>3</v>
      </c>
      <c r="G105" s="903"/>
      <c r="H105" s="905"/>
      <c r="I105" s="907"/>
      <c r="J105" s="908"/>
      <c r="K105" s="902"/>
      <c r="L105" s="902"/>
      <c r="M105" s="902"/>
      <c r="N105" s="909"/>
      <c r="O105" s="902"/>
      <c r="P105" s="902"/>
      <c r="Q105" s="902"/>
      <c r="R105" s="901"/>
      <c r="S105" s="902"/>
      <c r="T105" s="73"/>
      <c r="U105" s="73"/>
      <c r="V105" s="74"/>
      <c r="W105" s="75"/>
      <c r="AC105" s="76" t="s">
        <v>173</v>
      </c>
      <c r="AD105" s="76" t="s">
        <v>174</v>
      </c>
      <c r="AE105" s="76" t="s">
        <v>175</v>
      </c>
      <c r="AF105" s="76" t="s">
        <v>176</v>
      </c>
      <c r="AH105" s="76" t="str">
        <f>IF($E$105=0,"",$E$105)</f>
        <v>Тариф на горячую воду (горячее водоснабжение)</v>
      </c>
      <c r="AI105" s="76" t="str">
        <f>IF($G$105=0,"",$G$105)</f>
        <v/>
      </c>
      <c r="AJ105" s="76" t="str">
        <f>IF($J$105=0,"",$J$105)</f>
        <v/>
      </c>
      <c r="AK105" s="76" t="str">
        <f>IF($K$105="нет","без дифференциации",IF($N$105=0,"",$N$105))</f>
        <v/>
      </c>
      <c r="AL105" s="76" t="str">
        <f>IF($O$105="нет","без дифференциации",IF($R$105=0,"",$R$105))</f>
        <v/>
      </c>
      <c r="AM105" s="76" t="str">
        <f>IF($S$105="нет","без дифференциации",IF($V$105=0,"",$V$105))</f>
        <v/>
      </c>
      <c r="AN105" s="76">
        <f>$I$105</f>
        <v>0</v>
      </c>
      <c r="AO105" s="76" t="str">
        <f>$I$105&amp;"."&amp;$M$105</f>
        <v>.</v>
      </c>
      <c r="AP105" s="76" t="str">
        <f>$I$105&amp;"."&amp;$M$105&amp;"."&amp;$Q$105</f>
        <v>..</v>
      </c>
      <c r="AQ105" s="76" t="str">
        <f>$I$105&amp;"."&amp;$M$105&amp;"."&amp;$Q$105&amp;"."&amp;$U$105</f>
        <v>...</v>
      </c>
      <c r="AR105" s="50">
        <v>0</v>
      </c>
    </row>
    <row r="106" spans="4:44" ht="17.25" hidden="1" customHeight="1">
      <c r="D106" s="910"/>
      <c r="E106" s="903"/>
      <c r="F106" s="913"/>
      <c r="G106" s="903"/>
      <c r="H106" s="906"/>
      <c r="I106" s="885"/>
      <c r="J106" s="885"/>
      <c r="K106" s="885"/>
      <c r="L106" s="885"/>
      <c r="M106" s="885"/>
      <c r="N106" s="885"/>
      <c r="O106" s="885"/>
      <c r="P106" s="885"/>
      <c r="Q106" s="885"/>
      <c r="R106" s="885"/>
      <c r="S106" s="885"/>
      <c r="W106" s="78"/>
      <c r="AR106" s="50">
        <v>0</v>
      </c>
    </row>
    <row r="107" spans="4:44" ht="17.25" hidden="1" customHeight="1">
      <c r="D107" s="910"/>
      <c r="E107" s="903"/>
      <c r="F107" s="913"/>
      <c r="G107" s="903"/>
      <c r="H107" s="906"/>
      <c r="I107" s="885"/>
      <c r="J107" s="885"/>
      <c r="K107" s="885"/>
      <c r="L107" s="885"/>
      <c r="M107" s="885"/>
      <c r="N107" s="885"/>
      <c r="O107" s="885"/>
      <c r="W107" s="78"/>
      <c r="AR107" s="50">
        <v>0</v>
      </c>
    </row>
    <row r="108" spans="4:44" ht="17.25" hidden="1" customHeight="1">
      <c r="D108" s="910"/>
      <c r="E108" s="903"/>
      <c r="F108" s="913"/>
      <c r="G108" s="903"/>
      <c r="H108" s="906"/>
      <c r="I108" s="885"/>
      <c r="J108" s="885"/>
      <c r="K108" s="885"/>
      <c r="W108" s="78"/>
      <c r="AR108" s="50">
        <v>0</v>
      </c>
    </row>
    <row r="109" spans="4:44" ht="17.25" hidden="1" customHeight="1">
      <c r="D109" s="911"/>
      <c r="E109" s="904"/>
      <c r="F109" s="914"/>
      <c r="G109" s="904"/>
      <c r="H109" s="80"/>
      <c r="I109" s="81"/>
      <c r="J109" s="81"/>
      <c r="K109" s="81"/>
      <c r="L109" s="81"/>
      <c r="M109" s="81"/>
      <c r="N109" s="81"/>
      <c r="O109" s="81"/>
      <c r="P109" s="81"/>
      <c r="Q109" s="81"/>
      <c r="R109" s="81"/>
      <c r="S109" s="82"/>
      <c r="T109" s="82"/>
      <c r="U109" s="82"/>
      <c r="V109" s="82"/>
      <c r="W109" s="83"/>
      <c r="AR109" s="50">
        <v>0</v>
      </c>
    </row>
    <row r="110" spans="4:44" ht="17.25" hidden="1" customHeight="1">
      <c r="D110" s="910">
        <v>2</v>
      </c>
      <c r="E110" s="903" t="s">
        <v>177</v>
      </c>
      <c r="F110" s="912" t="s">
        <v>3</v>
      </c>
      <c r="G110" s="903"/>
      <c r="H110" s="905"/>
      <c r="I110" s="907"/>
      <c r="J110" s="908"/>
      <c r="K110" s="902"/>
      <c r="L110" s="902"/>
      <c r="M110" s="902"/>
      <c r="N110" s="909"/>
      <c r="O110" s="902"/>
      <c r="P110" s="902"/>
      <c r="Q110" s="902"/>
      <c r="R110" s="901"/>
      <c r="S110" s="902"/>
      <c r="T110" s="73"/>
      <c r="U110" s="73"/>
      <c r="V110" s="74"/>
      <c r="W110" s="75"/>
      <c r="AC110" s="76" t="s">
        <v>178</v>
      </c>
      <c r="AD110" s="76" t="s">
        <v>179</v>
      </c>
      <c r="AE110" s="76" t="s">
        <v>180</v>
      </c>
      <c r="AF110" s="76" t="s">
        <v>181</v>
      </c>
      <c r="AH110" s="76" t="str">
        <f>IF($E$110=0,"",$E$110)</f>
        <v>Тариф на транспортировку горячей воды</v>
      </c>
      <c r="AI110" s="76" t="str">
        <f>IF($G$110=0,"",$G$110)</f>
        <v/>
      </c>
      <c r="AJ110" s="76" t="str">
        <f>IF($J$110=0,"",$J$110)</f>
        <v/>
      </c>
      <c r="AK110" s="76" t="str">
        <f>IF($K$110="нет","без дифференциации",IF($N$110=0,"",$N$110))</f>
        <v/>
      </c>
      <c r="AL110" s="76" t="str">
        <f>IF($O$110="нет","без дифференциации",IF($R$110=0,"",$R$110))</f>
        <v/>
      </c>
      <c r="AM110" s="76" t="str">
        <f>IF($S$110="нет","без дифференциации",IF($V$110=0,"",$V$110))</f>
        <v/>
      </c>
      <c r="AN110" s="84">
        <f>$I$110</f>
        <v>0</v>
      </c>
      <c r="AO110" s="76" t="str">
        <f>$I$110&amp;"."&amp;$M$110</f>
        <v>.</v>
      </c>
      <c r="AP110" s="59" t="str">
        <f>$I$110&amp;"."&amp;$M$110&amp;"."&amp;$Q$110</f>
        <v>..</v>
      </c>
      <c r="AQ110" s="59" t="str">
        <f>$I$110&amp;"."&amp;$M$110&amp;"."&amp;$Q$110&amp;"."&amp;$U$110</f>
        <v>...</v>
      </c>
      <c r="AR110" s="50">
        <v>0</v>
      </c>
    </row>
    <row r="111" spans="4:44" ht="17.25" hidden="1" customHeight="1">
      <c r="D111" s="910"/>
      <c r="E111" s="903"/>
      <c r="F111" s="913"/>
      <c r="G111" s="903"/>
      <c r="H111" s="906"/>
      <c r="I111" s="885"/>
      <c r="J111" s="885"/>
      <c r="K111" s="885"/>
      <c r="L111" s="885"/>
      <c r="M111" s="885"/>
      <c r="N111" s="885"/>
      <c r="O111" s="885"/>
      <c r="P111" s="885"/>
      <c r="Q111" s="885"/>
      <c r="R111" s="885"/>
      <c r="S111" s="885"/>
      <c r="W111" s="78"/>
      <c r="AR111" s="50">
        <v>0</v>
      </c>
    </row>
    <row r="112" spans="4:44" ht="17.25" hidden="1" customHeight="1">
      <c r="D112" s="911"/>
      <c r="E112" s="904"/>
      <c r="F112" s="913"/>
      <c r="G112" s="904"/>
      <c r="H112" s="906"/>
      <c r="I112" s="885"/>
      <c r="J112" s="885"/>
      <c r="K112" s="885"/>
      <c r="L112" s="885"/>
      <c r="M112" s="885"/>
      <c r="N112" s="885"/>
      <c r="O112" s="885"/>
      <c r="W112" s="78"/>
      <c r="AR112" s="50">
        <v>0</v>
      </c>
    </row>
    <row r="113" spans="4:44" ht="17.25" hidden="1" customHeight="1">
      <c r="D113" s="911"/>
      <c r="E113" s="904"/>
      <c r="F113" s="913"/>
      <c r="G113" s="904"/>
      <c r="H113" s="906"/>
      <c r="I113" s="885"/>
      <c r="J113" s="885"/>
      <c r="K113" s="885"/>
      <c r="W113" s="78"/>
      <c r="AR113" s="50">
        <v>0</v>
      </c>
    </row>
    <row r="114" spans="4:44" ht="17.25" hidden="1" customHeight="1">
      <c r="D114" s="911"/>
      <c r="E114" s="904"/>
      <c r="F114" s="914"/>
      <c r="G114" s="904"/>
      <c r="H114" s="80"/>
      <c r="I114" s="81"/>
      <c r="J114" s="81"/>
      <c r="K114" s="81"/>
      <c r="L114" s="81"/>
      <c r="M114" s="81"/>
      <c r="N114" s="81"/>
      <c r="O114" s="81"/>
      <c r="P114" s="81"/>
      <c r="Q114" s="81"/>
      <c r="R114" s="81"/>
      <c r="S114" s="82"/>
      <c r="T114" s="82"/>
      <c r="U114" s="82"/>
      <c r="V114" s="82"/>
      <c r="W114" s="83"/>
      <c r="AR114" s="50">
        <v>0</v>
      </c>
    </row>
    <row r="115" spans="4:44" ht="17.25" hidden="1" customHeight="1">
      <c r="D115" s="910">
        <v>3</v>
      </c>
      <c r="E115" s="903" t="s">
        <v>182</v>
      </c>
      <c r="F115" s="912" t="s">
        <v>3</v>
      </c>
      <c r="G115" s="903"/>
      <c r="H115" s="905"/>
      <c r="I115" s="907"/>
      <c r="J115" s="908"/>
      <c r="K115" s="902"/>
      <c r="L115" s="902"/>
      <c r="M115" s="902"/>
      <c r="N115" s="909"/>
      <c r="O115" s="902"/>
      <c r="P115" s="902"/>
      <c r="Q115" s="902"/>
      <c r="R115" s="901"/>
      <c r="S115" s="902"/>
      <c r="T115" s="73"/>
      <c r="U115" s="73"/>
      <c r="V115" s="74"/>
      <c r="W115" s="75"/>
      <c r="AC115" s="76" t="s">
        <v>183</v>
      </c>
      <c r="AD115" s="76" t="s">
        <v>184</v>
      </c>
      <c r="AE115" s="76" t="s">
        <v>185</v>
      </c>
      <c r="AF115" s="76" t="s">
        <v>186</v>
      </c>
      <c r="AH115" s="76" t="str">
        <f>IF($E$115=0,"",$E$115)</f>
        <v>Тариф на подключение (технологическое присоединение) к централизованной системе горячего водоснабжения</v>
      </c>
      <c r="AI115" s="76" t="str">
        <f>IF($G$115=0,"",$G$115)</f>
        <v/>
      </c>
      <c r="AJ115" s="76" t="str">
        <f>IF($J$115=0,"",$J$115)</f>
        <v/>
      </c>
      <c r="AK115" s="76" t="str">
        <f>IF($K$115="нет","без дифференциации",IF($N$115=0,"",$N$115))</f>
        <v/>
      </c>
      <c r="AL115" s="76" t="str">
        <f>IF($O$115="нет","без дифференциации",IF($R$115=0,"",$R$115))</f>
        <v/>
      </c>
      <c r="AM115" s="76" t="str">
        <f>IF($S$115="нет","без дифференциации",IF($V$115=0,"",$V$115))</f>
        <v/>
      </c>
      <c r="AN115" s="84">
        <f>$I$115</f>
        <v>0</v>
      </c>
      <c r="AO115" s="76" t="str">
        <f>$I$115&amp;"."&amp;$M$115</f>
        <v>.</v>
      </c>
      <c r="AP115" s="59" t="str">
        <f>$I$115&amp;"."&amp;$M$115&amp;"."&amp;$Q$115</f>
        <v>..</v>
      </c>
      <c r="AQ115" s="59" t="str">
        <f>$I$115&amp;"."&amp;$M$115&amp;"."&amp;$Q$115&amp;"."&amp;$U$115</f>
        <v>...</v>
      </c>
      <c r="AR115" s="50">
        <v>0</v>
      </c>
    </row>
    <row r="116" spans="4:44" ht="17.25" hidden="1" customHeight="1">
      <c r="D116" s="910"/>
      <c r="E116" s="903"/>
      <c r="F116" s="913"/>
      <c r="G116" s="903"/>
      <c r="H116" s="906"/>
      <c r="I116" s="885"/>
      <c r="J116" s="885"/>
      <c r="K116" s="885"/>
      <c r="L116" s="885"/>
      <c r="M116" s="885"/>
      <c r="N116" s="885"/>
      <c r="O116" s="885"/>
      <c r="P116" s="885"/>
      <c r="Q116" s="885"/>
      <c r="R116" s="885"/>
      <c r="S116" s="885"/>
      <c r="W116" s="78"/>
      <c r="AR116" s="50">
        <v>0</v>
      </c>
    </row>
    <row r="117" spans="4:44" ht="17.25" hidden="1" customHeight="1">
      <c r="D117" s="911"/>
      <c r="E117" s="904"/>
      <c r="F117" s="913"/>
      <c r="G117" s="904"/>
      <c r="H117" s="906"/>
      <c r="I117" s="885"/>
      <c r="J117" s="885"/>
      <c r="K117" s="885"/>
      <c r="L117" s="885"/>
      <c r="M117" s="885"/>
      <c r="N117" s="885"/>
      <c r="O117" s="885"/>
      <c r="W117" s="78"/>
      <c r="AR117" s="50">
        <v>0</v>
      </c>
    </row>
    <row r="118" spans="4:44" ht="17.25" hidden="1" customHeight="1">
      <c r="D118" s="911"/>
      <c r="E118" s="904"/>
      <c r="F118" s="913"/>
      <c r="G118" s="904"/>
      <c r="H118" s="906"/>
      <c r="I118" s="885"/>
      <c r="J118" s="885"/>
      <c r="K118" s="885"/>
      <c r="W118" s="78"/>
      <c r="AR118" s="50">
        <v>0</v>
      </c>
    </row>
    <row r="119" spans="4:44" ht="17.25" hidden="1" customHeight="1">
      <c r="D119" s="911"/>
      <c r="E119" s="904"/>
      <c r="F119" s="914"/>
      <c r="G119" s="904"/>
      <c r="H119" s="80"/>
      <c r="I119" s="81"/>
      <c r="J119" s="81"/>
      <c r="K119" s="81"/>
      <c r="L119" s="81"/>
      <c r="M119" s="81"/>
      <c r="N119" s="81"/>
      <c r="O119" s="81"/>
      <c r="P119" s="81"/>
      <c r="Q119" s="81"/>
      <c r="R119" s="81"/>
      <c r="S119" s="82"/>
      <c r="T119" s="82"/>
      <c r="U119" s="82"/>
      <c r="V119" s="82"/>
      <c r="W119" s="83"/>
      <c r="AR119" s="50">
        <v>0</v>
      </c>
    </row>
    <row r="120" spans="4:44" ht="11.25" hidden="1" customHeight="1">
      <c r="AR120" s="50">
        <v>0</v>
      </c>
    </row>
    <row r="121" spans="4:44" ht="17.25" hidden="1" customHeight="1">
      <c r="D121" s="910">
        <v>1</v>
      </c>
      <c r="E121" s="903" t="s">
        <v>187</v>
      </c>
      <c r="F121" s="912" t="s">
        <v>3</v>
      </c>
      <c r="G121" s="903"/>
      <c r="H121" s="905"/>
      <c r="I121" s="907"/>
      <c r="J121" s="908"/>
      <c r="K121" s="902"/>
      <c r="L121" s="902"/>
      <c r="M121" s="902"/>
      <c r="N121" s="909"/>
      <c r="O121" s="902"/>
      <c r="P121" s="902"/>
      <c r="Q121" s="902"/>
      <c r="R121" s="901"/>
      <c r="S121" s="902"/>
      <c r="T121" s="73"/>
      <c r="U121" s="73"/>
      <c r="V121" s="74"/>
      <c r="W121" s="75"/>
      <c r="AC121" s="76" t="s">
        <v>188</v>
      </c>
      <c r="AD121" s="76" t="s">
        <v>189</v>
      </c>
      <c r="AE121" s="76" t="s">
        <v>190</v>
      </c>
      <c r="AF121" s="76" t="s">
        <v>191</v>
      </c>
      <c r="AH121" s="76" t="str">
        <f>IF($E$121=0,"",$E$121)</f>
        <v>Тариф на водоотведение</v>
      </c>
      <c r="AI121" s="76" t="str">
        <f>IF($G$121=0,"",$G$121)</f>
        <v/>
      </c>
      <c r="AJ121" s="76" t="str">
        <f>IF($J$121=0,"",$J$121)</f>
        <v/>
      </c>
      <c r="AK121" s="76" t="str">
        <f>IF($K$121="нет","без дифференциации",IF($N$121=0,"",$N$121))</f>
        <v/>
      </c>
      <c r="AL121" s="76" t="str">
        <f>IF($O$121="нет","без дифференциации",IF($R$121=0,"",$R$121))</f>
        <v/>
      </c>
      <c r="AM121" s="76" t="str">
        <f>IF($S$121="нет","без дифференциации",IF($V$121=0,"",$V$121))</f>
        <v/>
      </c>
      <c r="AN121" s="76">
        <f>$I$121</f>
        <v>0</v>
      </c>
      <c r="AO121" s="76" t="str">
        <f>$I$121&amp;"."&amp;$M$121</f>
        <v>.</v>
      </c>
      <c r="AP121" s="76" t="str">
        <f>$I$121&amp;"."&amp;$M$121&amp;"."&amp;$Q$121</f>
        <v>..</v>
      </c>
      <c r="AQ121" s="76" t="str">
        <f>$I$121&amp;"."&amp;$M$121&amp;"."&amp;$Q$121&amp;"."&amp;$U$121</f>
        <v>...</v>
      </c>
      <c r="AR121" s="50">
        <v>0</v>
      </c>
    </row>
    <row r="122" spans="4:44" ht="17.25" hidden="1" customHeight="1">
      <c r="D122" s="910"/>
      <c r="E122" s="903"/>
      <c r="F122" s="913"/>
      <c r="G122" s="903"/>
      <c r="H122" s="906"/>
      <c r="I122" s="885"/>
      <c r="J122" s="885"/>
      <c r="K122" s="885"/>
      <c r="L122" s="885"/>
      <c r="M122" s="885"/>
      <c r="N122" s="885"/>
      <c r="O122" s="885"/>
      <c r="P122" s="885"/>
      <c r="Q122" s="885"/>
      <c r="R122" s="885"/>
      <c r="S122" s="885"/>
      <c r="W122" s="78"/>
      <c r="AR122" s="50">
        <v>0</v>
      </c>
    </row>
    <row r="123" spans="4:44" ht="17.25" hidden="1" customHeight="1">
      <c r="D123" s="910"/>
      <c r="E123" s="903"/>
      <c r="F123" s="913"/>
      <c r="G123" s="903"/>
      <c r="H123" s="906"/>
      <c r="I123" s="885"/>
      <c r="J123" s="885"/>
      <c r="K123" s="885"/>
      <c r="L123" s="885"/>
      <c r="M123" s="885"/>
      <c r="N123" s="885"/>
      <c r="O123" s="885"/>
      <c r="W123" s="78"/>
      <c r="AR123" s="50">
        <v>0</v>
      </c>
    </row>
    <row r="124" spans="4:44" ht="17.25" hidden="1" customHeight="1">
      <c r="D124" s="910"/>
      <c r="E124" s="903"/>
      <c r="F124" s="913"/>
      <c r="G124" s="903"/>
      <c r="H124" s="906"/>
      <c r="I124" s="885"/>
      <c r="J124" s="885"/>
      <c r="K124" s="885"/>
      <c r="W124" s="78"/>
      <c r="AR124" s="50">
        <v>0</v>
      </c>
    </row>
    <row r="125" spans="4:44" ht="17.25" hidden="1" customHeight="1">
      <c r="D125" s="911"/>
      <c r="E125" s="904"/>
      <c r="F125" s="914"/>
      <c r="G125" s="904"/>
      <c r="H125" s="80"/>
      <c r="I125" s="81"/>
      <c r="J125" s="81"/>
      <c r="K125" s="81"/>
      <c r="L125" s="81"/>
      <c r="M125" s="81"/>
      <c r="N125" s="81"/>
      <c r="O125" s="81"/>
      <c r="P125" s="81"/>
      <c r="Q125" s="81"/>
      <c r="R125" s="81"/>
      <c r="S125" s="82"/>
      <c r="T125" s="82"/>
      <c r="U125" s="82"/>
      <c r="V125" s="82"/>
      <c r="W125" s="83"/>
      <c r="AR125" s="50">
        <v>0</v>
      </c>
    </row>
    <row r="126" spans="4:44" ht="17.25" hidden="1" customHeight="1">
      <c r="D126" s="910">
        <v>2</v>
      </c>
      <c r="E126" s="903" t="s">
        <v>192</v>
      </c>
      <c r="F126" s="912" t="s">
        <v>3</v>
      </c>
      <c r="G126" s="903"/>
      <c r="H126" s="905"/>
      <c r="I126" s="907"/>
      <c r="J126" s="908"/>
      <c r="K126" s="902"/>
      <c r="L126" s="902"/>
      <c r="M126" s="902"/>
      <c r="N126" s="909"/>
      <c r="O126" s="902"/>
      <c r="P126" s="902"/>
      <c r="Q126" s="902"/>
      <c r="R126" s="901"/>
      <c r="S126" s="902"/>
      <c r="T126" s="73"/>
      <c r="U126" s="73"/>
      <c r="V126" s="74"/>
      <c r="W126" s="75"/>
      <c r="AC126" s="76" t="s">
        <v>193</v>
      </c>
      <c r="AD126" s="76" t="s">
        <v>194</v>
      </c>
      <c r="AE126" s="76" t="s">
        <v>195</v>
      </c>
      <c r="AF126" s="76" t="s">
        <v>196</v>
      </c>
      <c r="AH126" s="76" t="str">
        <f>IF($E$126=0,"",$E$126)</f>
        <v>Тариф на транспортировку сточных вод</v>
      </c>
      <c r="AI126" s="76" t="str">
        <f>IF($G$126=0,"",$G$126)</f>
        <v/>
      </c>
      <c r="AJ126" s="76" t="str">
        <f>IF($J$126=0,"",$J$126)</f>
        <v/>
      </c>
      <c r="AK126" s="76" t="str">
        <f>IF($K$126="нет","без дифференциации",IF($N$126=0,"",$N$126))</f>
        <v/>
      </c>
      <c r="AL126" s="76" t="str">
        <f>IF($O$126="нет","без дифференциации",IF($R$126=0,"",$R$126))</f>
        <v/>
      </c>
      <c r="AM126" s="76" t="str">
        <f>IF($S$126="нет","без дифференциации",IF($V$126=0,"",$V$126))</f>
        <v/>
      </c>
      <c r="AN126" s="84">
        <f>$I$126</f>
        <v>0</v>
      </c>
      <c r="AO126" s="76" t="str">
        <f>$I$126&amp;"."&amp;$M$126</f>
        <v>.</v>
      </c>
      <c r="AP126" s="59" t="str">
        <f>$I$126&amp;"."&amp;$M$126&amp;"."&amp;$Q$126</f>
        <v>..</v>
      </c>
      <c r="AQ126" s="59" t="str">
        <f>$I$126&amp;"."&amp;$M$126&amp;"."&amp;$Q$126&amp;"."&amp;$U$126</f>
        <v>...</v>
      </c>
      <c r="AR126" s="50">
        <v>0</v>
      </c>
    </row>
    <row r="127" spans="4:44" ht="17.25" hidden="1" customHeight="1">
      <c r="D127" s="910"/>
      <c r="E127" s="903"/>
      <c r="F127" s="913"/>
      <c r="G127" s="903"/>
      <c r="H127" s="906"/>
      <c r="I127" s="885"/>
      <c r="J127" s="885"/>
      <c r="K127" s="885"/>
      <c r="L127" s="885"/>
      <c r="M127" s="885"/>
      <c r="N127" s="885"/>
      <c r="O127" s="885"/>
      <c r="P127" s="885"/>
      <c r="Q127" s="885"/>
      <c r="R127" s="885"/>
      <c r="S127" s="885"/>
      <c r="W127" s="78"/>
      <c r="AR127" s="50">
        <v>0</v>
      </c>
    </row>
    <row r="128" spans="4:44" ht="17.25" hidden="1" customHeight="1">
      <c r="D128" s="911"/>
      <c r="E128" s="904"/>
      <c r="F128" s="913"/>
      <c r="G128" s="904"/>
      <c r="H128" s="906"/>
      <c r="I128" s="885"/>
      <c r="J128" s="885"/>
      <c r="K128" s="885"/>
      <c r="L128" s="885"/>
      <c r="M128" s="885"/>
      <c r="N128" s="885"/>
      <c r="O128" s="885"/>
      <c r="W128" s="78"/>
      <c r="AR128" s="50">
        <v>0</v>
      </c>
    </row>
    <row r="129" spans="4:44" ht="17.25" hidden="1" customHeight="1">
      <c r="D129" s="911"/>
      <c r="E129" s="904"/>
      <c r="F129" s="913"/>
      <c r="G129" s="904"/>
      <c r="H129" s="906"/>
      <c r="I129" s="885"/>
      <c r="J129" s="885"/>
      <c r="K129" s="885"/>
      <c r="W129" s="78"/>
      <c r="AR129" s="50">
        <v>0</v>
      </c>
    </row>
    <row r="130" spans="4:44" ht="17.25" hidden="1" customHeight="1">
      <c r="D130" s="911"/>
      <c r="E130" s="904"/>
      <c r="F130" s="914"/>
      <c r="G130" s="904"/>
      <c r="H130" s="80"/>
      <c r="I130" s="81"/>
      <c r="J130" s="81"/>
      <c r="K130" s="81"/>
      <c r="L130" s="81"/>
      <c r="M130" s="81"/>
      <c r="N130" s="81"/>
      <c r="O130" s="81"/>
      <c r="P130" s="81"/>
      <c r="Q130" s="81"/>
      <c r="R130" s="81"/>
      <c r="S130" s="82"/>
      <c r="T130" s="82"/>
      <c r="U130" s="82"/>
      <c r="V130" s="82"/>
      <c r="W130" s="83"/>
      <c r="AR130" s="50">
        <v>0</v>
      </c>
    </row>
    <row r="131" spans="4:44" ht="17.25" hidden="1" customHeight="1">
      <c r="D131" s="910">
        <v>3</v>
      </c>
      <c r="E131" s="903" t="s">
        <v>197</v>
      </c>
      <c r="F131" s="912" t="s">
        <v>3</v>
      </c>
      <c r="G131" s="903"/>
      <c r="H131" s="905"/>
      <c r="I131" s="907"/>
      <c r="J131" s="908"/>
      <c r="K131" s="902"/>
      <c r="L131" s="902"/>
      <c r="M131" s="902"/>
      <c r="N131" s="909"/>
      <c r="O131" s="902"/>
      <c r="P131" s="902"/>
      <c r="Q131" s="902"/>
      <c r="R131" s="901"/>
      <c r="S131" s="902"/>
      <c r="T131" s="73"/>
      <c r="U131" s="73"/>
      <c r="V131" s="74"/>
      <c r="W131" s="75"/>
      <c r="AC131" s="76" t="s">
        <v>198</v>
      </c>
      <c r="AD131" s="76" t="s">
        <v>199</v>
      </c>
      <c r="AE131" s="76" t="s">
        <v>200</v>
      </c>
      <c r="AF131" s="76" t="s">
        <v>201</v>
      </c>
      <c r="AH131" s="76" t="str">
        <f>IF($E$131=0,"",$E$131)</f>
        <v>Тариф на подключение (технологическое присоединение) к централизованной системе водоотведения</v>
      </c>
      <c r="AI131" s="76" t="str">
        <f>IF($G$131=0,"",$G$131)</f>
        <v/>
      </c>
      <c r="AJ131" s="76" t="str">
        <f>IF($J$131=0,"",$J$131)</f>
        <v/>
      </c>
      <c r="AK131" s="76" t="str">
        <f>IF($K$131="нет","без дифференциации",IF($N$131=0,"",$N$131))</f>
        <v/>
      </c>
      <c r="AL131" s="76" t="str">
        <f>IF($O$131="нет","без дифференциации",IF($R$131=0,"",$R$131))</f>
        <v/>
      </c>
      <c r="AM131" s="76" t="str">
        <f>IF($S$131="нет","без дифференциации",IF($V$131=0,"",$V$131))</f>
        <v/>
      </c>
      <c r="AN131" s="84">
        <f>$I$131</f>
        <v>0</v>
      </c>
      <c r="AO131" s="76" t="str">
        <f>$I$131&amp;"."&amp;$M$131</f>
        <v>.</v>
      </c>
      <c r="AP131" s="59" t="str">
        <f>$I$131&amp;"."&amp;$M$131&amp;"."&amp;$Q$131</f>
        <v>..</v>
      </c>
      <c r="AQ131" s="59" t="str">
        <f>$I$131&amp;"."&amp;$M$131&amp;"."&amp;$Q$131&amp;"."&amp;$U$131</f>
        <v>...</v>
      </c>
      <c r="AR131" s="50">
        <v>0</v>
      </c>
    </row>
    <row r="132" spans="4:44" ht="17.25" hidden="1" customHeight="1">
      <c r="D132" s="910"/>
      <c r="E132" s="903"/>
      <c r="F132" s="913"/>
      <c r="G132" s="903"/>
      <c r="H132" s="906"/>
      <c r="I132" s="885"/>
      <c r="J132" s="885"/>
      <c r="K132" s="885"/>
      <c r="L132" s="885"/>
      <c r="M132" s="885"/>
      <c r="N132" s="885"/>
      <c r="O132" s="885"/>
      <c r="P132" s="885"/>
      <c r="Q132" s="885"/>
      <c r="R132" s="885"/>
      <c r="S132" s="885"/>
      <c r="W132" s="78"/>
      <c r="AR132" s="50">
        <v>0</v>
      </c>
    </row>
    <row r="133" spans="4:44" ht="17.25" hidden="1" customHeight="1">
      <c r="D133" s="911"/>
      <c r="E133" s="904"/>
      <c r="F133" s="913"/>
      <c r="G133" s="904"/>
      <c r="H133" s="906"/>
      <c r="I133" s="885"/>
      <c r="J133" s="885"/>
      <c r="K133" s="885"/>
      <c r="L133" s="885"/>
      <c r="M133" s="885"/>
      <c r="N133" s="885"/>
      <c r="O133" s="885"/>
      <c r="W133" s="78"/>
      <c r="AR133" s="50">
        <v>0</v>
      </c>
    </row>
    <row r="134" spans="4:44" ht="17.25" hidden="1" customHeight="1">
      <c r="D134" s="911"/>
      <c r="E134" s="904"/>
      <c r="F134" s="913"/>
      <c r="G134" s="904"/>
      <c r="H134" s="906"/>
      <c r="I134" s="885"/>
      <c r="J134" s="885"/>
      <c r="K134" s="885"/>
      <c r="W134" s="78"/>
      <c r="AR134" s="50">
        <v>0</v>
      </c>
    </row>
    <row r="135" spans="4:44" ht="17.25" hidden="1" customHeight="1">
      <c r="D135" s="911"/>
      <c r="E135" s="904"/>
      <c r="F135" s="914"/>
      <c r="G135" s="904"/>
      <c r="H135" s="80"/>
      <c r="I135" s="81"/>
      <c r="J135" s="81"/>
      <c r="K135" s="81"/>
      <c r="L135" s="81"/>
      <c r="M135" s="81"/>
      <c r="N135" s="81"/>
      <c r="O135" s="81"/>
      <c r="P135" s="81"/>
      <c r="Q135" s="81"/>
      <c r="R135" s="81"/>
      <c r="S135" s="82"/>
      <c r="T135" s="82"/>
      <c r="U135" s="82"/>
      <c r="V135" s="82"/>
      <c r="W135" s="83"/>
      <c r="AR135" s="50">
        <v>0</v>
      </c>
    </row>
    <row r="136" spans="4:44" ht="11.45" customHeight="1">
      <c r="AR136" s="50">
        <v>11</v>
      </c>
    </row>
    <row r="137" spans="4:44" ht="11.45" customHeight="1">
      <c r="AR137" s="50">
        <v>11</v>
      </c>
    </row>
    <row r="138" spans="4:44" ht="11.45" customHeight="1">
      <c r="AR138" s="50">
        <v>11</v>
      </c>
    </row>
    <row r="139" spans="4:44" ht="11.45" customHeight="1">
      <c r="AR139" s="50">
        <v>11</v>
      </c>
    </row>
    <row r="140" spans="4:44" ht="11.45" customHeight="1">
      <c r="AR140" s="50">
        <v>11</v>
      </c>
    </row>
    <row r="141" spans="4:44" ht="11.45" customHeight="1">
      <c r="AR141" s="50">
        <v>11</v>
      </c>
    </row>
    <row r="142" spans="4:44" ht="11.45" customHeight="1">
      <c r="AR142" s="50">
        <v>11</v>
      </c>
    </row>
    <row r="143" spans="4:44" ht="11.45" customHeight="1">
      <c r="AR143" s="50">
        <v>11</v>
      </c>
    </row>
    <row r="144" spans="4:44" ht="11.45" customHeight="1">
      <c r="AR144" s="50">
        <v>11</v>
      </c>
    </row>
    <row r="145" spans="1:44" ht="11.45" customHeight="1">
      <c r="AR145" s="50">
        <v>11</v>
      </c>
    </row>
    <row r="146" spans="1:44" ht="11.25" hidden="1" customHeight="1">
      <c r="A146" s="29" t="s">
        <v>18</v>
      </c>
      <c r="B146" s="29">
        <v>0</v>
      </c>
      <c r="C146" s="50">
        <v>3</v>
      </c>
      <c r="D146" s="50">
        <v>6</v>
      </c>
      <c r="E146" s="50">
        <v>42</v>
      </c>
      <c r="F146" s="50">
        <v>14</v>
      </c>
      <c r="G146" s="50">
        <v>42</v>
      </c>
      <c r="H146" s="50">
        <v>3</v>
      </c>
      <c r="I146" s="50">
        <v>5</v>
      </c>
      <c r="J146" s="50">
        <v>47</v>
      </c>
      <c r="K146" s="50">
        <v>3</v>
      </c>
      <c r="L146" s="50">
        <v>3</v>
      </c>
      <c r="M146" s="50">
        <v>5</v>
      </c>
      <c r="N146" s="50">
        <v>28</v>
      </c>
      <c r="O146" s="50">
        <v>3</v>
      </c>
      <c r="P146" s="50">
        <v>3</v>
      </c>
      <c r="Q146" s="50">
        <v>5</v>
      </c>
      <c r="R146" s="50">
        <v>34</v>
      </c>
      <c r="S146" s="50">
        <v>0</v>
      </c>
      <c r="T146" s="50">
        <v>0</v>
      </c>
      <c r="U146" s="50">
        <v>0</v>
      </c>
      <c r="V146" s="50">
        <v>0</v>
      </c>
      <c r="W146" s="50">
        <v>30</v>
      </c>
      <c r="X146" s="50">
        <v>3</v>
      </c>
      <c r="Y146" s="59">
        <v>0</v>
      </c>
      <c r="Z146" s="59">
        <v>0</v>
      </c>
      <c r="AA146" s="59">
        <v>0</v>
      </c>
      <c r="AB146" s="59">
        <v>0</v>
      </c>
      <c r="AC146" s="59">
        <v>0</v>
      </c>
      <c r="AD146" s="59">
        <v>0</v>
      </c>
      <c r="AE146" s="59">
        <v>0</v>
      </c>
      <c r="AF146" s="59">
        <v>0</v>
      </c>
      <c r="AG146" s="59">
        <v>0</v>
      </c>
      <c r="AH146" s="59">
        <v>0</v>
      </c>
      <c r="AI146" s="59">
        <v>0</v>
      </c>
      <c r="AJ146" s="59">
        <v>0</v>
      </c>
      <c r="AK146" s="59">
        <v>0</v>
      </c>
      <c r="AL146" s="59">
        <v>0</v>
      </c>
      <c r="AM146" s="59">
        <v>0</v>
      </c>
      <c r="AN146" s="59">
        <v>0</v>
      </c>
      <c r="AO146" s="59">
        <v>0</v>
      </c>
      <c r="AP146" s="59">
        <v>0</v>
      </c>
      <c r="AQ146" s="59">
        <v>0</v>
      </c>
      <c r="AR146" s="50">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8" width="3" customWidth="1"/>
    <col min="19" max="19" width="12" customWidth="1"/>
    <col min="20" max="20" width="31" customWidth="1"/>
    <col min="21" max="21" width="0.140625" customWidth="1"/>
    <col min="22" max="22" width="24.7109375" hidden="1" customWidth="1"/>
    <col min="23" max="23" width="0.140625" hidden="1" customWidth="1"/>
    <col min="24" max="25" width="24.7109375" hidden="1" customWidth="1"/>
    <col min="26" max="26" width="11.7109375" hidden="1" customWidth="1"/>
    <col min="27" max="27" width="3.7109375" hidden="1" customWidth="1"/>
    <col min="28" max="28" width="11.7109375" hidden="1" customWidth="1"/>
    <col min="29" max="29" width="8.5703125" hidden="1" customWidth="1"/>
    <col min="30" max="30" width="24.7109375" customWidth="1"/>
    <col min="31" max="31" width="0.140625" customWidth="1"/>
    <col min="32" max="33" width="24" customWidth="1"/>
    <col min="34" max="34" width="11" customWidth="1"/>
    <col min="35" max="35" width="3.7109375" customWidth="1"/>
    <col min="36" max="36" width="11" customWidth="1"/>
    <col min="37" max="37" width="8.5703125" hidden="1" customWidth="1"/>
    <col min="38" max="38" width="4" customWidth="1"/>
    <col min="39" max="39" width="115" customWidth="1"/>
    <col min="40" max="44" width="10" customWidth="1"/>
    <col min="45" max="45" width="10.5703125" hidden="1"/>
  </cols>
  <sheetData>
    <row r="1" spans="5:45" ht="22.5" hidden="1" customHeight="1">
      <c r="AS1" s="3" t="s">
        <v>1</v>
      </c>
    </row>
    <row r="2" spans="5:45" ht="21" hidden="1" customHeight="1">
      <c r="E2" s="1026">
        <v>1</v>
      </c>
      <c r="R2" s="225"/>
      <c r="S2" s="226" t="e">
        <f>INDEX(PT_DIFFERENTIATION_NUM_NTAR,MATCH(A2,PT_DIFFERENTIATION_NTAR_ID,0))</f>
        <v>#N/A</v>
      </c>
      <c r="T2" s="227" t="s">
        <v>48</v>
      </c>
      <c r="U2" s="228"/>
      <c r="V2" s="995"/>
      <c r="W2" s="996"/>
      <c r="X2" s="996"/>
      <c r="Y2" s="996"/>
      <c r="Z2" s="996"/>
      <c r="AA2" s="996"/>
      <c r="AB2" s="996"/>
      <c r="AC2" s="997"/>
      <c r="AD2" s="995" t="e">
        <f>INDEX(PT_DIFFERENTIATION_NTAR,MATCH(A2,PT_DIFFERENTIATION_NTAR_ID,0))</f>
        <v>#N/A</v>
      </c>
      <c r="AE2" s="996"/>
      <c r="AF2" s="996"/>
      <c r="AG2" s="996"/>
      <c r="AH2" s="996"/>
      <c r="AI2" s="996"/>
      <c r="AJ2" s="996"/>
      <c r="AK2" s="996"/>
      <c r="AL2" s="997"/>
      <c r="AM2" s="230" t="s">
        <v>319</v>
      </c>
      <c r="AP2" s="29" t="str">
        <f t="shared" ref="AP2:AP15" si="0">IF(T2="","",T2)</f>
        <v>Наименование тарифа</v>
      </c>
      <c r="AS2" s="3">
        <v>0</v>
      </c>
    </row>
    <row r="3" spans="5:45" ht="21" hidden="1" customHeight="1">
      <c r="E3" s="1027"/>
      <c r="F3" s="1026">
        <v>1</v>
      </c>
      <c r="Q3" s="231"/>
      <c r="R3" s="232"/>
      <c r="S3" s="226" t="e">
        <f>INDEX(PT_DIFFERENTIATION_NUM_TER,MATCH(B3,PT_DIFFERENTIATION_TER_ID,0))</f>
        <v>#N/A</v>
      </c>
      <c r="T3" s="233" t="s">
        <v>320</v>
      </c>
      <c r="U3" s="228"/>
      <c r="V3" s="995"/>
      <c r="W3" s="996"/>
      <c r="X3" s="996"/>
      <c r="Y3" s="996"/>
      <c r="Z3" s="996"/>
      <c r="AA3" s="996"/>
      <c r="AB3" s="996"/>
      <c r="AC3" s="997"/>
      <c r="AD3" s="995" t="e">
        <f>INDEX(PT_DIFFERENTIATION_TER,MATCH(B3,PT_DIFFERENTIATION_TER_ID,0))</f>
        <v>#N/A</v>
      </c>
      <c r="AE3" s="996"/>
      <c r="AF3" s="996"/>
      <c r="AG3" s="996"/>
      <c r="AH3" s="996"/>
      <c r="AI3" s="996"/>
      <c r="AJ3" s="996"/>
      <c r="AK3" s="996"/>
      <c r="AL3" s="997"/>
      <c r="AM3" s="230" t="s">
        <v>321</v>
      </c>
      <c r="AP3" s="29" t="str">
        <f t="shared" si="0"/>
        <v>Территория действия тарифа</v>
      </c>
      <c r="AS3" s="3">
        <v>0</v>
      </c>
    </row>
    <row r="4" spans="5:45" ht="23.25" hidden="1" customHeight="1">
      <c r="E4" s="1027"/>
      <c r="F4" s="1027"/>
      <c r="G4" s="1026">
        <v>1</v>
      </c>
      <c r="Q4" s="231"/>
      <c r="R4" s="232"/>
      <c r="S4" s="226" t="e">
        <f>INDEX(PT_DIFFERENTIATION_NUM_CS,MATCH(C4,PT_DIFFERENTIATION_CS_ID,0))</f>
        <v>#N/A</v>
      </c>
      <c r="T4" s="234" t="s">
        <v>322</v>
      </c>
      <c r="U4" s="228"/>
      <c r="V4" s="995"/>
      <c r="W4" s="996"/>
      <c r="X4" s="996"/>
      <c r="Y4" s="996"/>
      <c r="Z4" s="996"/>
      <c r="AA4" s="996"/>
      <c r="AB4" s="996"/>
      <c r="AC4" s="997"/>
      <c r="AD4" s="995" t="e">
        <f>INDEX(PT_DIFFERENTIATION_CS,MATCH(C4,PT_DIFFERENTIATION_CS_ID,0))</f>
        <v>#N/A</v>
      </c>
      <c r="AE4" s="996"/>
      <c r="AF4" s="996"/>
      <c r="AG4" s="996"/>
      <c r="AH4" s="996"/>
      <c r="AI4" s="996"/>
      <c r="AJ4" s="996"/>
      <c r="AK4" s="996"/>
      <c r="AL4" s="997"/>
      <c r="AM4" s="230" t="s">
        <v>323</v>
      </c>
      <c r="AP4" s="29" t="str">
        <f t="shared" si="0"/>
        <v xml:space="preserve">Наименование системы теплоснабжения </v>
      </c>
      <c r="AS4" s="3">
        <v>0</v>
      </c>
    </row>
    <row r="5" spans="5:45" ht="21" hidden="1" customHeight="1">
      <c r="E5" s="1027"/>
      <c r="F5" s="1027"/>
      <c r="G5" s="1027"/>
      <c r="H5" s="1026">
        <v>1</v>
      </c>
      <c r="Q5" s="231"/>
      <c r="R5" s="232"/>
      <c r="S5" s="226" t="e">
        <f>INDEX(PT_DIFFERENTIATION_NUM_IST_TE,MATCH(D5,PT_DIFFERENTIATION_IST_TE_ID,0))</f>
        <v>#N/A</v>
      </c>
      <c r="T5" s="235" t="s">
        <v>324</v>
      </c>
      <c r="U5" s="228"/>
      <c r="V5" s="995"/>
      <c r="W5" s="996"/>
      <c r="X5" s="996"/>
      <c r="Y5" s="996"/>
      <c r="Z5" s="996"/>
      <c r="AA5" s="996"/>
      <c r="AB5" s="996"/>
      <c r="AC5" s="997"/>
      <c r="AD5" s="995" t="e">
        <f>INDEX(PT_DIFFERENTIATION_IST_TE,MATCH(D5,PT_DIFFERENTIATION_IST_TE_ID,0))</f>
        <v>#N/A</v>
      </c>
      <c r="AE5" s="996"/>
      <c r="AF5" s="996"/>
      <c r="AG5" s="996"/>
      <c r="AH5" s="996"/>
      <c r="AI5" s="996"/>
      <c r="AJ5" s="996"/>
      <c r="AK5" s="996"/>
      <c r="AL5" s="997"/>
      <c r="AM5" s="230" t="s">
        <v>325</v>
      </c>
      <c r="AP5" s="29" t="str">
        <f t="shared" si="0"/>
        <v xml:space="preserve">Источник тепловой энергии  </v>
      </c>
      <c r="AS5" s="3">
        <v>0</v>
      </c>
    </row>
    <row r="6" spans="5:45" ht="47.25" hidden="1" customHeight="1">
      <c r="E6" s="1027"/>
      <c r="F6" s="1027"/>
      <c r="G6" s="1027"/>
      <c r="H6" s="1027"/>
      <c r="I6" s="894" t="e">
        <f>S5&amp;".1"</f>
        <v>#N/A</v>
      </c>
      <c r="L6" s="289" t="s">
        <v>326</v>
      </c>
      <c r="P6" s="1004">
        <v>1</v>
      </c>
      <c r="R6" s="238"/>
      <c r="S6" s="226" t="e">
        <f>$I6</f>
        <v>#N/A</v>
      </c>
      <c r="T6" s="239" t="s">
        <v>327</v>
      </c>
      <c r="U6" s="228"/>
      <c r="V6" s="989"/>
      <c r="W6" s="990"/>
      <c r="X6" s="990"/>
      <c r="Y6" s="990"/>
      <c r="Z6" s="990"/>
      <c r="AA6" s="990"/>
      <c r="AB6" s="990"/>
      <c r="AC6" s="991"/>
      <c r="AD6" s="989"/>
      <c r="AE6" s="990"/>
      <c r="AF6" s="990"/>
      <c r="AG6" s="990"/>
      <c r="AH6" s="990"/>
      <c r="AI6" s="990"/>
      <c r="AJ6" s="990"/>
      <c r="AK6" s="990"/>
      <c r="AL6" s="991"/>
      <c r="AM6" s="230" t="s">
        <v>328</v>
      </c>
      <c r="AP6" s="29" t="str">
        <f t="shared" si="0"/>
        <v>Схема подключения теплопотребляющей установки к коллектору источника тепловой энергии</v>
      </c>
      <c r="AS6" s="3">
        <v>0</v>
      </c>
    </row>
    <row r="7" spans="5:45" ht="21" hidden="1" customHeight="1">
      <c r="E7" s="1027"/>
      <c r="F7" s="1027"/>
      <c r="G7" s="1027"/>
      <c r="H7" s="1027"/>
      <c r="I7" s="887"/>
      <c r="J7" s="894" t="e">
        <f>I6&amp;".1"</f>
        <v>#N/A</v>
      </c>
      <c r="L7" s="289" t="s">
        <v>329</v>
      </c>
      <c r="P7" s="885"/>
      <c r="Q7" s="1004">
        <v>1</v>
      </c>
      <c r="R7" s="240"/>
      <c r="S7" s="226" t="e">
        <f>$J7</f>
        <v>#N/A</v>
      </c>
      <c r="T7" s="241" t="s">
        <v>330</v>
      </c>
      <c r="U7" s="228"/>
      <c r="V7" s="989"/>
      <c r="W7" s="990"/>
      <c r="X7" s="990"/>
      <c r="Y7" s="990"/>
      <c r="Z7" s="990"/>
      <c r="AA7" s="990"/>
      <c r="AB7" s="990"/>
      <c r="AC7" s="991"/>
      <c r="AD7" s="989"/>
      <c r="AE7" s="990"/>
      <c r="AF7" s="990"/>
      <c r="AG7" s="990"/>
      <c r="AH7" s="990"/>
      <c r="AI7" s="990"/>
      <c r="AJ7" s="990"/>
      <c r="AK7" s="990"/>
      <c r="AL7" s="991"/>
      <c r="AM7" s="230" t="s">
        <v>331</v>
      </c>
      <c r="AP7" s="29" t="str">
        <f t="shared" si="0"/>
        <v>Группа потребителей</v>
      </c>
      <c r="AS7" s="3">
        <v>0</v>
      </c>
    </row>
    <row r="8" spans="5:45" ht="21" hidden="1" customHeight="1">
      <c r="E8" s="1027"/>
      <c r="F8" s="1027"/>
      <c r="G8" s="1027"/>
      <c r="H8" s="1027"/>
      <c r="I8" s="887"/>
      <c r="J8" s="887"/>
      <c r="K8" s="894" t="e">
        <f>J7&amp;".1"</f>
        <v>#N/A</v>
      </c>
      <c r="L8" s="289" t="s">
        <v>332</v>
      </c>
      <c r="P8" s="885"/>
      <c r="Q8" s="885"/>
      <c r="R8" s="240">
        <v>1</v>
      </c>
      <c r="S8" s="226" t="e">
        <f>$K8</f>
        <v>#N/A</v>
      </c>
      <c r="T8" s="242"/>
      <c r="U8" s="228"/>
      <c r="V8" s="243"/>
      <c r="W8" s="244"/>
      <c r="X8" s="243"/>
      <c r="Y8" s="245"/>
      <c r="Z8" s="1005"/>
      <c r="AA8" s="895" t="s">
        <v>17</v>
      </c>
      <c r="AB8" s="1005"/>
      <c r="AC8" s="895" t="s">
        <v>17</v>
      </c>
      <c r="AD8" s="243"/>
      <c r="AE8" s="244"/>
      <c r="AF8" s="243"/>
      <c r="AG8" s="245"/>
      <c r="AH8" s="1005"/>
      <c r="AI8" s="895" t="s">
        <v>17</v>
      </c>
      <c r="AJ8" s="1005"/>
      <c r="AK8" s="895" t="s">
        <v>17</v>
      </c>
      <c r="AL8" s="244"/>
      <c r="AM8" s="1023" t="s">
        <v>333</v>
      </c>
      <c r="AN8" s="24" t="e">
        <f ca="1">STRCHECKDATE(V9:AL9)</f>
        <v>#NAME?</v>
      </c>
      <c r="AP8" s="29" t="str">
        <f t="shared" si="0"/>
        <v/>
      </c>
      <c r="AS8" s="3">
        <v>0</v>
      </c>
    </row>
    <row r="9" spans="5:45" ht="0.75" hidden="1" customHeight="1">
      <c r="E9" s="1027"/>
      <c r="F9" s="1027"/>
      <c r="G9" s="1027"/>
      <c r="H9" s="1027"/>
      <c r="I9" s="887"/>
      <c r="J9" s="887"/>
      <c r="K9" s="894"/>
      <c r="P9" s="885"/>
      <c r="Q9" s="885"/>
      <c r="R9" s="240"/>
      <c r="S9" s="209"/>
      <c r="T9" s="228"/>
      <c r="U9" s="228"/>
      <c r="V9" s="244"/>
      <c r="W9" s="244"/>
      <c r="X9" s="244"/>
      <c r="Y9" s="247" t="str">
        <f>Z8&amp;"-"&amp;AB8</f>
        <v>-</v>
      </c>
      <c r="Z9" s="1006"/>
      <c r="AA9" s="895"/>
      <c r="AB9" s="1006"/>
      <c r="AC9" s="895"/>
      <c r="AD9" s="244"/>
      <c r="AE9" s="244"/>
      <c r="AF9" s="244"/>
      <c r="AG9" s="247" t="str">
        <f>AH8&amp;"-"&amp;AJ8</f>
        <v>-</v>
      </c>
      <c r="AH9" s="1006"/>
      <c r="AI9" s="895"/>
      <c r="AJ9" s="1006"/>
      <c r="AK9" s="895"/>
      <c r="AL9" s="244"/>
      <c r="AM9" s="1024"/>
      <c r="AP9" s="29" t="str">
        <f t="shared" si="0"/>
        <v/>
      </c>
      <c r="AS9" s="3">
        <v>0</v>
      </c>
    </row>
    <row r="10" spans="5:45" ht="15" hidden="1" customHeight="1">
      <c r="E10" s="1027"/>
      <c r="F10" s="1027"/>
      <c r="G10" s="1027"/>
      <c r="H10" s="1027"/>
      <c r="I10" s="887"/>
      <c r="J10" s="894"/>
      <c r="P10" s="885"/>
      <c r="Q10" s="885"/>
      <c r="R10" s="238"/>
      <c r="S10" s="249"/>
      <c r="T10" s="250" t="s">
        <v>334</v>
      </c>
      <c r="U10" s="54"/>
      <c r="V10" s="54"/>
      <c r="W10" s="54"/>
      <c r="X10" s="54"/>
      <c r="Y10" s="54"/>
      <c r="Z10" s="54"/>
      <c r="AA10" s="54"/>
      <c r="AB10" s="54"/>
      <c r="AC10" s="54"/>
      <c r="AD10" s="54"/>
      <c r="AE10" s="54"/>
      <c r="AF10" s="54"/>
      <c r="AG10" s="54"/>
      <c r="AH10" s="54"/>
      <c r="AI10" s="54"/>
      <c r="AJ10" s="54"/>
      <c r="AK10" s="54"/>
      <c r="AL10" s="251"/>
      <c r="AM10" s="1025"/>
      <c r="AP10" s="29" t="str">
        <f t="shared" si="0"/>
        <v>Добавить вид теплоносителя (параметры теплоносителя)</v>
      </c>
      <c r="AS10" s="3">
        <v>0</v>
      </c>
    </row>
    <row r="11" spans="5:45" ht="15" hidden="1" customHeight="1">
      <c r="E11" s="1027"/>
      <c r="F11" s="1027"/>
      <c r="G11" s="1027"/>
      <c r="H11" s="1027"/>
      <c r="I11" s="894"/>
      <c r="P11" s="885"/>
      <c r="R11" s="238"/>
      <c r="S11" s="249"/>
      <c r="T11" s="252" t="s">
        <v>335</v>
      </c>
      <c r="U11" s="54"/>
      <c r="V11" s="54"/>
      <c r="W11" s="54"/>
      <c r="X11" s="54"/>
      <c r="Y11" s="54"/>
      <c r="Z11" s="54"/>
      <c r="AA11" s="54"/>
      <c r="AB11" s="54"/>
      <c r="AC11" s="253"/>
      <c r="AD11" s="54"/>
      <c r="AE11" s="54"/>
      <c r="AF11" s="54"/>
      <c r="AG11" s="54"/>
      <c r="AH11" s="54"/>
      <c r="AI11" s="54"/>
      <c r="AJ11" s="54"/>
      <c r="AK11" s="253"/>
      <c r="AL11" s="54"/>
      <c r="AM11" s="254"/>
      <c r="AP11" s="29" t="str">
        <f t="shared" si="0"/>
        <v>Добавить группу потребителей</v>
      </c>
      <c r="AS11" s="3">
        <v>0</v>
      </c>
    </row>
    <row r="12" spans="5:45" ht="14.25" hidden="1" customHeight="1">
      <c r="E12" s="1027"/>
      <c r="F12" s="1027"/>
      <c r="G12" s="1027"/>
      <c r="H12" s="1026"/>
      <c r="R12" s="225"/>
      <c r="S12" s="249"/>
      <c r="T12" s="255" t="s">
        <v>336</v>
      </c>
      <c r="U12" s="54"/>
      <c r="V12" s="54"/>
      <c r="W12" s="54"/>
      <c r="X12" s="54"/>
      <c r="Y12" s="54"/>
      <c r="Z12" s="54"/>
      <c r="AA12" s="54"/>
      <c r="AB12" s="54"/>
      <c r="AC12" s="253"/>
      <c r="AD12" s="54"/>
      <c r="AE12" s="54"/>
      <c r="AF12" s="54"/>
      <c r="AG12" s="54"/>
      <c r="AH12" s="54"/>
      <c r="AI12" s="54"/>
      <c r="AJ12" s="54"/>
      <c r="AK12" s="253"/>
      <c r="AL12" s="54"/>
      <c r="AM12" s="254"/>
      <c r="AP12" s="29" t="str">
        <f t="shared" si="0"/>
        <v>Добавить схему подключения</v>
      </c>
      <c r="AS12" s="3">
        <v>0</v>
      </c>
    </row>
    <row r="13" spans="5:45" ht="0.75" hidden="1" customHeight="1">
      <c r="E13" s="1027"/>
      <c r="F13" s="1027"/>
      <c r="G13" s="1026"/>
      <c r="S13" s="256"/>
      <c r="T13" s="257" t="s">
        <v>337</v>
      </c>
      <c r="U13" s="258"/>
      <c r="V13" s="258"/>
      <c r="W13" s="258"/>
      <c r="X13" s="258"/>
      <c r="Y13" s="258"/>
      <c r="Z13" s="258"/>
      <c r="AA13" s="258"/>
      <c r="AB13" s="258"/>
      <c r="AC13" s="258"/>
      <c r="AD13" s="258"/>
      <c r="AE13" s="258"/>
      <c r="AF13" s="258"/>
      <c r="AG13" s="258"/>
      <c r="AH13" s="258"/>
      <c r="AI13" s="258"/>
      <c r="AJ13" s="258"/>
      <c r="AK13" s="258"/>
      <c r="AL13" s="258"/>
      <c r="AM13" s="258"/>
      <c r="AP13" s="29" t="str">
        <f t="shared" si="0"/>
        <v>Добавить источник для дифференциации</v>
      </c>
      <c r="AS13" s="24">
        <v>0</v>
      </c>
    </row>
    <row r="14" spans="5:45" ht="0.75" hidden="1" customHeight="1">
      <c r="E14" s="1027"/>
      <c r="F14" s="1026"/>
      <c r="T14" s="259" t="s">
        <v>338</v>
      </c>
      <c r="AP14" s="29" t="str">
        <f t="shared" si="0"/>
        <v>Добавить централизованную систему для дифференциации</v>
      </c>
      <c r="AS14" s="24">
        <v>0</v>
      </c>
    </row>
    <row r="15" spans="5:45" ht="0.75" hidden="1" customHeight="1">
      <c r="E15" s="1026"/>
      <c r="T15" s="260" t="s">
        <v>339</v>
      </c>
      <c r="AP15" s="29" t="str">
        <f t="shared" si="0"/>
        <v>Добавить территорию для дифференциации</v>
      </c>
      <c r="AS15" s="24">
        <v>0</v>
      </c>
    </row>
    <row r="16" spans="5:45" ht="14.25" hidden="1" customHeight="1">
      <c r="AS16" s="3">
        <v>0</v>
      </c>
    </row>
    <row r="17" spans="15:45" ht="14.25" hidden="1" customHeight="1">
      <c r="AD17" s="261"/>
      <c r="AE17" s="261"/>
      <c r="AF17" s="261"/>
      <c r="AG17" s="262"/>
      <c r="AH17" s="999"/>
      <c r="AI17" s="998" t="s">
        <v>17</v>
      </c>
      <c r="AJ17" s="999"/>
      <c r="AK17" s="998" t="s">
        <v>17</v>
      </c>
      <c r="AS17" s="3">
        <v>0</v>
      </c>
    </row>
    <row r="18" spans="15:45" ht="14.25" hidden="1" customHeight="1">
      <c r="AD18" s="261"/>
      <c r="AE18" s="261"/>
      <c r="AF18" s="261"/>
      <c r="AG18" s="247" t="str">
        <f>AH17&amp;"-"&amp;AJ17</f>
        <v>-</v>
      </c>
      <c r="AH18" s="998"/>
      <c r="AI18" s="998"/>
      <c r="AJ18" s="998"/>
      <c r="AK18" s="998"/>
      <c r="AS18" s="3">
        <v>0</v>
      </c>
    </row>
    <row r="19" spans="15:45" ht="14.25" hidden="1" customHeight="1">
      <c r="AS19" s="3">
        <v>0</v>
      </c>
    </row>
    <row r="20" spans="15:45" ht="14.25" hidden="1" customHeight="1">
      <c r="O20" s="290" t="s">
        <v>340</v>
      </c>
      <c r="Z20" s="263"/>
      <c r="AB20" s="263"/>
      <c r="AH20" s="263"/>
      <c r="AJ20" s="263"/>
      <c r="AS20" s="11">
        <v>0</v>
      </c>
    </row>
    <row r="21" spans="15:45" ht="14.25" hidden="1" customHeight="1">
      <c r="AS21" s="11">
        <v>0</v>
      </c>
    </row>
    <row r="22" spans="15:45" ht="14.25" hidden="1" customHeight="1">
      <c r="O22" s="289" t="s">
        <v>341</v>
      </c>
      <c r="T22" s="11" t="s">
        <v>342</v>
      </c>
      <c r="AA22" s="60" t="s">
        <v>343</v>
      </c>
      <c r="AC22" s="60" t="s">
        <v>344</v>
      </c>
      <c r="AD22" s="11" t="s">
        <v>342</v>
      </c>
      <c r="AI22" s="60" t="s">
        <v>345</v>
      </c>
      <c r="AK22" s="60" t="s">
        <v>344</v>
      </c>
      <c r="AS22" s="11">
        <v>0</v>
      </c>
    </row>
    <row r="23" spans="15:45" ht="14.25" hidden="1" customHeight="1">
      <c r="AS23" s="3">
        <v>0</v>
      </c>
    </row>
    <row r="24" spans="15:45" ht="14.25" hidden="1" customHeight="1">
      <c r="AS24" s="3">
        <v>0</v>
      </c>
    </row>
    <row r="25" spans="15:45" ht="14.65" customHeight="1">
      <c r="Q25" s="264"/>
      <c r="R25" s="264"/>
      <c r="S25" s="265"/>
      <c r="T25" s="12"/>
      <c r="U25" s="12"/>
      <c r="AS25" s="3">
        <v>14</v>
      </c>
    </row>
    <row r="26" spans="15:45" ht="14.65" customHeight="1">
      <c r="Q26" s="264"/>
      <c r="R26" s="264"/>
      <c r="S26" s="98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982"/>
      <c r="U26" s="982"/>
      <c r="V26" s="982"/>
      <c r="W26" s="982"/>
      <c r="X26" s="982"/>
      <c r="Y26" s="982"/>
      <c r="Z26" s="982"/>
      <c r="AA26" s="982"/>
      <c r="AB26" s="982"/>
      <c r="AC26" s="982"/>
      <c r="AD26" s="982"/>
      <c r="AE26" s="982"/>
      <c r="AF26" s="982"/>
      <c r="AG26" s="982"/>
      <c r="AH26" s="982"/>
      <c r="AI26" s="982"/>
      <c r="AJ26" s="982"/>
      <c r="AS26" s="3">
        <v>14</v>
      </c>
    </row>
    <row r="27" spans="15:45" ht="14.65" customHeight="1">
      <c r="Q27" s="264"/>
      <c r="R27" s="264"/>
      <c r="S27" s="955" t="e">
        <f>IF(org=0,"Не определено",org)</f>
        <v>#REF!</v>
      </c>
      <c r="T27" s="955"/>
      <c r="U27" s="955"/>
      <c r="V27" s="955"/>
      <c r="W27" s="955"/>
      <c r="X27" s="955"/>
      <c r="Y27" s="955"/>
      <c r="Z27" s="955"/>
      <c r="AA27" s="955"/>
      <c r="AB27" s="955"/>
      <c r="AC27" s="955"/>
      <c r="AD27" s="955"/>
      <c r="AE27" s="955"/>
      <c r="AF27" s="955"/>
      <c r="AG27" s="955"/>
      <c r="AH27" s="955"/>
      <c r="AI27" s="955"/>
      <c r="AJ27" s="955"/>
      <c r="AS27" s="3">
        <v>14</v>
      </c>
    </row>
    <row r="28" spans="15:45" ht="14.25" hidden="1" customHeight="1">
      <c r="Q28" s="264"/>
      <c r="R28" s="264"/>
      <c r="S28" s="265"/>
      <c r="T28" s="12"/>
      <c r="U28" s="12"/>
      <c r="V28" s="266"/>
      <c r="W28" s="266"/>
      <c r="X28" s="266"/>
      <c r="Y28" s="266"/>
      <c r="Z28" s="266"/>
      <c r="AA28" s="266"/>
      <c r="AB28" s="266"/>
      <c r="AC28" s="266"/>
      <c r="AD28" s="266"/>
      <c r="AE28" s="266"/>
      <c r="AF28" s="266"/>
      <c r="AG28" s="266"/>
      <c r="AH28" s="266"/>
      <c r="AI28" s="266"/>
      <c r="AJ28" s="266"/>
      <c r="AK28" s="266"/>
      <c r="AS28" s="3">
        <v>0</v>
      </c>
    </row>
    <row r="29" spans="15:45" ht="25.5" hidden="1" customHeight="1">
      <c r="S29" s="992" t="s">
        <v>9</v>
      </c>
      <c r="T29" s="992"/>
      <c r="U29" s="268"/>
      <c r="V29" s="994" t="e">
        <f>IF(TITLE_NAME_OR_PR_CHANGE="",IF(TITLE_NAME_OR_PR="","",TITLE_NAME_OR_PR),TITLE_NAME_OR_PR_CHANGE)</f>
        <v>#REF!</v>
      </c>
      <c r="W29" s="994"/>
      <c r="X29" s="994"/>
      <c r="Y29" s="994"/>
      <c r="Z29" s="994"/>
      <c r="AA29" s="994"/>
      <c r="AB29" s="994"/>
      <c r="AD29" s="994" t="e">
        <f>IF(TITLE_NAME_OR_PR_CHANGE="",IF(TITLE_NAME_OR_PR="","",TITLE_NAME_OR_PR),TITLE_NAME_OR_PR_CHANGE)</f>
        <v>#REF!</v>
      </c>
      <c r="AE29" s="994"/>
      <c r="AF29" s="994"/>
      <c r="AG29" s="994"/>
      <c r="AH29" s="994"/>
      <c r="AI29" s="994"/>
      <c r="AJ29" s="994"/>
      <c r="AS29" s="50">
        <v>0</v>
      </c>
    </row>
    <row r="30" spans="15:45" ht="18.75" hidden="1" customHeight="1">
      <c r="S30" s="992" t="s">
        <v>346</v>
      </c>
      <c r="T30" s="992"/>
      <c r="U30" s="268"/>
      <c r="V30" s="993" t="e">
        <f>IF(TITLE_DATE_PR_CHANGE="",IF(TITLE_DATE_PR="","",TITLE_DATE_PR),TITLE_DATE_PR_CHANGE)</f>
        <v>#REF!</v>
      </c>
      <c r="W30" s="993"/>
      <c r="X30" s="993"/>
      <c r="Y30" s="993"/>
      <c r="Z30" s="993"/>
      <c r="AA30" s="993"/>
      <c r="AB30" s="993"/>
      <c r="AD30" s="993" t="e">
        <f>IF(TITLE_DATE_PR_CHANGE="",IF(TITLE_DATE_PR="","",TITLE_DATE_PR),TITLE_DATE_PR_CHANGE)</f>
        <v>#REF!</v>
      </c>
      <c r="AE30" s="993"/>
      <c r="AF30" s="993"/>
      <c r="AG30" s="993"/>
      <c r="AH30" s="993"/>
      <c r="AI30" s="993"/>
      <c r="AJ30" s="993"/>
      <c r="AS30" s="50">
        <v>0</v>
      </c>
    </row>
    <row r="31" spans="15:45" ht="18.75" hidden="1" customHeight="1">
      <c r="S31" s="992" t="s">
        <v>347</v>
      </c>
      <c r="T31" s="992"/>
      <c r="U31" s="268"/>
      <c r="V31" s="994" t="e">
        <f>IF(TITLE_NUMBER_PR_CHANGE="",IF(TITLE_NUMBER_PR="","",TITLE_NUMBER_PR),TITLE_NUMBER_PR_CHANGE)</f>
        <v>#REF!</v>
      </c>
      <c r="W31" s="994"/>
      <c r="X31" s="994"/>
      <c r="Y31" s="994"/>
      <c r="Z31" s="994"/>
      <c r="AA31" s="994"/>
      <c r="AB31" s="994"/>
      <c r="AD31" s="994" t="e">
        <f>IF(TITLE_NUMBER_PR_CHANGE="",IF(TITLE_NUMBER_PR="","",TITLE_NUMBER_PR),TITLE_NUMBER_PR_CHANGE)</f>
        <v>#REF!</v>
      </c>
      <c r="AE31" s="994"/>
      <c r="AF31" s="994"/>
      <c r="AG31" s="994"/>
      <c r="AH31" s="994"/>
      <c r="AI31" s="994"/>
      <c r="AJ31" s="994"/>
      <c r="AS31" s="50">
        <v>0</v>
      </c>
    </row>
    <row r="32" spans="15:45" ht="18.75" hidden="1" customHeight="1">
      <c r="S32" s="992" t="s">
        <v>10</v>
      </c>
      <c r="T32" s="992"/>
      <c r="U32" s="268"/>
      <c r="V32" s="994" t="e">
        <f>IF(TITLE_IST_PUB_CHANGE="",IF(TITLE_IST_PUB="","",TITLE_IST_PUB),TITLE_IST_PUB_CHANGE)</f>
        <v>#REF!</v>
      </c>
      <c r="W32" s="994"/>
      <c r="X32" s="994"/>
      <c r="Y32" s="994"/>
      <c r="Z32" s="994"/>
      <c r="AA32" s="994"/>
      <c r="AB32" s="994"/>
      <c r="AD32" s="994" t="e">
        <f>IF(TITLE_IST_PUB_CHANGE="",IF(TITLE_IST_PUB="","",TITLE_IST_PUB),TITLE_IST_PUB_CHANGE)</f>
        <v>#REF!</v>
      </c>
      <c r="AE32" s="994"/>
      <c r="AF32" s="994"/>
      <c r="AG32" s="994"/>
      <c r="AH32" s="994"/>
      <c r="AI32" s="994"/>
      <c r="AJ32" s="994"/>
      <c r="AS32" s="50">
        <v>0</v>
      </c>
    </row>
    <row r="33" spans="1:45" ht="14.25" hidden="1" customHeight="1">
      <c r="Q33" s="264"/>
      <c r="R33" s="264"/>
      <c r="S33" s="265"/>
      <c r="T33" s="12"/>
      <c r="U33" s="12"/>
      <c r="V33" s="266"/>
      <c r="W33" s="266"/>
      <c r="X33" s="266"/>
      <c r="Y33" s="266"/>
      <c r="Z33" s="266"/>
      <c r="AA33" s="266"/>
      <c r="AB33" s="266"/>
      <c r="AC33" s="266"/>
      <c r="AD33" s="266"/>
      <c r="AE33" s="266"/>
      <c r="AF33" s="266"/>
      <c r="AG33" s="266"/>
      <c r="AH33" s="266"/>
      <c r="AI33" s="266"/>
      <c r="AJ33" s="266"/>
      <c r="AK33" s="266"/>
      <c r="AS33" s="3">
        <v>0</v>
      </c>
    </row>
    <row r="34" spans="1:45" ht="18.75" hidden="1" customHeight="1">
      <c r="S34" s="992" t="s">
        <v>348</v>
      </c>
      <c r="T34" s="992"/>
      <c r="U34" s="268"/>
      <c r="V34" s="993" t="e">
        <f>IF(TITLE_DATE_PR_CHANGE="",IF(TITLE_DATE_PR="","",TITLE_DATE_PR),TITLE_DATE_PR_CHANGE)</f>
        <v>#REF!</v>
      </c>
      <c r="W34" s="993"/>
      <c r="X34" s="993"/>
      <c r="Y34" s="993"/>
      <c r="Z34" s="993"/>
      <c r="AA34" s="993"/>
      <c r="AB34" s="993"/>
      <c r="AD34" s="993" t="e">
        <f>IF(TITLE_DATE_PR_CHANGE="",IF(TITLE_DATE_PR="","",TITLE_DATE_PR),TITLE_DATE_PR_CHANGE)</f>
        <v>#REF!</v>
      </c>
      <c r="AE34" s="993"/>
      <c r="AF34" s="993"/>
      <c r="AG34" s="993"/>
      <c r="AH34" s="993"/>
      <c r="AI34" s="993"/>
      <c r="AJ34" s="993"/>
      <c r="AS34" s="50">
        <v>0</v>
      </c>
    </row>
    <row r="35" spans="1:45" ht="18.75" hidden="1" customHeight="1">
      <c r="S35" s="992" t="s">
        <v>349</v>
      </c>
      <c r="T35" s="992"/>
      <c r="U35" s="268"/>
      <c r="V35" s="994" t="e">
        <f>IF(TITLE_NUMBER_PR_CHANGE="",IF(TITLE_NUMBER_PR="","",TITLE_NUMBER_PR),TITLE_NUMBER_PR_CHANGE)</f>
        <v>#REF!</v>
      </c>
      <c r="W35" s="994"/>
      <c r="X35" s="994"/>
      <c r="Y35" s="994"/>
      <c r="Z35" s="994"/>
      <c r="AA35" s="994"/>
      <c r="AB35" s="994"/>
      <c r="AD35" s="994" t="e">
        <f>IF(TITLE_NUMBER_PR_CHANGE="",IF(TITLE_NUMBER_PR="","",TITLE_NUMBER_PR),TITLE_NUMBER_PR_CHANGE)</f>
        <v>#REF!</v>
      </c>
      <c r="AE35" s="994"/>
      <c r="AF35" s="994"/>
      <c r="AG35" s="994"/>
      <c r="AH35" s="994"/>
      <c r="AI35" s="994"/>
      <c r="AJ35" s="994"/>
      <c r="AS35" s="50">
        <v>0</v>
      </c>
    </row>
    <row r="36" spans="1:45" ht="0" hidden="1" customHeight="1">
      <c r="AC36" s="24" t="s">
        <v>350</v>
      </c>
      <c r="AK36" s="24" t="s">
        <v>350</v>
      </c>
      <c r="AS36" s="50">
        <v>0</v>
      </c>
    </row>
    <row r="37" spans="1:45" ht="14.65" customHeight="1">
      <c r="Q37" s="264"/>
      <c r="R37" s="264"/>
      <c r="S37" s="265"/>
      <c r="T37" s="12"/>
      <c r="U37" s="270"/>
      <c r="V37" s="1012"/>
      <c r="W37" s="1012"/>
      <c r="X37" s="1012"/>
      <c r="Y37" s="1012"/>
      <c r="Z37" s="1012"/>
      <c r="AA37" s="1012"/>
      <c r="AB37" s="1012"/>
      <c r="AC37" s="1012"/>
      <c r="AD37" s="1012"/>
      <c r="AE37" s="1012"/>
      <c r="AF37" s="1012"/>
      <c r="AG37" s="1012"/>
      <c r="AH37" s="1012"/>
      <c r="AI37" s="1012"/>
      <c r="AJ37" s="1012"/>
      <c r="AK37" s="1012"/>
      <c r="AS37" s="3">
        <v>14</v>
      </c>
    </row>
    <row r="38" spans="1:45" ht="14.65" customHeight="1">
      <c r="Q38" s="264"/>
      <c r="R38" s="264"/>
      <c r="S38" s="894" t="s">
        <v>223</v>
      </c>
      <c r="T38" s="894"/>
      <c r="U38" s="894"/>
      <c r="V38" s="894"/>
      <c r="W38" s="894"/>
      <c r="X38" s="894"/>
      <c r="Y38" s="894"/>
      <c r="Z38" s="894"/>
      <c r="AA38" s="894"/>
      <c r="AB38" s="894"/>
      <c r="AC38" s="894"/>
      <c r="AD38" s="894"/>
      <c r="AE38" s="894"/>
      <c r="AF38" s="894"/>
      <c r="AG38" s="894"/>
      <c r="AH38" s="894"/>
      <c r="AI38" s="894"/>
      <c r="AJ38" s="894"/>
      <c r="AK38" s="894"/>
      <c r="AL38" s="894"/>
      <c r="AM38" s="894" t="s">
        <v>224</v>
      </c>
      <c r="AS38" s="3">
        <v>14</v>
      </c>
    </row>
    <row r="39" spans="1:45" ht="14.65" customHeight="1">
      <c r="Q39" s="264"/>
      <c r="R39" s="264"/>
      <c r="S39" s="1013" t="s">
        <v>24</v>
      </c>
      <c r="T39" s="962" t="s">
        <v>351</v>
      </c>
      <c r="U39" s="272"/>
      <c r="V39" s="1014" t="s">
        <v>352</v>
      </c>
      <c r="W39" s="1015"/>
      <c r="X39" s="1015"/>
      <c r="Y39" s="1015"/>
      <c r="Z39" s="1015"/>
      <c r="AA39" s="1015"/>
      <c r="AB39" s="1016"/>
      <c r="AC39" s="1017" t="s">
        <v>353</v>
      </c>
      <c r="AD39" s="1014" t="s">
        <v>352</v>
      </c>
      <c r="AE39" s="1015"/>
      <c r="AF39" s="1015"/>
      <c r="AG39" s="1015"/>
      <c r="AH39" s="1015"/>
      <c r="AI39" s="1015"/>
      <c r="AJ39" s="1016"/>
      <c r="AK39" s="1017" t="s">
        <v>354</v>
      </c>
      <c r="AL39" s="1020" t="s">
        <v>355</v>
      </c>
      <c r="AM39" s="894"/>
      <c r="AS39" s="3">
        <v>14</v>
      </c>
    </row>
    <row r="40" spans="1:45" ht="35.65" customHeight="1">
      <c r="Q40" s="264"/>
      <c r="R40" s="264"/>
      <c r="S40" s="1013"/>
      <c r="T40" s="962"/>
      <c r="U40" s="274"/>
      <c r="V40" s="935" t="s">
        <v>356</v>
      </c>
      <c r="W40" s="1009" t="s">
        <v>357</v>
      </c>
      <c r="X40" s="887" t="s">
        <v>358</v>
      </c>
      <c r="Y40" s="886"/>
      <c r="Z40" s="887" t="s">
        <v>372</v>
      </c>
      <c r="AA40" s="890"/>
      <c r="AB40" s="886"/>
      <c r="AC40" s="1018"/>
      <c r="AD40" s="935" t="s">
        <v>356</v>
      </c>
      <c r="AE40" s="1009" t="s">
        <v>357</v>
      </c>
      <c r="AF40" s="887" t="s">
        <v>358</v>
      </c>
      <c r="AG40" s="886"/>
      <c r="AH40" s="887" t="s">
        <v>359</v>
      </c>
      <c r="AI40" s="890"/>
      <c r="AJ40" s="886"/>
      <c r="AK40" s="1018"/>
      <c r="AL40" s="1021"/>
      <c r="AM40" s="894"/>
      <c r="AS40" s="3">
        <v>34</v>
      </c>
    </row>
    <row r="41" spans="1:45" ht="35.65" customHeight="1">
      <c r="B41" s="59" t="s">
        <v>60</v>
      </c>
      <c r="C41" s="59" t="s">
        <v>61</v>
      </c>
      <c r="D41" s="59" t="s">
        <v>62</v>
      </c>
      <c r="E41" s="289" t="s">
        <v>360</v>
      </c>
      <c r="F41" s="289" t="s">
        <v>361</v>
      </c>
      <c r="G41" s="289" t="s">
        <v>362</v>
      </c>
      <c r="H41" s="289" t="s">
        <v>363</v>
      </c>
      <c r="I41" s="289" t="s">
        <v>364</v>
      </c>
      <c r="J41" s="289" t="s">
        <v>365</v>
      </c>
      <c r="K41" s="289" t="s">
        <v>366</v>
      </c>
      <c r="L41" s="289" t="s">
        <v>341</v>
      </c>
      <c r="Q41" s="264"/>
      <c r="R41" s="264"/>
      <c r="S41" s="1013"/>
      <c r="T41" s="962"/>
      <c r="U41" s="275"/>
      <c r="V41" s="987"/>
      <c r="W41" s="1010"/>
      <c r="X41" s="65" t="s">
        <v>367</v>
      </c>
      <c r="Y41" s="65" t="s">
        <v>368</v>
      </c>
      <c r="Z41" s="65" t="s">
        <v>369</v>
      </c>
      <c r="AA41" s="967" t="s">
        <v>370</v>
      </c>
      <c r="AB41" s="981"/>
      <c r="AC41" s="1019"/>
      <c r="AD41" s="987"/>
      <c r="AE41" s="1010"/>
      <c r="AF41" s="65" t="s">
        <v>367</v>
      </c>
      <c r="AG41" s="65" t="s">
        <v>368</v>
      </c>
      <c r="AH41" s="65" t="s">
        <v>369</v>
      </c>
      <c r="AI41" s="967" t="s">
        <v>370</v>
      </c>
      <c r="AJ41" s="981"/>
      <c r="AK41" s="1019"/>
      <c r="AL41" s="1022"/>
      <c r="AM41" s="894"/>
      <c r="AS41" s="3">
        <v>34</v>
      </c>
    </row>
    <row r="42" spans="1:45" ht="11.25" hidden="1" customHeight="1">
      <c r="Q42" s="278"/>
      <c r="R42" s="279">
        <v>1</v>
      </c>
      <c r="S42" s="280" t="s">
        <v>31</v>
      </c>
      <c r="T42" s="281" t="s">
        <v>39</v>
      </c>
      <c r="U42" s="282" t="str">
        <f ca="1">OFFSET(U42,0,-1)</f>
        <v>2</v>
      </c>
      <c r="V42" s="283">
        <f ca="1">OFFSET(V42,0,-1)+1</f>
        <v>3</v>
      </c>
      <c r="W42" s="283"/>
      <c r="X42" s="283">
        <f ca="1">OFFSET(X42,0,-1)+1</f>
        <v>1</v>
      </c>
      <c r="Y42" s="283">
        <f ca="1">OFFSET(Y42,0,-1)+1</f>
        <v>2</v>
      </c>
      <c r="Z42" s="283">
        <f ca="1">OFFSET(Z42,0,-1)+1</f>
        <v>3</v>
      </c>
      <c r="AA42" s="1011">
        <f ca="1">OFFSET(AA42,0,-1)+1</f>
        <v>4</v>
      </c>
      <c r="AB42" s="1011"/>
      <c r="AC42" s="283">
        <f ca="1">OFFSET(AC42,0,-2)+1</f>
        <v>5</v>
      </c>
      <c r="AD42" s="283">
        <f ca="1">OFFSET(AD42,0,-1)+1</f>
        <v>6</v>
      </c>
      <c r="AE42" s="283"/>
      <c r="AF42" s="283">
        <f ca="1">OFFSET(AF42,0,-1)+1</f>
        <v>1</v>
      </c>
      <c r="AG42" s="283">
        <f ca="1">OFFSET(AG42,0,-1)+1</f>
        <v>2</v>
      </c>
      <c r="AH42" s="283">
        <f ca="1">OFFSET(AH42,0,-1)+1</f>
        <v>3</v>
      </c>
      <c r="AI42" s="1011">
        <f ca="1">OFFSET(AI42,0,-1)+1</f>
        <v>4</v>
      </c>
      <c r="AJ42" s="1011"/>
      <c r="AK42" s="283">
        <f ca="1">OFFSET(AK42,0,-2)+1</f>
        <v>5</v>
      </c>
      <c r="AL42" s="282">
        <f ca="1">OFFSET(AL42,0,-1)</f>
        <v>5</v>
      </c>
      <c r="AM42" s="283">
        <f ca="1">OFFSET(AM42,0,-1)+1</f>
        <v>6</v>
      </c>
      <c r="AS42" s="189">
        <v>0</v>
      </c>
    </row>
    <row r="43" spans="1:45" ht="21.95" customHeight="1">
      <c r="A43" s="76" t="s">
        <v>135</v>
      </c>
      <c r="E43" s="1026">
        <v>1</v>
      </c>
      <c r="R43" s="225"/>
      <c r="S43" s="226">
        <f>INDEX(PT_DIFFERENTIATION_NUM_NTAR,MATCH(A43,PT_DIFFERENTIATION_NTAR_ID,0))</f>
        <v>0</v>
      </c>
      <c r="T43" s="227" t="s">
        <v>48</v>
      </c>
      <c r="U43" s="228"/>
      <c r="V43" s="995"/>
      <c r="W43" s="996"/>
      <c r="X43" s="996"/>
      <c r="Y43" s="996"/>
      <c r="Z43" s="996"/>
      <c r="AA43" s="996"/>
      <c r="AB43" s="996"/>
      <c r="AC43" s="997"/>
      <c r="AD43" s="995" t="str">
        <f>INDEX(PT_DIFFERENTIATION_NTAR,MATCH(A43,PT_DIFFERENTIATION_NTAR_ID,0))</f>
        <v/>
      </c>
      <c r="AE43" s="996"/>
      <c r="AF43" s="996"/>
      <c r="AG43" s="996"/>
      <c r="AH43" s="996"/>
      <c r="AI43" s="996"/>
      <c r="AJ43" s="996"/>
      <c r="AK43" s="996"/>
      <c r="AL43" s="997"/>
      <c r="AM43" s="2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P43" s="29" t="str">
        <f t="shared" ref="AP43:AP57" si="1">IF(T43="","",T43)</f>
        <v>Наименование тарифа</v>
      </c>
      <c r="AS43" s="3">
        <v>21</v>
      </c>
    </row>
    <row r="44" spans="1:45" ht="21.95" customHeight="1">
      <c r="A44" s="76" t="s">
        <v>135</v>
      </c>
      <c r="B44" s="76" t="s">
        <v>136</v>
      </c>
      <c r="E44" s="1027"/>
      <c r="F44" s="1026">
        <v>1</v>
      </c>
      <c r="Q44" s="231"/>
      <c r="R44" s="232"/>
      <c r="S44" s="226" t="str">
        <f>INDEX(PT_DIFFERENTIATION_NUM_TER,MATCH(B44,PT_DIFFERENTIATION_TER_ID,0))</f>
        <v>.</v>
      </c>
      <c r="T44" s="233" t="s">
        <v>320</v>
      </c>
      <c r="U44" s="228"/>
      <c r="V44" s="995"/>
      <c r="W44" s="996"/>
      <c r="X44" s="996"/>
      <c r="Y44" s="996"/>
      <c r="Z44" s="996"/>
      <c r="AA44" s="996"/>
      <c r="AB44" s="996"/>
      <c r="AC44" s="997"/>
      <c r="AD44" s="995" t="str">
        <f>INDEX(PT_DIFFERENTIATION_TER,MATCH(B44,PT_DIFFERENTIATION_TER_ID,0))</f>
        <v/>
      </c>
      <c r="AE44" s="996"/>
      <c r="AF44" s="996"/>
      <c r="AG44" s="996"/>
      <c r="AH44" s="996"/>
      <c r="AI44" s="996"/>
      <c r="AJ44" s="996"/>
      <c r="AK44" s="996"/>
      <c r="AL44" s="997"/>
      <c r="AM44" s="230" t="s">
        <v>321</v>
      </c>
      <c r="AP44" s="29" t="str">
        <f t="shared" si="1"/>
        <v>Территория действия тарифа</v>
      </c>
      <c r="AS44" s="3">
        <v>21</v>
      </c>
    </row>
    <row r="45" spans="1:45" ht="24" customHeight="1">
      <c r="A45" s="76" t="s">
        <v>135</v>
      </c>
      <c r="B45" s="76" t="s">
        <v>136</v>
      </c>
      <c r="C45" s="76" t="s">
        <v>137</v>
      </c>
      <c r="E45" s="1027"/>
      <c r="F45" s="1027"/>
      <c r="G45" s="1026">
        <v>1</v>
      </c>
      <c r="Q45" s="231"/>
      <c r="R45" s="232"/>
      <c r="S45" s="226" t="str">
        <f>INDEX(PT_DIFFERENTIATION_NUM_CS,MATCH(C45,PT_DIFFERENTIATION_CS_ID,0))</f>
        <v>..</v>
      </c>
      <c r="T45" s="234" t="s">
        <v>322</v>
      </c>
      <c r="U45" s="228"/>
      <c r="V45" s="995"/>
      <c r="W45" s="996"/>
      <c r="X45" s="996"/>
      <c r="Y45" s="996"/>
      <c r="Z45" s="996"/>
      <c r="AA45" s="996"/>
      <c r="AB45" s="996"/>
      <c r="AC45" s="997"/>
      <c r="AD45" s="995" t="str">
        <f>INDEX(PT_DIFFERENTIATION_CS,MATCH(C45,PT_DIFFERENTIATION_CS_ID,0))</f>
        <v/>
      </c>
      <c r="AE45" s="996"/>
      <c r="AF45" s="996"/>
      <c r="AG45" s="996"/>
      <c r="AH45" s="996"/>
      <c r="AI45" s="996"/>
      <c r="AJ45" s="996"/>
      <c r="AK45" s="996"/>
      <c r="AL45" s="997"/>
      <c r="AM45" s="230" t="s">
        <v>323</v>
      </c>
      <c r="AP45" s="29" t="str">
        <f t="shared" si="1"/>
        <v xml:space="preserve">Наименование системы теплоснабжения </v>
      </c>
      <c r="AS45" s="3">
        <v>23</v>
      </c>
    </row>
    <row r="46" spans="1:45" ht="21.95" customHeight="1">
      <c r="A46" s="76" t="s">
        <v>135</v>
      </c>
      <c r="B46" s="76" t="s">
        <v>136</v>
      </c>
      <c r="C46" s="76" t="s">
        <v>137</v>
      </c>
      <c r="D46" s="76" t="s">
        <v>138</v>
      </c>
      <c r="E46" s="1027"/>
      <c r="F46" s="1027"/>
      <c r="G46" s="1027"/>
      <c r="H46" s="1026">
        <v>1</v>
      </c>
      <c r="Q46" s="231"/>
      <c r="R46" s="232"/>
      <c r="S46" s="226" t="str">
        <f>INDEX(PT_DIFFERENTIATION_NUM_IST_TE,MATCH(D46,PT_DIFFERENTIATION_IST_TE_ID,0))</f>
        <v>...</v>
      </c>
      <c r="T46" s="235" t="s">
        <v>324</v>
      </c>
      <c r="U46" s="228"/>
      <c r="V46" s="995"/>
      <c r="W46" s="996"/>
      <c r="X46" s="996"/>
      <c r="Y46" s="996"/>
      <c r="Z46" s="996"/>
      <c r="AA46" s="996"/>
      <c r="AB46" s="996"/>
      <c r="AC46" s="997"/>
      <c r="AD46" s="995" t="str">
        <f>INDEX(PT_DIFFERENTIATION_IST_TE,MATCH(D46,PT_DIFFERENTIATION_IST_TE_ID,0))</f>
        <v/>
      </c>
      <c r="AE46" s="996"/>
      <c r="AF46" s="996"/>
      <c r="AG46" s="996"/>
      <c r="AH46" s="996"/>
      <c r="AI46" s="996"/>
      <c r="AJ46" s="996"/>
      <c r="AK46" s="996"/>
      <c r="AL46" s="997"/>
      <c r="AM46" s="230" t="s">
        <v>325</v>
      </c>
      <c r="AP46" s="29" t="str">
        <f t="shared" si="1"/>
        <v xml:space="preserve">Источник тепловой энергии  </v>
      </c>
      <c r="AS46" s="3">
        <v>21</v>
      </c>
    </row>
    <row r="47" spans="1:45" ht="49.5" customHeight="1">
      <c r="A47" s="76" t="s">
        <v>135</v>
      </c>
      <c r="B47" s="76" t="s">
        <v>136</v>
      </c>
      <c r="C47" s="76" t="s">
        <v>137</v>
      </c>
      <c r="D47" s="76" t="s">
        <v>138</v>
      </c>
      <c r="E47" s="1027"/>
      <c r="F47" s="1027"/>
      <c r="G47" s="1027"/>
      <c r="H47" s="1027"/>
      <c r="I47" s="894" t="str">
        <f>S46&amp;".1"</f>
        <v>....1</v>
      </c>
      <c r="L47" s="289" t="s">
        <v>326</v>
      </c>
      <c r="P47" s="1004">
        <v>1</v>
      </c>
      <c r="R47" s="238"/>
      <c r="S47" s="226" t="str">
        <f>$I47</f>
        <v>....1</v>
      </c>
      <c r="T47" s="239" t="s">
        <v>327</v>
      </c>
      <c r="U47" s="228"/>
      <c r="V47" s="989"/>
      <c r="W47" s="990"/>
      <c r="X47" s="990"/>
      <c r="Y47" s="990"/>
      <c r="Z47" s="990"/>
      <c r="AA47" s="990"/>
      <c r="AB47" s="990"/>
      <c r="AC47" s="991"/>
      <c r="AD47" s="989"/>
      <c r="AE47" s="990"/>
      <c r="AF47" s="990"/>
      <c r="AG47" s="990"/>
      <c r="AH47" s="990"/>
      <c r="AI47" s="990"/>
      <c r="AJ47" s="990"/>
      <c r="AK47" s="990"/>
      <c r="AL47" s="991"/>
      <c r="AM47" s="230" t="s">
        <v>328</v>
      </c>
      <c r="AP47" s="29" t="str">
        <f t="shared" si="1"/>
        <v>Схема подключения теплопотребляющей установки к коллектору источника тепловой энергии</v>
      </c>
      <c r="AS47" s="3">
        <v>47</v>
      </c>
    </row>
    <row r="48" spans="1:45" ht="21.95" customHeight="1">
      <c r="A48" s="76" t="s">
        <v>135</v>
      </c>
      <c r="B48" s="76" t="s">
        <v>136</v>
      </c>
      <c r="C48" s="76" t="s">
        <v>137</v>
      </c>
      <c r="D48" s="76" t="s">
        <v>138</v>
      </c>
      <c r="E48" s="1027"/>
      <c r="F48" s="1027"/>
      <c r="G48" s="1027"/>
      <c r="H48" s="1027"/>
      <c r="I48" s="887"/>
      <c r="J48" s="894" t="str">
        <f>I47&amp;".1"</f>
        <v>....1.1</v>
      </c>
      <c r="L48" s="289" t="s">
        <v>329</v>
      </c>
      <c r="P48" s="885"/>
      <c r="Q48" s="1004">
        <v>1</v>
      </c>
      <c r="R48" s="240"/>
      <c r="S48" s="226" t="str">
        <f>$J48</f>
        <v>....1.1</v>
      </c>
      <c r="T48" s="241" t="s">
        <v>330</v>
      </c>
      <c r="U48" s="228"/>
      <c r="V48" s="989"/>
      <c r="W48" s="990"/>
      <c r="X48" s="990"/>
      <c r="Y48" s="990"/>
      <c r="Z48" s="990"/>
      <c r="AA48" s="990"/>
      <c r="AB48" s="990"/>
      <c r="AC48" s="991"/>
      <c r="AD48" s="989"/>
      <c r="AE48" s="990"/>
      <c r="AF48" s="990"/>
      <c r="AG48" s="990"/>
      <c r="AH48" s="990"/>
      <c r="AI48" s="990"/>
      <c r="AJ48" s="990"/>
      <c r="AK48" s="990"/>
      <c r="AL48" s="991"/>
      <c r="AM48" s="230" t="s">
        <v>331</v>
      </c>
      <c r="AP48" s="29" t="str">
        <f t="shared" si="1"/>
        <v>Группа потребителей</v>
      </c>
      <c r="AS48" s="3">
        <v>21</v>
      </c>
    </row>
    <row r="49" spans="1:45" ht="21.95" customHeight="1">
      <c r="A49" s="76" t="s">
        <v>135</v>
      </c>
      <c r="B49" s="76" t="s">
        <v>136</v>
      </c>
      <c r="C49" s="76" t="s">
        <v>137</v>
      </c>
      <c r="D49" s="76" t="s">
        <v>138</v>
      </c>
      <c r="E49" s="1027"/>
      <c r="F49" s="1027"/>
      <c r="G49" s="1027"/>
      <c r="H49" s="1027"/>
      <c r="I49" s="887"/>
      <c r="J49" s="887"/>
      <c r="K49" s="894" t="str">
        <f>J48&amp;".1"</f>
        <v>....1.1.1</v>
      </c>
      <c r="L49" s="289" t="s">
        <v>332</v>
      </c>
      <c r="P49" s="885"/>
      <c r="Q49" s="885"/>
      <c r="R49" s="240">
        <v>1</v>
      </c>
      <c r="S49" s="226" t="str">
        <f>$K49</f>
        <v>....1.1.1</v>
      </c>
      <c r="T49" s="242"/>
      <c r="U49" s="228"/>
      <c r="V49" s="243"/>
      <c r="W49" s="244"/>
      <c r="X49" s="243"/>
      <c r="Y49" s="245"/>
      <c r="Z49" s="1005"/>
      <c r="AA49" s="895" t="s">
        <v>17</v>
      </c>
      <c r="AB49" s="1005"/>
      <c r="AC49" s="895" t="s">
        <v>17</v>
      </c>
      <c r="AD49" s="243"/>
      <c r="AE49" s="244"/>
      <c r="AF49" s="243"/>
      <c r="AG49" s="245"/>
      <c r="AH49" s="1005"/>
      <c r="AI49" s="895" t="s">
        <v>17</v>
      </c>
      <c r="AJ49" s="1007"/>
      <c r="AK49" s="895" t="s">
        <v>17</v>
      </c>
      <c r="AL49" s="285"/>
      <c r="AM49" s="1023" t="s">
        <v>333</v>
      </c>
      <c r="AN49" s="24" t="e">
        <f ca="1">STRCHECKDATE(V50:AL50)</f>
        <v>#NAME?</v>
      </c>
      <c r="AP49" s="29" t="str">
        <f t="shared" si="1"/>
        <v/>
      </c>
      <c r="AS49" s="3">
        <v>21</v>
      </c>
    </row>
    <row r="50" spans="1:45" ht="1.1499999999999999" customHeight="1">
      <c r="A50" s="76" t="s">
        <v>135</v>
      </c>
      <c r="B50" s="76" t="s">
        <v>136</v>
      </c>
      <c r="C50" s="76" t="s">
        <v>137</v>
      </c>
      <c r="D50" s="76" t="s">
        <v>138</v>
      </c>
      <c r="E50" s="1027"/>
      <c r="F50" s="1027"/>
      <c r="G50" s="1027"/>
      <c r="H50" s="1027"/>
      <c r="I50" s="887"/>
      <c r="J50" s="887"/>
      <c r="K50" s="894"/>
      <c r="P50" s="885"/>
      <c r="Q50" s="885"/>
      <c r="R50" s="240"/>
      <c r="S50" s="209"/>
      <c r="T50" s="228"/>
      <c r="U50" s="228"/>
      <c r="V50" s="244"/>
      <c r="W50" s="244"/>
      <c r="X50" s="244"/>
      <c r="Y50" s="247" t="str">
        <f>Z49&amp;"-"&amp;AB49</f>
        <v>-</v>
      </c>
      <c r="Z50" s="1006"/>
      <c r="AA50" s="895"/>
      <c r="AB50" s="1006"/>
      <c r="AC50" s="895"/>
      <c r="AD50" s="244"/>
      <c r="AE50" s="244"/>
      <c r="AF50" s="244"/>
      <c r="AG50" s="247" t="str">
        <f>AH49&amp;"-"&amp;AJ49</f>
        <v>-</v>
      </c>
      <c r="AH50" s="1006"/>
      <c r="AI50" s="895"/>
      <c r="AJ50" s="1008"/>
      <c r="AK50" s="895"/>
      <c r="AL50" s="286"/>
      <c r="AM50" s="1024"/>
      <c r="AP50" s="29" t="str">
        <f t="shared" si="1"/>
        <v/>
      </c>
      <c r="AS50" s="3">
        <v>1</v>
      </c>
    </row>
    <row r="51" spans="1:45" ht="11.45" customHeight="1">
      <c r="A51" s="76" t="s">
        <v>135</v>
      </c>
      <c r="B51" s="76" t="s">
        <v>136</v>
      </c>
      <c r="C51" s="76" t="s">
        <v>137</v>
      </c>
      <c r="D51" s="76" t="s">
        <v>138</v>
      </c>
      <c r="E51" s="1027"/>
      <c r="F51" s="1027"/>
      <c r="G51" s="1027"/>
      <c r="H51" s="1027"/>
      <c r="I51" s="887"/>
      <c r="J51" s="894"/>
      <c r="P51" s="885"/>
      <c r="Q51" s="885"/>
      <c r="R51" s="238"/>
      <c r="S51" s="249"/>
      <c r="T51" s="250" t="s">
        <v>334</v>
      </c>
      <c r="U51" s="54"/>
      <c r="V51" s="54"/>
      <c r="W51" s="54"/>
      <c r="X51" s="54"/>
      <c r="Y51" s="54"/>
      <c r="Z51" s="54"/>
      <c r="AA51" s="54"/>
      <c r="AB51" s="54"/>
      <c r="AC51" s="54"/>
      <c r="AD51" s="54"/>
      <c r="AE51" s="54"/>
      <c r="AF51" s="54"/>
      <c r="AG51" s="54"/>
      <c r="AH51" s="54"/>
      <c r="AI51" s="54"/>
      <c r="AJ51" s="54"/>
      <c r="AK51" s="54"/>
      <c r="AL51" s="251"/>
      <c r="AM51" s="1025"/>
      <c r="AP51" s="29" t="str">
        <f t="shared" si="1"/>
        <v>Добавить вид теплоносителя (параметры теплоносителя)</v>
      </c>
      <c r="AS51" s="3">
        <v>11</v>
      </c>
    </row>
    <row r="52" spans="1:45" ht="11.45" customHeight="1">
      <c r="A52" s="76" t="s">
        <v>135</v>
      </c>
      <c r="B52" s="76" t="s">
        <v>136</v>
      </c>
      <c r="C52" s="76" t="s">
        <v>137</v>
      </c>
      <c r="D52" s="76" t="s">
        <v>138</v>
      </c>
      <c r="E52" s="1027"/>
      <c r="F52" s="1027"/>
      <c r="G52" s="1027"/>
      <c r="H52" s="1027"/>
      <c r="I52" s="894"/>
      <c r="P52" s="885"/>
      <c r="R52" s="238"/>
      <c r="S52" s="249"/>
      <c r="T52" s="252" t="s">
        <v>335</v>
      </c>
      <c r="U52" s="54"/>
      <c r="V52" s="54"/>
      <c r="W52" s="54"/>
      <c r="X52" s="54"/>
      <c r="Y52" s="54"/>
      <c r="Z52" s="54"/>
      <c r="AA52" s="54"/>
      <c r="AB52" s="54"/>
      <c r="AC52" s="253"/>
      <c r="AD52" s="54"/>
      <c r="AE52" s="54"/>
      <c r="AF52" s="54"/>
      <c r="AG52" s="54"/>
      <c r="AH52" s="54"/>
      <c r="AI52" s="54"/>
      <c r="AJ52" s="54"/>
      <c r="AK52" s="253"/>
      <c r="AL52" s="54"/>
      <c r="AM52" s="254"/>
      <c r="AP52" s="29" t="str">
        <f t="shared" si="1"/>
        <v>Добавить группу потребителей</v>
      </c>
      <c r="AS52" s="3">
        <v>11</v>
      </c>
    </row>
    <row r="53" spans="1:45" ht="14.65" customHeight="1">
      <c r="A53" s="76" t="s">
        <v>135</v>
      </c>
      <c r="B53" s="76" t="s">
        <v>136</v>
      </c>
      <c r="C53" s="76" t="s">
        <v>137</v>
      </c>
      <c r="D53" s="76" t="s">
        <v>138</v>
      </c>
      <c r="E53" s="1027"/>
      <c r="F53" s="1027"/>
      <c r="G53" s="1027"/>
      <c r="H53" s="1026"/>
      <c r="R53" s="225"/>
      <c r="S53" s="249"/>
      <c r="T53" s="255" t="s">
        <v>336</v>
      </c>
      <c r="U53" s="54"/>
      <c r="V53" s="54"/>
      <c r="W53" s="54"/>
      <c r="X53" s="54"/>
      <c r="Y53" s="54"/>
      <c r="Z53" s="54"/>
      <c r="AA53" s="54"/>
      <c r="AB53" s="54"/>
      <c r="AC53" s="253"/>
      <c r="AD53" s="54"/>
      <c r="AE53" s="54"/>
      <c r="AF53" s="54"/>
      <c r="AG53" s="54"/>
      <c r="AH53" s="54"/>
      <c r="AI53" s="54"/>
      <c r="AJ53" s="54"/>
      <c r="AK53" s="253"/>
      <c r="AL53" s="54"/>
      <c r="AM53" s="254"/>
      <c r="AP53" s="29" t="str">
        <f t="shared" si="1"/>
        <v>Добавить схему подключения</v>
      </c>
      <c r="AS53" s="3">
        <v>14</v>
      </c>
    </row>
    <row r="54" spans="1:45" ht="1.1499999999999999" customHeight="1">
      <c r="A54" s="76" t="s">
        <v>135</v>
      </c>
      <c r="B54" s="76" t="s">
        <v>136</v>
      </c>
      <c r="C54" s="76" t="s">
        <v>137</v>
      </c>
      <c r="E54" s="1027"/>
      <c r="F54" s="1027"/>
      <c r="G54" s="1026"/>
      <c r="T54" s="260" t="s">
        <v>337</v>
      </c>
      <c r="AP54" s="29" t="str">
        <f t="shared" si="1"/>
        <v>Добавить источник для дифференциации</v>
      </c>
      <c r="AS54" s="24">
        <v>1</v>
      </c>
    </row>
    <row r="55" spans="1:45" ht="1.1499999999999999" customHeight="1">
      <c r="A55" s="76" t="s">
        <v>135</v>
      </c>
      <c r="B55" s="76" t="s">
        <v>136</v>
      </c>
      <c r="E55" s="1027"/>
      <c r="F55" s="1026"/>
      <c r="T55" s="260" t="s">
        <v>338</v>
      </c>
      <c r="AP55" s="29" t="str">
        <f t="shared" si="1"/>
        <v>Добавить централизованную систему для дифференциации</v>
      </c>
      <c r="AS55" s="24">
        <v>1</v>
      </c>
    </row>
    <row r="56" spans="1:45" ht="1.1499999999999999" customHeight="1">
      <c r="A56" s="76" t="s">
        <v>135</v>
      </c>
      <c r="E56" s="1026"/>
      <c r="T56" s="260" t="s">
        <v>339</v>
      </c>
      <c r="AP56" s="29" t="str">
        <f t="shared" si="1"/>
        <v>Добавить территорию для дифференциации</v>
      </c>
      <c r="AS56" s="24">
        <v>1</v>
      </c>
    </row>
    <row r="57" spans="1:45" ht="1.1499999999999999" customHeight="1">
      <c r="T57" s="260" t="s">
        <v>371</v>
      </c>
      <c r="AP57" s="29" t="str">
        <f t="shared" si="1"/>
        <v>Добавить наименование тарифа</v>
      </c>
      <c r="AS57" s="24">
        <v>1</v>
      </c>
    </row>
    <row r="58" spans="1:45" ht="11.45" customHeight="1">
      <c r="AS58" s="3">
        <v>11</v>
      </c>
    </row>
    <row r="59" spans="1:45" ht="28.5" customHeight="1">
      <c r="T59" s="885"/>
      <c r="U59" s="885"/>
      <c r="V59" s="885"/>
      <c r="W59" s="885"/>
      <c r="X59" s="885"/>
      <c r="Y59" s="885"/>
      <c r="Z59" s="885"/>
      <c r="AA59" s="885"/>
      <c r="AB59" s="885"/>
      <c r="AC59" s="885"/>
      <c r="AD59" s="885"/>
      <c r="AE59" s="885"/>
      <c r="AF59" s="885"/>
      <c r="AG59" s="885"/>
      <c r="AH59" s="885"/>
      <c r="AI59" s="885"/>
      <c r="AJ59" s="885"/>
      <c r="AK59" s="885"/>
      <c r="AL59" s="885"/>
      <c r="AM59" s="885"/>
      <c r="AS59" s="3">
        <v>27</v>
      </c>
    </row>
    <row r="60" spans="1:45" ht="65.25" customHeight="1">
      <c r="T60" s="885"/>
      <c r="U60" s="885"/>
      <c r="V60" s="885"/>
      <c r="W60" s="885"/>
      <c r="X60" s="885"/>
      <c r="Y60" s="885"/>
      <c r="Z60" s="885"/>
      <c r="AA60" s="885"/>
      <c r="AB60" s="885"/>
      <c r="AC60" s="885"/>
      <c r="AD60" s="885"/>
      <c r="AE60" s="885"/>
      <c r="AF60" s="885"/>
      <c r="AG60" s="885"/>
      <c r="AH60" s="885"/>
      <c r="AI60" s="885"/>
      <c r="AJ60" s="885"/>
      <c r="AK60" s="885"/>
      <c r="AL60" s="885"/>
      <c r="AM60" s="885"/>
      <c r="AS60" s="3">
        <v>62</v>
      </c>
    </row>
    <row r="61" spans="1:45" ht="14.65" customHeight="1">
      <c r="AS61" s="3">
        <v>14</v>
      </c>
    </row>
    <row r="62" spans="1:45" ht="18.75" customHeight="1">
      <c r="T62" s="885"/>
      <c r="U62" s="885"/>
      <c r="V62" s="885"/>
      <c r="W62" s="885"/>
      <c r="X62" s="885"/>
      <c r="Y62" s="885"/>
      <c r="Z62" s="885"/>
      <c r="AA62" s="885"/>
      <c r="AB62" s="885"/>
      <c r="AC62" s="885"/>
      <c r="AD62" s="885"/>
      <c r="AE62" s="885"/>
      <c r="AF62" s="885"/>
      <c r="AG62" s="885"/>
      <c r="AH62" s="885"/>
      <c r="AI62" s="885"/>
      <c r="AJ62" s="885"/>
      <c r="AK62" s="885"/>
      <c r="AL62" s="885"/>
      <c r="AM62" s="885"/>
      <c r="AS62" s="3">
        <v>18</v>
      </c>
    </row>
    <row r="63" spans="1:45" ht="18.75" customHeight="1">
      <c r="T63" s="885"/>
      <c r="U63" s="885"/>
      <c r="V63" s="885"/>
      <c r="W63" s="885"/>
      <c r="X63" s="885"/>
      <c r="Y63" s="885"/>
      <c r="Z63" s="885"/>
      <c r="AA63" s="885"/>
      <c r="AB63" s="885"/>
      <c r="AC63" s="885"/>
      <c r="AD63" s="885"/>
      <c r="AE63" s="885"/>
      <c r="AF63" s="885"/>
      <c r="AG63" s="885"/>
      <c r="AH63" s="885"/>
      <c r="AI63" s="885"/>
      <c r="AJ63" s="885"/>
      <c r="AK63" s="885"/>
      <c r="AL63" s="885"/>
      <c r="AM63" s="885"/>
      <c r="AS63" s="3">
        <v>18</v>
      </c>
    </row>
    <row r="64" spans="1:45" ht="29.25" customHeight="1">
      <c r="T64" s="885"/>
      <c r="U64" s="885"/>
      <c r="V64" s="885"/>
      <c r="W64" s="885"/>
      <c r="X64" s="885"/>
      <c r="Y64" s="885"/>
      <c r="Z64" s="885"/>
      <c r="AA64" s="885"/>
      <c r="AB64" s="885"/>
      <c r="AC64" s="885"/>
      <c r="AD64" s="885"/>
      <c r="AE64" s="885"/>
      <c r="AF64" s="885"/>
      <c r="AG64" s="885"/>
      <c r="AH64" s="885"/>
      <c r="AI64" s="885"/>
      <c r="AJ64" s="885"/>
      <c r="AK64" s="885"/>
      <c r="AL64" s="885"/>
      <c r="AM64" s="885"/>
      <c r="AS64" s="3">
        <v>28</v>
      </c>
    </row>
    <row r="65" spans="1:45" ht="22.5" hidden="1" customHeight="1">
      <c r="A65" s="3" t="s">
        <v>18</v>
      </c>
      <c r="B65" s="3">
        <v>0</v>
      </c>
      <c r="C65" s="3">
        <v>0</v>
      </c>
      <c r="D65" s="3">
        <v>0</v>
      </c>
      <c r="E65" s="3">
        <v>0</v>
      </c>
      <c r="F65" s="3">
        <v>0</v>
      </c>
      <c r="G65" s="3">
        <v>0</v>
      </c>
      <c r="H65" s="3">
        <v>0</v>
      </c>
      <c r="I65" s="3">
        <v>0</v>
      </c>
      <c r="J65" s="3">
        <v>0</v>
      </c>
      <c r="K65" s="3">
        <v>0</v>
      </c>
      <c r="L65" s="17">
        <v>0</v>
      </c>
      <c r="M65" s="287">
        <v>0</v>
      </c>
      <c r="N65" s="287">
        <v>0</v>
      </c>
      <c r="O65" s="287">
        <v>0</v>
      </c>
      <c r="P65" s="287">
        <v>3</v>
      </c>
      <c r="Q65" s="288">
        <v>3</v>
      </c>
      <c r="R65" s="288">
        <v>3</v>
      </c>
      <c r="S65" s="9">
        <v>12</v>
      </c>
      <c r="T65" s="3">
        <v>31</v>
      </c>
      <c r="U65" s="3">
        <v>0</v>
      </c>
      <c r="V65" s="3">
        <v>0</v>
      </c>
      <c r="W65" s="3">
        <v>0</v>
      </c>
      <c r="X65" s="3">
        <v>0</v>
      </c>
      <c r="Y65" s="3">
        <v>0</v>
      </c>
      <c r="Z65" s="3">
        <v>0</v>
      </c>
      <c r="AA65" s="3">
        <v>0</v>
      </c>
      <c r="AB65" s="3">
        <v>0</v>
      </c>
      <c r="AC65" s="3">
        <v>0</v>
      </c>
      <c r="AD65" s="3">
        <v>24</v>
      </c>
      <c r="AE65" s="3">
        <v>0</v>
      </c>
      <c r="AF65" s="3">
        <v>24</v>
      </c>
      <c r="AG65" s="3">
        <v>24</v>
      </c>
      <c r="AH65" s="3">
        <v>11</v>
      </c>
      <c r="AI65" s="3">
        <v>3</v>
      </c>
      <c r="AJ65" s="3">
        <v>11</v>
      </c>
      <c r="AK65" s="3">
        <v>0</v>
      </c>
      <c r="AL65" s="3">
        <v>4</v>
      </c>
      <c r="AM65" s="3">
        <v>115</v>
      </c>
      <c r="AN65" s="24">
        <v>10</v>
      </c>
      <c r="AO65" s="24">
        <v>10</v>
      </c>
      <c r="AP65" s="24">
        <v>10</v>
      </c>
      <c r="AQ65" s="24">
        <v>10</v>
      </c>
      <c r="AR65" s="24">
        <v>10</v>
      </c>
      <c r="AS65" s="3">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8" width="3" customWidth="1"/>
    <col min="19" max="19" width="12" customWidth="1"/>
    <col min="20" max="20" width="31" customWidth="1"/>
    <col min="21" max="21" width="0.7109375" hidden="1" customWidth="1"/>
    <col min="22" max="22" width="1.7109375" hidden="1" customWidth="1"/>
    <col min="23" max="23" width="24.7109375" hidden="1" customWidth="1"/>
    <col min="24" max="25" width="0.140625" hidden="1" customWidth="1"/>
    <col min="26" max="26" width="11.7109375" hidden="1" customWidth="1"/>
    <col min="27" max="27" width="3.7109375" hidden="1" customWidth="1"/>
    <col min="28" max="28" width="11.7109375" hidden="1" customWidth="1"/>
    <col min="29" max="29" width="8.5703125" hidden="1" customWidth="1"/>
    <col min="30" max="30" width="0.140625" customWidth="1"/>
    <col min="31" max="31" width="24" customWidth="1"/>
    <col min="32" max="33" width="0.140625" customWidth="1"/>
    <col min="34" max="34" width="11" customWidth="1"/>
    <col min="35" max="35" width="3.7109375" customWidth="1"/>
    <col min="36" max="36" width="11" customWidth="1"/>
    <col min="37" max="37" width="8.5703125" hidden="1" customWidth="1"/>
    <col min="38" max="38" width="4" customWidth="1"/>
    <col min="39" max="39" width="115" customWidth="1"/>
    <col min="40" max="44" width="10" customWidth="1"/>
    <col min="45" max="45" width="10.5703125" hidden="1"/>
  </cols>
  <sheetData>
    <row r="1" spans="5:45" ht="22.5" hidden="1" customHeight="1">
      <c r="AS1" s="3" t="s">
        <v>1</v>
      </c>
    </row>
    <row r="2" spans="5:45" ht="21" hidden="1" customHeight="1">
      <c r="E2" s="1000">
        <v>1</v>
      </c>
      <c r="R2" s="225"/>
      <c r="S2" s="226" t="e">
        <f>INDEX(PT_DIFFERENTIATION_NUM_NTAR,MATCH(A2,PT_DIFFERENTIATION_NTAR_ID,0))</f>
        <v>#N/A</v>
      </c>
      <c r="T2" s="227" t="s">
        <v>48</v>
      </c>
      <c r="U2" s="228"/>
      <c r="V2" s="995"/>
      <c r="W2" s="996"/>
      <c r="X2" s="996"/>
      <c r="Y2" s="996"/>
      <c r="Z2" s="996"/>
      <c r="AA2" s="996"/>
      <c r="AB2" s="996"/>
      <c r="AC2" s="997"/>
      <c r="AD2" s="995" t="e">
        <f>INDEX(PT_DIFFERENTIATION_NTAR,MATCH(A2,PT_DIFFERENTIATION_NTAR_ID,0))</f>
        <v>#N/A</v>
      </c>
      <c r="AE2" s="996"/>
      <c r="AF2" s="996"/>
      <c r="AG2" s="996"/>
      <c r="AH2" s="996"/>
      <c r="AI2" s="996"/>
      <c r="AJ2" s="996"/>
      <c r="AK2" s="996"/>
      <c r="AL2" s="997"/>
      <c r="AM2" s="230" t="s">
        <v>319</v>
      </c>
      <c r="AP2" s="29" t="str">
        <f t="shared" ref="AP2:AP15" si="0">IF(T2="","",T2)</f>
        <v>Наименование тарифа</v>
      </c>
      <c r="AS2" s="3">
        <v>0</v>
      </c>
    </row>
    <row r="3" spans="5:45" ht="21" hidden="1" customHeight="1">
      <c r="E3" s="1001"/>
      <c r="F3" s="1000">
        <v>1</v>
      </c>
      <c r="Q3" s="231"/>
      <c r="R3" s="232"/>
      <c r="S3" s="226" t="e">
        <f>INDEX(PT_DIFFERENTIATION_NUM_TER,MATCH(B3,PT_DIFFERENTIATION_TER_ID,0))</f>
        <v>#N/A</v>
      </c>
      <c r="T3" s="233" t="s">
        <v>320</v>
      </c>
      <c r="U3" s="228"/>
      <c r="V3" s="995"/>
      <c r="W3" s="996"/>
      <c r="X3" s="996"/>
      <c r="Y3" s="996"/>
      <c r="Z3" s="996"/>
      <c r="AA3" s="996"/>
      <c r="AB3" s="996"/>
      <c r="AC3" s="997"/>
      <c r="AD3" s="995" t="e">
        <f>INDEX(PT_DIFFERENTIATION_TER,MATCH(B3,PT_DIFFERENTIATION_TER_ID,0))</f>
        <v>#N/A</v>
      </c>
      <c r="AE3" s="996"/>
      <c r="AF3" s="996"/>
      <c r="AG3" s="996"/>
      <c r="AH3" s="996"/>
      <c r="AI3" s="996"/>
      <c r="AJ3" s="996"/>
      <c r="AK3" s="996"/>
      <c r="AL3" s="997"/>
      <c r="AM3" s="230" t="s">
        <v>321</v>
      </c>
      <c r="AP3" s="29" t="str">
        <f t="shared" si="0"/>
        <v>Территория действия тарифа</v>
      </c>
      <c r="AS3" s="3">
        <v>0</v>
      </c>
    </row>
    <row r="4" spans="5:45" ht="23.25" hidden="1" customHeight="1">
      <c r="E4" s="1001"/>
      <c r="F4" s="1001"/>
      <c r="G4" s="1000">
        <v>1</v>
      </c>
      <c r="Q4" s="231"/>
      <c r="R4" s="232"/>
      <c r="S4" s="226" t="e">
        <f>INDEX(PT_DIFFERENTIATION_NUM_CS,MATCH(C4,PT_DIFFERENTIATION_CS_ID,0))</f>
        <v>#N/A</v>
      </c>
      <c r="T4" s="234" t="s">
        <v>322</v>
      </c>
      <c r="U4" s="228"/>
      <c r="V4" s="995"/>
      <c r="W4" s="996"/>
      <c r="X4" s="996"/>
      <c r="Y4" s="996"/>
      <c r="Z4" s="996"/>
      <c r="AA4" s="996"/>
      <c r="AB4" s="996"/>
      <c r="AC4" s="997"/>
      <c r="AD4" s="995" t="e">
        <f>INDEX(PT_DIFFERENTIATION_CS,MATCH(C4,PT_DIFFERENTIATION_CS_ID,0))</f>
        <v>#N/A</v>
      </c>
      <c r="AE4" s="996"/>
      <c r="AF4" s="996"/>
      <c r="AG4" s="996"/>
      <c r="AH4" s="996"/>
      <c r="AI4" s="996"/>
      <c r="AJ4" s="996"/>
      <c r="AK4" s="996"/>
      <c r="AL4" s="997"/>
      <c r="AM4" s="230" t="s">
        <v>323</v>
      </c>
      <c r="AP4" s="29" t="str">
        <f t="shared" si="0"/>
        <v xml:space="preserve">Наименование системы теплоснабжения </v>
      </c>
      <c r="AS4" s="3">
        <v>0</v>
      </c>
    </row>
    <row r="5" spans="5:45" ht="21" hidden="1" customHeight="1">
      <c r="E5" s="1001"/>
      <c r="F5" s="1001"/>
      <c r="G5" s="1001"/>
      <c r="H5" s="1000">
        <v>1</v>
      </c>
      <c r="Q5" s="231"/>
      <c r="R5" s="232"/>
      <c r="S5" s="226" t="e">
        <f>INDEX(PT_DIFFERENTIATION_NUM_IST_TE,MATCH(D5,PT_DIFFERENTIATION_IST_TE_ID,0))</f>
        <v>#N/A</v>
      </c>
      <c r="T5" s="235" t="s">
        <v>324</v>
      </c>
      <c r="U5" s="228"/>
      <c r="V5" s="995"/>
      <c r="W5" s="996"/>
      <c r="X5" s="996"/>
      <c r="Y5" s="996"/>
      <c r="Z5" s="996"/>
      <c r="AA5" s="996"/>
      <c r="AB5" s="996"/>
      <c r="AC5" s="997"/>
      <c r="AD5" s="995" t="e">
        <f>INDEX(PT_DIFFERENTIATION_IST_TE,MATCH(D5,PT_DIFFERENTIATION_IST_TE_ID,0))</f>
        <v>#N/A</v>
      </c>
      <c r="AE5" s="996"/>
      <c r="AF5" s="996"/>
      <c r="AG5" s="996"/>
      <c r="AH5" s="996"/>
      <c r="AI5" s="996"/>
      <c r="AJ5" s="996"/>
      <c r="AK5" s="996"/>
      <c r="AL5" s="997"/>
      <c r="AM5" s="230" t="s">
        <v>325</v>
      </c>
      <c r="AP5" s="29" t="str">
        <f t="shared" si="0"/>
        <v xml:space="preserve">Источник тепловой энергии  </v>
      </c>
      <c r="AS5" s="3">
        <v>0</v>
      </c>
    </row>
    <row r="6" spans="5:45" ht="47.25" hidden="1" customHeight="1">
      <c r="E6" s="1001"/>
      <c r="F6" s="1001"/>
      <c r="G6" s="1001"/>
      <c r="H6" s="1001"/>
      <c r="I6" s="1002" t="e">
        <f>S5&amp;".1"</f>
        <v>#N/A</v>
      </c>
      <c r="L6" s="237" t="s">
        <v>326</v>
      </c>
      <c r="P6" s="1004">
        <v>1</v>
      </c>
      <c r="R6" s="238"/>
      <c r="S6" s="226" t="e">
        <f>$I6</f>
        <v>#N/A</v>
      </c>
      <c r="T6" s="239" t="s">
        <v>327</v>
      </c>
      <c r="U6" s="228"/>
      <c r="V6" s="989"/>
      <c r="W6" s="990"/>
      <c r="X6" s="990"/>
      <c r="Y6" s="990"/>
      <c r="Z6" s="990"/>
      <c r="AA6" s="990"/>
      <c r="AB6" s="990"/>
      <c r="AC6" s="991"/>
      <c r="AD6" s="989"/>
      <c r="AE6" s="990"/>
      <c r="AF6" s="990"/>
      <c r="AG6" s="990"/>
      <c r="AH6" s="990"/>
      <c r="AI6" s="990"/>
      <c r="AJ6" s="990"/>
      <c r="AK6" s="990"/>
      <c r="AL6" s="991"/>
      <c r="AM6" s="230" t="s">
        <v>328</v>
      </c>
      <c r="AP6" s="29" t="str">
        <f t="shared" si="0"/>
        <v>Схема подключения теплопотребляющей установки к коллектору источника тепловой энергии</v>
      </c>
      <c r="AS6" s="3">
        <v>0</v>
      </c>
    </row>
    <row r="7" spans="5:45" ht="21" hidden="1" customHeight="1">
      <c r="E7" s="1001"/>
      <c r="F7" s="1001"/>
      <c r="G7" s="1001"/>
      <c r="H7" s="1001"/>
      <c r="I7" s="1003"/>
      <c r="J7" s="1002" t="e">
        <f>I6&amp;".1"</f>
        <v>#N/A</v>
      </c>
      <c r="L7" s="237" t="s">
        <v>329</v>
      </c>
      <c r="P7" s="885"/>
      <c r="Q7" s="1004">
        <v>1</v>
      </c>
      <c r="R7" s="240"/>
      <c r="S7" s="226" t="e">
        <f>$J7</f>
        <v>#N/A</v>
      </c>
      <c r="T7" s="241" t="s">
        <v>330</v>
      </c>
      <c r="U7" s="228"/>
      <c r="V7" s="989"/>
      <c r="W7" s="990"/>
      <c r="X7" s="990"/>
      <c r="Y7" s="990"/>
      <c r="Z7" s="990"/>
      <c r="AA7" s="990"/>
      <c r="AB7" s="990"/>
      <c r="AC7" s="991"/>
      <c r="AD7" s="989"/>
      <c r="AE7" s="990"/>
      <c r="AF7" s="990"/>
      <c r="AG7" s="990"/>
      <c r="AH7" s="990"/>
      <c r="AI7" s="990"/>
      <c r="AJ7" s="990"/>
      <c r="AK7" s="990"/>
      <c r="AL7" s="991"/>
      <c r="AM7" s="230" t="s">
        <v>331</v>
      </c>
      <c r="AP7" s="29" t="str">
        <f t="shared" si="0"/>
        <v>Группа потребителей</v>
      </c>
      <c r="AS7" s="3">
        <v>0</v>
      </c>
    </row>
    <row r="8" spans="5:45" ht="21" hidden="1" customHeight="1">
      <c r="E8" s="1001"/>
      <c r="F8" s="1001"/>
      <c r="G8" s="1001"/>
      <c r="H8" s="1001"/>
      <c r="I8" s="1003"/>
      <c r="J8" s="1003"/>
      <c r="K8" s="1002" t="e">
        <f>J7&amp;".1"</f>
        <v>#N/A</v>
      </c>
      <c r="L8" s="237" t="s">
        <v>332</v>
      </c>
      <c r="P8" s="885"/>
      <c r="Q8" s="885"/>
      <c r="R8" s="240">
        <v>1</v>
      </c>
      <c r="S8" s="226" t="e">
        <f>$K8</f>
        <v>#N/A</v>
      </c>
      <c r="T8" s="242"/>
      <c r="U8" s="228"/>
      <c r="V8" s="244"/>
      <c r="W8" s="243"/>
      <c r="X8" s="244"/>
      <c r="Y8" s="292"/>
      <c r="Z8" s="1005"/>
      <c r="AA8" s="895" t="s">
        <v>17</v>
      </c>
      <c r="AB8" s="1005"/>
      <c r="AC8" s="895" t="s">
        <v>17</v>
      </c>
      <c r="AD8" s="244"/>
      <c r="AE8" s="243"/>
      <c r="AF8" s="244"/>
      <c r="AG8" s="292"/>
      <c r="AH8" s="1005"/>
      <c r="AI8" s="895" t="s">
        <v>17</v>
      </c>
      <c r="AJ8" s="1005"/>
      <c r="AK8" s="895" t="s">
        <v>17</v>
      </c>
      <c r="AL8" s="244"/>
      <c r="AM8" s="1023" t="s">
        <v>333</v>
      </c>
      <c r="AN8" s="24" t="e">
        <f ca="1">STRCHECKDATE(V9:AL9)</f>
        <v>#NAME?</v>
      </c>
      <c r="AP8" s="29" t="str">
        <f t="shared" si="0"/>
        <v/>
      </c>
      <c r="AS8" s="3">
        <v>0</v>
      </c>
    </row>
    <row r="9" spans="5:45" ht="0.75" hidden="1" customHeight="1">
      <c r="E9" s="1001"/>
      <c r="F9" s="1001"/>
      <c r="G9" s="1001"/>
      <c r="H9" s="1001"/>
      <c r="I9" s="1003"/>
      <c r="J9" s="1003"/>
      <c r="K9" s="1002"/>
      <c r="P9" s="885"/>
      <c r="Q9" s="885"/>
      <c r="R9" s="240"/>
      <c r="S9" s="209"/>
      <c r="T9" s="228"/>
      <c r="U9" s="228"/>
      <c r="V9" s="244"/>
      <c r="W9" s="244"/>
      <c r="X9" s="244"/>
      <c r="Y9" s="247" t="str">
        <f>Z8&amp;"-"&amp;AB8</f>
        <v>-</v>
      </c>
      <c r="Z9" s="1006"/>
      <c r="AA9" s="895"/>
      <c r="AB9" s="1006"/>
      <c r="AC9" s="895"/>
      <c r="AD9" s="244"/>
      <c r="AE9" s="244"/>
      <c r="AF9" s="244"/>
      <c r="AG9" s="247" t="str">
        <f>AH8&amp;"-"&amp;AJ8</f>
        <v>-</v>
      </c>
      <c r="AH9" s="1006"/>
      <c r="AI9" s="895"/>
      <c r="AJ9" s="1006"/>
      <c r="AK9" s="895"/>
      <c r="AL9" s="244"/>
      <c r="AM9" s="1024"/>
      <c r="AP9" s="29" t="str">
        <f t="shared" si="0"/>
        <v/>
      </c>
      <c r="AS9" s="3">
        <v>0</v>
      </c>
    </row>
    <row r="10" spans="5:45" ht="15" hidden="1" customHeight="1">
      <c r="E10" s="1001"/>
      <c r="F10" s="1001"/>
      <c r="G10" s="1001"/>
      <c r="H10" s="1001"/>
      <c r="I10" s="1003"/>
      <c r="J10" s="1002"/>
      <c r="P10" s="885"/>
      <c r="Q10" s="885"/>
      <c r="R10" s="238"/>
      <c r="S10" s="249"/>
      <c r="T10" s="250" t="s">
        <v>334</v>
      </c>
      <c r="U10" s="54"/>
      <c r="V10" s="54"/>
      <c r="W10" s="54"/>
      <c r="X10" s="54"/>
      <c r="Y10" s="54"/>
      <c r="Z10" s="54"/>
      <c r="AA10" s="54"/>
      <c r="AB10" s="54"/>
      <c r="AC10" s="54"/>
      <c r="AD10" s="54"/>
      <c r="AE10" s="54"/>
      <c r="AF10" s="54"/>
      <c r="AG10" s="54"/>
      <c r="AH10" s="54"/>
      <c r="AI10" s="54"/>
      <c r="AJ10" s="54"/>
      <c r="AK10" s="54"/>
      <c r="AL10" s="251"/>
      <c r="AM10" s="1025"/>
      <c r="AP10" s="29" t="str">
        <f t="shared" si="0"/>
        <v>Добавить вид теплоносителя (параметры теплоносителя)</v>
      </c>
      <c r="AS10" s="3">
        <v>0</v>
      </c>
    </row>
    <row r="11" spans="5:45" ht="15" hidden="1" customHeight="1">
      <c r="E11" s="1001"/>
      <c r="F11" s="1001"/>
      <c r="G11" s="1001"/>
      <c r="H11" s="1001"/>
      <c r="I11" s="1002"/>
      <c r="P11" s="885"/>
      <c r="R11" s="238"/>
      <c r="S11" s="249"/>
      <c r="T11" s="252" t="s">
        <v>335</v>
      </c>
      <c r="U11" s="54"/>
      <c r="V11" s="54"/>
      <c r="W11" s="54"/>
      <c r="X11" s="54"/>
      <c r="Y11" s="54"/>
      <c r="Z11" s="54"/>
      <c r="AA11" s="54"/>
      <c r="AB11" s="54"/>
      <c r="AC11" s="253"/>
      <c r="AD11" s="54"/>
      <c r="AE11" s="54"/>
      <c r="AF11" s="54"/>
      <c r="AG11" s="54"/>
      <c r="AH11" s="54"/>
      <c r="AI11" s="54"/>
      <c r="AJ11" s="54"/>
      <c r="AK11" s="253"/>
      <c r="AL11" s="54"/>
      <c r="AM11" s="254"/>
      <c r="AP11" s="29" t="str">
        <f t="shared" si="0"/>
        <v>Добавить группу потребителей</v>
      </c>
      <c r="AS11" s="3">
        <v>0</v>
      </c>
    </row>
    <row r="12" spans="5:45" ht="14.25" hidden="1" customHeight="1">
      <c r="E12" s="1001"/>
      <c r="F12" s="1001"/>
      <c r="G12" s="1001"/>
      <c r="H12" s="1000"/>
      <c r="R12" s="225"/>
      <c r="S12" s="249"/>
      <c r="T12" s="255" t="s">
        <v>336</v>
      </c>
      <c r="U12" s="54"/>
      <c r="V12" s="54"/>
      <c r="W12" s="54"/>
      <c r="X12" s="54"/>
      <c r="Y12" s="54"/>
      <c r="Z12" s="54"/>
      <c r="AA12" s="54"/>
      <c r="AB12" s="54"/>
      <c r="AC12" s="253"/>
      <c r="AD12" s="54"/>
      <c r="AE12" s="54"/>
      <c r="AF12" s="54"/>
      <c r="AG12" s="54"/>
      <c r="AH12" s="54"/>
      <c r="AI12" s="54"/>
      <c r="AJ12" s="54"/>
      <c r="AK12" s="253"/>
      <c r="AL12" s="54"/>
      <c r="AM12" s="254"/>
      <c r="AP12" s="29" t="str">
        <f t="shared" si="0"/>
        <v>Добавить схему подключения</v>
      </c>
      <c r="AS12" s="3">
        <v>0</v>
      </c>
    </row>
    <row r="13" spans="5:45" ht="0.75" hidden="1" customHeight="1">
      <c r="E13" s="1001"/>
      <c r="F13" s="1001"/>
      <c r="G13" s="1000"/>
      <c r="S13" s="256"/>
      <c r="T13" s="257" t="s">
        <v>337</v>
      </c>
      <c r="U13" s="258"/>
      <c r="V13" s="258"/>
      <c r="W13" s="258"/>
      <c r="X13" s="258"/>
      <c r="Y13" s="258"/>
      <c r="Z13" s="258"/>
      <c r="AA13" s="258"/>
      <c r="AB13" s="258"/>
      <c r="AC13" s="258"/>
      <c r="AD13" s="258"/>
      <c r="AE13" s="258"/>
      <c r="AF13" s="258"/>
      <c r="AG13" s="258"/>
      <c r="AH13" s="258"/>
      <c r="AI13" s="258"/>
      <c r="AJ13" s="258"/>
      <c r="AK13" s="258"/>
      <c r="AL13" s="258"/>
      <c r="AM13" s="258"/>
      <c r="AP13" s="29" t="str">
        <f t="shared" si="0"/>
        <v>Добавить источник для дифференциации</v>
      </c>
      <c r="AS13" s="24">
        <v>0</v>
      </c>
    </row>
    <row r="14" spans="5:45" ht="0.75" hidden="1" customHeight="1">
      <c r="E14" s="1001"/>
      <c r="F14" s="1000"/>
      <c r="T14" s="259" t="s">
        <v>338</v>
      </c>
      <c r="AP14" s="29" t="str">
        <f t="shared" si="0"/>
        <v>Добавить централизованную систему для дифференциации</v>
      </c>
      <c r="AS14" s="24">
        <v>0</v>
      </c>
    </row>
    <row r="15" spans="5:45" ht="0.75" hidden="1" customHeight="1">
      <c r="E15" s="1000"/>
      <c r="T15" s="260" t="s">
        <v>339</v>
      </c>
      <c r="AP15" s="29" t="str">
        <f t="shared" si="0"/>
        <v>Добавить территорию для дифференциации</v>
      </c>
      <c r="AS15" s="24">
        <v>0</v>
      </c>
    </row>
    <row r="16" spans="5:45" ht="14.25" hidden="1" customHeight="1">
      <c r="AS16" s="3">
        <v>0</v>
      </c>
    </row>
    <row r="17" spans="15:45" ht="14.25" hidden="1" customHeight="1">
      <c r="AD17" s="261"/>
      <c r="AE17" s="261"/>
      <c r="AF17" s="261"/>
      <c r="AG17" s="262"/>
      <c r="AH17" s="999"/>
      <c r="AI17" s="998" t="s">
        <v>17</v>
      </c>
      <c r="AJ17" s="999"/>
      <c r="AK17" s="998" t="s">
        <v>17</v>
      </c>
      <c r="AS17" s="3">
        <v>0</v>
      </c>
    </row>
    <row r="18" spans="15:45" ht="14.25" hidden="1" customHeight="1">
      <c r="AD18" s="261"/>
      <c r="AE18" s="261"/>
      <c r="AF18" s="261"/>
      <c r="AG18" s="247" t="str">
        <f>AH17&amp;"-"&amp;AJ17</f>
        <v>-</v>
      </c>
      <c r="AH18" s="998"/>
      <c r="AI18" s="998"/>
      <c r="AJ18" s="998"/>
      <c r="AK18" s="998"/>
      <c r="AS18" s="3">
        <v>0</v>
      </c>
    </row>
    <row r="19" spans="15:45" ht="14.25" hidden="1" customHeight="1">
      <c r="AS19" s="3">
        <v>0</v>
      </c>
    </row>
    <row r="20" spans="15:45" ht="22.5" hidden="1" customHeight="1">
      <c r="O20" s="263" t="s">
        <v>340</v>
      </c>
      <c r="Z20" s="263"/>
      <c r="AB20" s="263"/>
      <c r="AH20" s="263"/>
      <c r="AJ20" s="263"/>
      <c r="AS20" s="11">
        <v>0</v>
      </c>
    </row>
    <row r="21" spans="15:45" ht="14.25" hidden="1" customHeight="1">
      <c r="AS21" s="11">
        <v>0</v>
      </c>
    </row>
    <row r="22" spans="15:45" ht="33.75" hidden="1" customHeight="1">
      <c r="O22" s="237" t="s">
        <v>341</v>
      </c>
      <c r="T22" s="11" t="s">
        <v>342</v>
      </c>
      <c r="AA22" s="60" t="s">
        <v>343</v>
      </c>
      <c r="AC22" s="60" t="s">
        <v>344</v>
      </c>
      <c r="AD22" s="11" t="s">
        <v>342</v>
      </c>
      <c r="AI22" s="60" t="s">
        <v>345</v>
      </c>
      <c r="AK22" s="60" t="s">
        <v>344</v>
      </c>
      <c r="AS22" s="11">
        <v>0</v>
      </c>
    </row>
    <row r="23" spans="15:45" ht="14.25" hidden="1" customHeight="1">
      <c r="AS23" s="3">
        <v>0</v>
      </c>
    </row>
    <row r="24" spans="15:45" ht="14.25" hidden="1" customHeight="1">
      <c r="AS24" s="3">
        <v>0</v>
      </c>
    </row>
    <row r="25" spans="15:45" ht="14.65" customHeight="1">
      <c r="Q25" s="264"/>
      <c r="R25" s="264"/>
      <c r="S25" s="265"/>
      <c r="T25" s="12"/>
      <c r="U25" s="12"/>
      <c r="AS25" s="3">
        <v>14</v>
      </c>
    </row>
    <row r="26" spans="15:45" ht="29.25" customHeight="1">
      <c r="Q26" s="264"/>
      <c r="R26" s="264"/>
      <c r="S26" s="98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982"/>
      <c r="U26" s="982"/>
      <c r="V26" s="982"/>
      <c r="W26" s="982"/>
      <c r="X26" s="982"/>
      <c r="Y26" s="982"/>
      <c r="Z26" s="982"/>
      <c r="AA26" s="982"/>
      <c r="AB26" s="982"/>
      <c r="AC26" s="982"/>
      <c r="AD26" s="982"/>
      <c r="AE26" s="982"/>
      <c r="AF26" s="982"/>
      <c r="AG26" s="982"/>
      <c r="AH26" s="982"/>
      <c r="AI26" s="982"/>
      <c r="AJ26" s="982"/>
      <c r="AS26" s="3">
        <v>28</v>
      </c>
    </row>
    <row r="27" spans="15:45" ht="14.65" customHeight="1">
      <c r="Q27" s="264"/>
      <c r="R27" s="264"/>
      <c r="S27" s="955" t="e">
        <f>IF(org=0,"Не определено",org)</f>
        <v>#REF!</v>
      </c>
      <c r="T27" s="955"/>
      <c r="U27" s="955"/>
      <c r="V27" s="955"/>
      <c r="W27" s="955"/>
      <c r="X27" s="955"/>
      <c r="Y27" s="955"/>
      <c r="Z27" s="955"/>
      <c r="AA27" s="955"/>
      <c r="AB27" s="955"/>
      <c r="AC27" s="955"/>
      <c r="AD27" s="955"/>
      <c r="AE27" s="955"/>
      <c r="AF27" s="955"/>
      <c r="AG27" s="955"/>
      <c r="AH27" s="955"/>
      <c r="AI27" s="955"/>
      <c r="AJ27" s="955"/>
      <c r="AS27" s="3">
        <v>14</v>
      </c>
    </row>
    <row r="28" spans="15:45" ht="14.25" hidden="1" customHeight="1">
      <c r="Q28" s="264"/>
      <c r="R28" s="264"/>
      <c r="S28" s="265"/>
      <c r="T28" s="12"/>
      <c r="U28" s="12"/>
      <c r="V28" s="266"/>
      <c r="W28" s="266"/>
      <c r="X28" s="266"/>
      <c r="Y28" s="266"/>
      <c r="Z28" s="266"/>
      <c r="AA28" s="266"/>
      <c r="AB28" s="266"/>
      <c r="AC28" s="266"/>
      <c r="AD28" s="266"/>
      <c r="AE28" s="266"/>
      <c r="AF28" s="266"/>
      <c r="AG28" s="266"/>
      <c r="AH28" s="266"/>
      <c r="AI28" s="266"/>
      <c r="AJ28" s="266"/>
      <c r="AK28" s="266"/>
      <c r="AS28" s="3">
        <v>0</v>
      </c>
    </row>
    <row r="29" spans="15:45" ht="25.5" hidden="1" customHeight="1">
      <c r="S29" s="992" t="s">
        <v>9</v>
      </c>
      <c r="T29" s="992"/>
      <c r="U29" s="268"/>
      <c r="V29" s="994" t="e">
        <f>IF(TITLE_NAME_OR_PR_CHANGE="",IF(TITLE_NAME_OR_PR="","",TITLE_NAME_OR_PR),TITLE_NAME_OR_PR_CHANGE)</f>
        <v>#REF!</v>
      </c>
      <c r="W29" s="994"/>
      <c r="X29" s="994"/>
      <c r="Y29" s="994"/>
      <c r="Z29" s="994"/>
      <c r="AA29" s="994"/>
      <c r="AB29" s="994"/>
      <c r="AD29" s="994" t="e">
        <f>IF(TITLE_NAME_OR_PR_CHANGE="",IF(TITLE_NAME_OR_PR="","",TITLE_NAME_OR_PR),TITLE_NAME_OR_PR_CHANGE)</f>
        <v>#REF!</v>
      </c>
      <c r="AE29" s="994"/>
      <c r="AF29" s="994"/>
      <c r="AG29" s="994"/>
      <c r="AH29" s="994"/>
      <c r="AI29" s="994"/>
      <c r="AJ29" s="994"/>
      <c r="AS29" s="50">
        <v>0</v>
      </c>
    </row>
    <row r="30" spans="15:45" ht="18.75" hidden="1" customHeight="1">
      <c r="S30" s="992" t="s">
        <v>346</v>
      </c>
      <c r="T30" s="992"/>
      <c r="U30" s="268"/>
      <c r="V30" s="993" t="e">
        <f>IF(TITLE_DATE_PR_CHANGE="",IF(TITLE_DATE_PR="","",TITLE_DATE_PR),TITLE_DATE_PR_CHANGE)</f>
        <v>#REF!</v>
      </c>
      <c r="W30" s="993"/>
      <c r="X30" s="993"/>
      <c r="Y30" s="993"/>
      <c r="Z30" s="993"/>
      <c r="AA30" s="993"/>
      <c r="AB30" s="993"/>
      <c r="AD30" s="993" t="e">
        <f>IF(TITLE_DATE_PR_CHANGE="",IF(TITLE_DATE_PR="","",TITLE_DATE_PR),TITLE_DATE_PR_CHANGE)</f>
        <v>#REF!</v>
      </c>
      <c r="AE30" s="993"/>
      <c r="AF30" s="993"/>
      <c r="AG30" s="993"/>
      <c r="AH30" s="993"/>
      <c r="AI30" s="993"/>
      <c r="AJ30" s="993"/>
      <c r="AS30" s="50">
        <v>0</v>
      </c>
    </row>
    <row r="31" spans="15:45" ht="18.75" hidden="1" customHeight="1">
      <c r="S31" s="992" t="s">
        <v>347</v>
      </c>
      <c r="T31" s="992"/>
      <c r="U31" s="268"/>
      <c r="V31" s="994" t="e">
        <f>IF(TITLE_NUMBER_PR_CHANGE="",IF(TITLE_NUMBER_PR="","",TITLE_NUMBER_PR),TITLE_NUMBER_PR_CHANGE)</f>
        <v>#REF!</v>
      </c>
      <c r="W31" s="994"/>
      <c r="X31" s="994"/>
      <c r="Y31" s="994"/>
      <c r="Z31" s="994"/>
      <c r="AA31" s="994"/>
      <c r="AB31" s="994"/>
      <c r="AD31" s="994" t="e">
        <f>IF(TITLE_NUMBER_PR_CHANGE="",IF(TITLE_NUMBER_PR="","",TITLE_NUMBER_PR),TITLE_NUMBER_PR_CHANGE)</f>
        <v>#REF!</v>
      </c>
      <c r="AE31" s="994"/>
      <c r="AF31" s="994"/>
      <c r="AG31" s="994"/>
      <c r="AH31" s="994"/>
      <c r="AI31" s="994"/>
      <c r="AJ31" s="994"/>
      <c r="AS31" s="50">
        <v>0</v>
      </c>
    </row>
    <row r="32" spans="15:45" ht="18.75" hidden="1" customHeight="1">
      <c r="S32" s="992" t="s">
        <v>10</v>
      </c>
      <c r="T32" s="992"/>
      <c r="U32" s="268"/>
      <c r="V32" s="994" t="e">
        <f>IF(TITLE_IST_PUB_CHANGE="",IF(TITLE_IST_PUB="","",TITLE_IST_PUB),TITLE_IST_PUB_CHANGE)</f>
        <v>#REF!</v>
      </c>
      <c r="W32" s="994"/>
      <c r="X32" s="994"/>
      <c r="Y32" s="994"/>
      <c r="Z32" s="994"/>
      <c r="AA32" s="994"/>
      <c r="AB32" s="994"/>
      <c r="AD32" s="994" t="e">
        <f>IF(TITLE_IST_PUB_CHANGE="",IF(TITLE_IST_PUB="","",TITLE_IST_PUB),TITLE_IST_PUB_CHANGE)</f>
        <v>#REF!</v>
      </c>
      <c r="AE32" s="994"/>
      <c r="AF32" s="994"/>
      <c r="AG32" s="994"/>
      <c r="AH32" s="994"/>
      <c r="AI32" s="994"/>
      <c r="AJ32" s="994"/>
      <c r="AS32" s="50">
        <v>0</v>
      </c>
    </row>
    <row r="33" spans="1:45" ht="14.25" hidden="1" customHeight="1">
      <c r="Q33" s="264"/>
      <c r="R33" s="264"/>
      <c r="S33" s="265"/>
      <c r="T33" s="12"/>
      <c r="U33" s="12"/>
      <c r="V33" s="266"/>
      <c r="W33" s="266"/>
      <c r="X33" s="266"/>
      <c r="Y33" s="266"/>
      <c r="Z33" s="266"/>
      <c r="AA33" s="266"/>
      <c r="AB33" s="266"/>
      <c r="AC33" s="266"/>
      <c r="AD33" s="266"/>
      <c r="AE33" s="266"/>
      <c r="AF33" s="266"/>
      <c r="AG33" s="266"/>
      <c r="AH33" s="266"/>
      <c r="AI33" s="266"/>
      <c r="AJ33" s="266"/>
      <c r="AK33" s="266"/>
      <c r="AS33" s="3">
        <v>0</v>
      </c>
    </row>
    <row r="34" spans="1:45" ht="18.75" hidden="1" customHeight="1">
      <c r="S34" s="992" t="s">
        <v>348</v>
      </c>
      <c r="T34" s="992"/>
      <c r="U34" s="268"/>
      <c r="V34" s="993" t="e">
        <f>IF(TITLE_DATE_PR_CHANGE="",IF(TITLE_DATE_PR="","",TITLE_DATE_PR),TITLE_DATE_PR_CHANGE)</f>
        <v>#REF!</v>
      </c>
      <c r="W34" s="993"/>
      <c r="X34" s="993"/>
      <c r="Y34" s="993"/>
      <c r="Z34" s="993"/>
      <c r="AA34" s="993"/>
      <c r="AB34" s="993"/>
      <c r="AD34" s="993" t="e">
        <f>IF(TITLE_DATE_PR_CHANGE="",IF(TITLE_DATE_PR="","",TITLE_DATE_PR),TITLE_DATE_PR_CHANGE)</f>
        <v>#REF!</v>
      </c>
      <c r="AE34" s="993"/>
      <c r="AF34" s="993"/>
      <c r="AG34" s="993"/>
      <c r="AH34" s="993"/>
      <c r="AI34" s="993"/>
      <c r="AJ34" s="993"/>
      <c r="AS34" s="50">
        <v>0</v>
      </c>
    </row>
    <row r="35" spans="1:45" ht="18.75" hidden="1" customHeight="1">
      <c r="S35" s="992" t="s">
        <v>349</v>
      </c>
      <c r="T35" s="992"/>
      <c r="U35" s="268"/>
      <c r="V35" s="994" t="e">
        <f>IF(TITLE_NUMBER_PR_CHANGE="",IF(TITLE_NUMBER_PR="","",TITLE_NUMBER_PR),TITLE_NUMBER_PR_CHANGE)</f>
        <v>#REF!</v>
      </c>
      <c r="W35" s="994"/>
      <c r="X35" s="994"/>
      <c r="Y35" s="994"/>
      <c r="Z35" s="994"/>
      <c r="AA35" s="994"/>
      <c r="AB35" s="994"/>
      <c r="AD35" s="994" t="e">
        <f>IF(TITLE_NUMBER_PR_CHANGE="",IF(TITLE_NUMBER_PR="","",TITLE_NUMBER_PR),TITLE_NUMBER_PR_CHANGE)</f>
        <v>#REF!</v>
      </c>
      <c r="AE35" s="994"/>
      <c r="AF35" s="994"/>
      <c r="AG35" s="994"/>
      <c r="AH35" s="994"/>
      <c r="AI35" s="994"/>
      <c r="AJ35" s="994"/>
      <c r="AS35" s="50">
        <v>0</v>
      </c>
    </row>
    <row r="36" spans="1:45" ht="0" hidden="1" customHeight="1">
      <c r="AC36" s="24" t="s">
        <v>350</v>
      </c>
      <c r="AK36" s="24" t="s">
        <v>350</v>
      </c>
      <c r="AS36" s="50">
        <v>0</v>
      </c>
    </row>
    <row r="37" spans="1:45" ht="14.65" customHeight="1">
      <c r="Q37" s="264"/>
      <c r="R37" s="264"/>
      <c r="S37" s="265"/>
      <c r="T37" s="12"/>
      <c r="U37" s="270"/>
      <c r="V37" s="1012"/>
      <c r="W37" s="1012"/>
      <c r="X37" s="1012"/>
      <c r="Y37" s="1012"/>
      <c r="Z37" s="1012"/>
      <c r="AA37" s="1012"/>
      <c r="AB37" s="1012"/>
      <c r="AC37" s="1012"/>
      <c r="AD37" s="1012"/>
      <c r="AE37" s="1012"/>
      <c r="AF37" s="1012"/>
      <c r="AG37" s="1012"/>
      <c r="AH37" s="1012"/>
      <c r="AI37" s="1012"/>
      <c r="AJ37" s="1012"/>
      <c r="AK37" s="1012"/>
      <c r="AS37" s="3">
        <v>14</v>
      </c>
    </row>
    <row r="38" spans="1:45" ht="14.65" customHeight="1">
      <c r="Q38" s="264"/>
      <c r="R38" s="264"/>
      <c r="S38" s="894" t="s">
        <v>223</v>
      </c>
      <c r="T38" s="894"/>
      <c r="U38" s="894"/>
      <c r="V38" s="894"/>
      <c r="W38" s="894"/>
      <c r="X38" s="894"/>
      <c r="Y38" s="894"/>
      <c r="Z38" s="894"/>
      <c r="AA38" s="894"/>
      <c r="AB38" s="894"/>
      <c r="AC38" s="894"/>
      <c r="AD38" s="894"/>
      <c r="AE38" s="894"/>
      <c r="AF38" s="894"/>
      <c r="AG38" s="894"/>
      <c r="AH38" s="894"/>
      <c r="AI38" s="894"/>
      <c r="AJ38" s="894"/>
      <c r="AK38" s="894"/>
      <c r="AL38" s="894"/>
      <c r="AM38" s="894" t="s">
        <v>224</v>
      </c>
      <c r="AS38" s="3">
        <v>14</v>
      </c>
    </row>
    <row r="39" spans="1:45" ht="14.65" customHeight="1">
      <c r="Q39" s="264"/>
      <c r="R39" s="264"/>
      <c r="S39" s="1013" t="s">
        <v>24</v>
      </c>
      <c r="T39" s="962" t="s">
        <v>351</v>
      </c>
      <c r="U39" s="272"/>
      <c r="V39" s="1014" t="s">
        <v>352</v>
      </c>
      <c r="W39" s="1015"/>
      <c r="X39" s="1030"/>
      <c r="Y39" s="1030"/>
      <c r="Z39" s="1015"/>
      <c r="AA39" s="1015"/>
      <c r="AB39" s="1016"/>
      <c r="AC39" s="1017" t="s">
        <v>353</v>
      </c>
      <c r="AD39" s="1014" t="s">
        <v>352</v>
      </c>
      <c r="AE39" s="1015"/>
      <c r="AF39" s="1030"/>
      <c r="AG39" s="1030"/>
      <c r="AH39" s="1015"/>
      <c r="AI39" s="1015"/>
      <c r="AJ39" s="1016"/>
      <c r="AK39" s="1017" t="s">
        <v>354</v>
      </c>
      <c r="AL39" s="1020" t="s">
        <v>355</v>
      </c>
      <c r="AM39" s="894"/>
      <c r="AS39" s="3">
        <v>14</v>
      </c>
    </row>
    <row r="40" spans="1:45" ht="24" customHeight="1">
      <c r="Q40" s="264"/>
      <c r="R40" s="264"/>
      <c r="S40" s="1013"/>
      <c r="T40" s="962"/>
      <c r="U40" s="274"/>
      <c r="V40" s="1028" t="s">
        <v>356</v>
      </c>
      <c r="W40" s="936" t="s">
        <v>357</v>
      </c>
      <c r="X40" s="123" t="s">
        <v>358</v>
      </c>
      <c r="Y40" s="123"/>
      <c r="Z40" s="890" t="s">
        <v>359</v>
      </c>
      <c r="AA40" s="890"/>
      <c r="AB40" s="886"/>
      <c r="AC40" s="1018"/>
      <c r="AD40" s="1028" t="s">
        <v>356</v>
      </c>
      <c r="AE40" s="936" t="s">
        <v>357</v>
      </c>
      <c r="AF40" s="123" t="s">
        <v>358</v>
      </c>
      <c r="AG40" s="123"/>
      <c r="AH40" s="890" t="s">
        <v>359</v>
      </c>
      <c r="AI40" s="890"/>
      <c r="AJ40" s="886"/>
      <c r="AK40" s="1018"/>
      <c r="AL40" s="1021"/>
      <c r="AM40" s="894"/>
      <c r="AS40" s="3">
        <v>23</v>
      </c>
    </row>
    <row r="41" spans="1:45" ht="24" customHeight="1">
      <c r="B41" s="60" t="s">
        <v>60</v>
      </c>
      <c r="C41" s="60" t="s">
        <v>61</v>
      </c>
      <c r="D41" s="60" t="s">
        <v>62</v>
      </c>
      <c r="E41" s="237" t="s">
        <v>360</v>
      </c>
      <c r="F41" s="237" t="s">
        <v>361</v>
      </c>
      <c r="G41" s="237" t="s">
        <v>362</v>
      </c>
      <c r="H41" s="237" t="s">
        <v>363</v>
      </c>
      <c r="I41" s="237" t="s">
        <v>364</v>
      </c>
      <c r="J41" s="237" t="s">
        <v>365</v>
      </c>
      <c r="K41" s="237" t="s">
        <v>366</v>
      </c>
      <c r="L41" s="237" t="s">
        <v>341</v>
      </c>
      <c r="Q41" s="264"/>
      <c r="R41" s="264"/>
      <c r="S41" s="1013"/>
      <c r="T41" s="962"/>
      <c r="U41" s="275"/>
      <c r="V41" s="1029"/>
      <c r="W41" s="941"/>
      <c r="X41" s="31" t="s">
        <v>367</v>
      </c>
      <c r="Y41" s="31" t="s">
        <v>368</v>
      </c>
      <c r="Z41" s="178" t="s">
        <v>369</v>
      </c>
      <c r="AA41" s="967" t="s">
        <v>370</v>
      </c>
      <c r="AB41" s="981"/>
      <c r="AC41" s="1019"/>
      <c r="AD41" s="1029"/>
      <c r="AE41" s="941"/>
      <c r="AF41" s="31" t="s">
        <v>367</v>
      </c>
      <c r="AG41" s="31" t="s">
        <v>368</v>
      </c>
      <c r="AH41" s="178" t="s">
        <v>369</v>
      </c>
      <c r="AI41" s="967" t="s">
        <v>370</v>
      </c>
      <c r="AJ41" s="981"/>
      <c r="AK41" s="1019"/>
      <c r="AL41" s="1022"/>
      <c r="AM41" s="894"/>
      <c r="AS41" s="59">
        <v>23</v>
      </c>
    </row>
    <row r="42" spans="1:45" ht="11.25" hidden="1" customHeight="1">
      <c r="Q42" s="278"/>
      <c r="R42" s="279">
        <v>1</v>
      </c>
      <c r="S42" s="280" t="s">
        <v>31</v>
      </c>
      <c r="T42" s="281" t="s">
        <v>39</v>
      </c>
      <c r="U42" s="282" t="str">
        <f ca="1">OFFSET(U42,0,-1)</f>
        <v>2</v>
      </c>
      <c r="V42" s="283">
        <f ca="1">OFFSET(V42,0,-1)+1</f>
        <v>3</v>
      </c>
      <c r="W42" s="283"/>
      <c r="X42" s="185">
        <f ca="1">OFFSET(X42,0,-1)+1</f>
        <v>1</v>
      </c>
      <c r="Y42" s="185">
        <f ca="1">OFFSET(Y42,0,-1)+1</f>
        <v>2</v>
      </c>
      <c r="Z42" s="283">
        <f ca="1">OFFSET(Z42,0,-1)+1</f>
        <v>3</v>
      </c>
      <c r="AA42" s="1011">
        <f ca="1">OFFSET(AA42,0,-1)+1</f>
        <v>4</v>
      </c>
      <c r="AB42" s="1011"/>
      <c r="AC42" s="283">
        <f ca="1">OFFSET(AC42,0,-2)+1</f>
        <v>5</v>
      </c>
      <c r="AD42" s="283">
        <f ca="1">OFFSET(AD42,0,-1)+1</f>
        <v>6</v>
      </c>
      <c r="AE42" s="283"/>
      <c r="AF42" s="185">
        <f ca="1">OFFSET(AF42,0,-1)+1</f>
        <v>1</v>
      </c>
      <c r="AG42" s="185">
        <f ca="1">OFFSET(AG42,0,-1)+1</f>
        <v>2</v>
      </c>
      <c r="AH42" s="283">
        <f ca="1">OFFSET(AH42,0,-1)+1</f>
        <v>3</v>
      </c>
      <c r="AI42" s="1011">
        <f ca="1">OFFSET(AI42,0,-1)+1</f>
        <v>4</v>
      </c>
      <c r="AJ42" s="1011"/>
      <c r="AK42" s="283">
        <f ca="1">OFFSET(AK42,0,-2)+1</f>
        <v>5</v>
      </c>
      <c r="AL42" s="282">
        <f ca="1">OFFSET(AL42,0,-1)</f>
        <v>5</v>
      </c>
      <c r="AM42" s="283">
        <f ca="1">OFFSET(AM42,0,-1)+1</f>
        <v>6</v>
      </c>
      <c r="AS42" s="189">
        <v>0</v>
      </c>
    </row>
    <row r="43" spans="1:45" ht="21.95" customHeight="1">
      <c r="A43" s="284" t="s">
        <v>117</v>
      </c>
      <c r="E43" s="1000">
        <v>1</v>
      </c>
      <c r="R43" s="225"/>
      <c r="S43" s="226">
        <f>INDEX(PT_DIFFERENTIATION_NUM_NTAR,MATCH(A43,PT_DIFFERENTIATION_NTAR_ID,0))</f>
        <v>0</v>
      </c>
      <c r="T43" s="227" t="s">
        <v>48</v>
      </c>
      <c r="U43" s="228"/>
      <c r="V43" s="995"/>
      <c r="W43" s="996"/>
      <c r="X43" s="996"/>
      <c r="Y43" s="996"/>
      <c r="Z43" s="996"/>
      <c r="AA43" s="996"/>
      <c r="AB43" s="996"/>
      <c r="AC43" s="997"/>
      <c r="AD43" s="995" t="str">
        <f>INDEX(PT_DIFFERENTIATION_NTAR,MATCH(A43,PT_DIFFERENTIATION_NTAR_ID,0))</f>
        <v/>
      </c>
      <c r="AE43" s="996"/>
      <c r="AF43" s="996"/>
      <c r="AG43" s="996"/>
      <c r="AH43" s="996"/>
      <c r="AI43" s="996"/>
      <c r="AJ43" s="996"/>
      <c r="AK43" s="996"/>
      <c r="AL43" s="997"/>
      <c r="AM43" s="2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P43" s="29" t="str">
        <f t="shared" ref="AP43:AP57" si="1">IF(T43="","",T43)</f>
        <v>Наименование тарифа</v>
      </c>
      <c r="AS43" s="3">
        <v>21</v>
      </c>
    </row>
    <row r="44" spans="1:45" ht="21.95" customHeight="1">
      <c r="A44" s="284" t="s">
        <v>117</v>
      </c>
      <c r="B44" s="284" t="s">
        <v>118</v>
      </c>
      <c r="E44" s="1001"/>
      <c r="F44" s="1000">
        <v>1</v>
      </c>
      <c r="Q44" s="231"/>
      <c r="R44" s="232"/>
      <c r="S44" s="226" t="str">
        <f>INDEX(PT_DIFFERENTIATION_NUM_TER,MATCH(B44,PT_DIFFERENTIATION_TER_ID,0))</f>
        <v>.</v>
      </c>
      <c r="T44" s="233" t="s">
        <v>320</v>
      </c>
      <c r="U44" s="228"/>
      <c r="V44" s="995"/>
      <c r="W44" s="996"/>
      <c r="X44" s="996"/>
      <c r="Y44" s="996"/>
      <c r="Z44" s="996"/>
      <c r="AA44" s="996"/>
      <c r="AB44" s="996"/>
      <c r="AC44" s="997"/>
      <c r="AD44" s="995" t="str">
        <f>INDEX(PT_DIFFERENTIATION_TER,MATCH(B44,PT_DIFFERENTIATION_TER_ID,0))</f>
        <v/>
      </c>
      <c r="AE44" s="996"/>
      <c r="AF44" s="996"/>
      <c r="AG44" s="996"/>
      <c r="AH44" s="996"/>
      <c r="AI44" s="996"/>
      <c r="AJ44" s="996"/>
      <c r="AK44" s="996"/>
      <c r="AL44" s="997"/>
      <c r="AM44" s="230" t="s">
        <v>321</v>
      </c>
      <c r="AP44" s="29" t="str">
        <f t="shared" si="1"/>
        <v>Территория действия тарифа</v>
      </c>
      <c r="AS44" s="3">
        <v>21</v>
      </c>
    </row>
    <row r="45" spans="1:45" ht="24" customHeight="1">
      <c r="A45" s="284" t="s">
        <v>117</v>
      </c>
      <c r="B45" s="284" t="s">
        <v>118</v>
      </c>
      <c r="C45" s="284" t="s">
        <v>119</v>
      </c>
      <c r="E45" s="1001"/>
      <c r="F45" s="1001"/>
      <c r="G45" s="1000">
        <v>1</v>
      </c>
      <c r="Q45" s="231"/>
      <c r="R45" s="232"/>
      <c r="S45" s="226" t="str">
        <f>INDEX(PT_DIFFERENTIATION_NUM_CS,MATCH(C45,PT_DIFFERENTIATION_CS_ID,0))</f>
        <v>..</v>
      </c>
      <c r="T45" s="234" t="s">
        <v>322</v>
      </c>
      <c r="U45" s="228"/>
      <c r="V45" s="995"/>
      <c r="W45" s="996"/>
      <c r="X45" s="996"/>
      <c r="Y45" s="996"/>
      <c r="Z45" s="996"/>
      <c r="AA45" s="996"/>
      <c r="AB45" s="996"/>
      <c r="AC45" s="997"/>
      <c r="AD45" s="995" t="str">
        <f>INDEX(PT_DIFFERENTIATION_CS,MATCH(C45,PT_DIFFERENTIATION_CS_ID,0))</f>
        <v/>
      </c>
      <c r="AE45" s="996"/>
      <c r="AF45" s="996"/>
      <c r="AG45" s="996"/>
      <c r="AH45" s="996"/>
      <c r="AI45" s="996"/>
      <c r="AJ45" s="996"/>
      <c r="AK45" s="996"/>
      <c r="AL45" s="997"/>
      <c r="AM45" s="230" t="s">
        <v>323</v>
      </c>
      <c r="AP45" s="29" t="str">
        <f t="shared" si="1"/>
        <v xml:space="preserve">Наименование системы теплоснабжения </v>
      </c>
      <c r="AS45" s="3">
        <v>23</v>
      </c>
    </row>
    <row r="46" spans="1:45" ht="21.95" customHeight="1">
      <c r="A46" s="284" t="s">
        <v>117</v>
      </c>
      <c r="B46" s="284" t="s">
        <v>118</v>
      </c>
      <c r="C46" s="284" t="s">
        <v>119</v>
      </c>
      <c r="D46" s="284" t="s">
        <v>120</v>
      </c>
      <c r="E46" s="1001"/>
      <c r="F46" s="1001"/>
      <c r="G46" s="1001"/>
      <c r="H46" s="1000">
        <v>1</v>
      </c>
      <c r="Q46" s="231"/>
      <c r="R46" s="232"/>
      <c r="S46" s="226" t="str">
        <f>INDEX(PT_DIFFERENTIATION_NUM_IST_TE,MATCH(D46,PT_DIFFERENTIATION_IST_TE_ID,0))</f>
        <v>...</v>
      </c>
      <c r="T46" s="235" t="s">
        <v>324</v>
      </c>
      <c r="U46" s="228"/>
      <c r="V46" s="995"/>
      <c r="W46" s="996"/>
      <c r="X46" s="996"/>
      <c r="Y46" s="996"/>
      <c r="Z46" s="996"/>
      <c r="AA46" s="996"/>
      <c r="AB46" s="996"/>
      <c r="AC46" s="997"/>
      <c r="AD46" s="995" t="str">
        <f>INDEX(PT_DIFFERENTIATION_IST_TE,MATCH(D46,PT_DIFFERENTIATION_IST_TE_ID,0))</f>
        <v/>
      </c>
      <c r="AE46" s="996"/>
      <c r="AF46" s="996"/>
      <c r="AG46" s="996"/>
      <c r="AH46" s="996"/>
      <c r="AI46" s="996"/>
      <c r="AJ46" s="996"/>
      <c r="AK46" s="996"/>
      <c r="AL46" s="997"/>
      <c r="AM46" s="230" t="s">
        <v>325</v>
      </c>
      <c r="AP46" s="29" t="str">
        <f t="shared" si="1"/>
        <v xml:space="preserve">Источник тепловой энергии  </v>
      </c>
      <c r="AS46" s="3">
        <v>21</v>
      </c>
    </row>
    <row r="47" spans="1:45" ht="49.5" customHeight="1">
      <c r="A47" s="284" t="s">
        <v>117</v>
      </c>
      <c r="B47" s="284" t="s">
        <v>118</v>
      </c>
      <c r="C47" s="284" t="s">
        <v>119</v>
      </c>
      <c r="D47" s="284" t="s">
        <v>120</v>
      </c>
      <c r="E47" s="1001"/>
      <c r="F47" s="1001"/>
      <c r="G47" s="1001"/>
      <c r="H47" s="1001"/>
      <c r="I47" s="1002" t="str">
        <f>S46&amp;".1"</f>
        <v>....1</v>
      </c>
      <c r="L47" s="237" t="s">
        <v>326</v>
      </c>
      <c r="P47" s="1004">
        <v>1</v>
      </c>
      <c r="R47" s="238"/>
      <c r="S47" s="226" t="str">
        <f>$I47</f>
        <v>....1</v>
      </c>
      <c r="T47" s="239" t="s">
        <v>327</v>
      </c>
      <c r="U47" s="228"/>
      <c r="V47" s="989"/>
      <c r="W47" s="990"/>
      <c r="X47" s="990"/>
      <c r="Y47" s="990"/>
      <c r="Z47" s="990"/>
      <c r="AA47" s="990"/>
      <c r="AB47" s="990"/>
      <c r="AC47" s="991"/>
      <c r="AD47" s="989"/>
      <c r="AE47" s="990"/>
      <c r="AF47" s="990"/>
      <c r="AG47" s="990"/>
      <c r="AH47" s="990"/>
      <c r="AI47" s="990"/>
      <c r="AJ47" s="990"/>
      <c r="AK47" s="990"/>
      <c r="AL47" s="991"/>
      <c r="AM47" s="230" t="s">
        <v>328</v>
      </c>
      <c r="AP47" s="29" t="str">
        <f t="shared" si="1"/>
        <v>Схема подключения теплопотребляющей установки к коллектору источника тепловой энергии</v>
      </c>
      <c r="AS47" s="3">
        <v>47</v>
      </c>
    </row>
    <row r="48" spans="1:45" ht="21.95" customHeight="1">
      <c r="A48" s="284" t="s">
        <v>117</v>
      </c>
      <c r="B48" s="284" t="s">
        <v>118</v>
      </c>
      <c r="C48" s="284" t="s">
        <v>119</v>
      </c>
      <c r="D48" s="284" t="s">
        <v>120</v>
      </c>
      <c r="E48" s="1001"/>
      <c r="F48" s="1001"/>
      <c r="G48" s="1001"/>
      <c r="H48" s="1001"/>
      <c r="I48" s="1003"/>
      <c r="J48" s="1002" t="str">
        <f>I47&amp;".1"</f>
        <v>....1.1</v>
      </c>
      <c r="L48" s="237" t="s">
        <v>329</v>
      </c>
      <c r="P48" s="885"/>
      <c r="Q48" s="1004">
        <v>1</v>
      </c>
      <c r="R48" s="240"/>
      <c r="S48" s="226" t="str">
        <f>$J48</f>
        <v>....1.1</v>
      </c>
      <c r="T48" s="241" t="s">
        <v>330</v>
      </c>
      <c r="U48" s="228"/>
      <c r="V48" s="989"/>
      <c r="W48" s="990"/>
      <c r="X48" s="990"/>
      <c r="Y48" s="990"/>
      <c r="Z48" s="990"/>
      <c r="AA48" s="990"/>
      <c r="AB48" s="990"/>
      <c r="AC48" s="991"/>
      <c r="AD48" s="989"/>
      <c r="AE48" s="990"/>
      <c r="AF48" s="990"/>
      <c r="AG48" s="990"/>
      <c r="AH48" s="990"/>
      <c r="AI48" s="990"/>
      <c r="AJ48" s="990"/>
      <c r="AK48" s="990"/>
      <c r="AL48" s="991"/>
      <c r="AM48" s="230" t="s">
        <v>331</v>
      </c>
      <c r="AP48" s="29" t="str">
        <f t="shared" si="1"/>
        <v>Группа потребителей</v>
      </c>
      <c r="AS48" s="3">
        <v>21</v>
      </c>
    </row>
    <row r="49" spans="1:45" ht="21.95" customHeight="1">
      <c r="A49" s="284" t="s">
        <v>117</v>
      </c>
      <c r="B49" s="284" t="s">
        <v>118</v>
      </c>
      <c r="C49" s="284" t="s">
        <v>119</v>
      </c>
      <c r="D49" s="284" t="s">
        <v>120</v>
      </c>
      <c r="E49" s="1001"/>
      <c r="F49" s="1001"/>
      <c r="G49" s="1001"/>
      <c r="H49" s="1001"/>
      <c r="I49" s="1003"/>
      <c r="J49" s="1003"/>
      <c r="K49" s="1002" t="str">
        <f>J48&amp;".1"</f>
        <v>....1.1.1</v>
      </c>
      <c r="L49" s="237" t="s">
        <v>332</v>
      </c>
      <c r="P49" s="885"/>
      <c r="Q49" s="885"/>
      <c r="R49" s="240">
        <v>1</v>
      </c>
      <c r="S49" s="226" t="str">
        <f>$K49</f>
        <v>....1.1.1</v>
      </c>
      <c r="T49" s="242"/>
      <c r="U49" s="228"/>
      <c r="V49" s="244"/>
      <c r="W49" s="243"/>
      <c r="X49" s="244"/>
      <c r="Y49" s="292"/>
      <c r="Z49" s="1005"/>
      <c r="AA49" s="895" t="s">
        <v>17</v>
      </c>
      <c r="AB49" s="1005"/>
      <c r="AC49" s="895" t="s">
        <v>17</v>
      </c>
      <c r="AD49" s="244"/>
      <c r="AE49" s="243"/>
      <c r="AF49" s="244"/>
      <c r="AG49" s="292"/>
      <c r="AH49" s="1005"/>
      <c r="AI49" s="895" t="s">
        <v>17</v>
      </c>
      <c r="AJ49" s="1007"/>
      <c r="AK49" s="895" t="s">
        <v>17</v>
      </c>
      <c r="AL49" s="285"/>
      <c r="AM49" s="1023" t="s">
        <v>333</v>
      </c>
      <c r="AN49" s="24" t="e">
        <f ca="1">STRCHECKDATE(V50:AL50)</f>
        <v>#NAME?</v>
      </c>
      <c r="AP49" s="29" t="str">
        <f t="shared" si="1"/>
        <v/>
      </c>
      <c r="AS49" s="3">
        <v>21</v>
      </c>
    </row>
    <row r="50" spans="1:45" ht="1.1499999999999999" customHeight="1">
      <c r="A50" s="284" t="s">
        <v>117</v>
      </c>
      <c r="B50" s="284" t="s">
        <v>118</v>
      </c>
      <c r="C50" s="284" t="s">
        <v>119</v>
      </c>
      <c r="D50" s="284" t="s">
        <v>120</v>
      </c>
      <c r="E50" s="1001"/>
      <c r="F50" s="1001"/>
      <c r="G50" s="1001"/>
      <c r="H50" s="1001"/>
      <c r="I50" s="1003"/>
      <c r="J50" s="1003"/>
      <c r="K50" s="1002"/>
      <c r="P50" s="885"/>
      <c r="Q50" s="885"/>
      <c r="R50" s="240"/>
      <c r="S50" s="209"/>
      <c r="T50" s="228"/>
      <c r="U50" s="228"/>
      <c r="V50" s="244"/>
      <c r="W50" s="244"/>
      <c r="X50" s="244"/>
      <c r="Y50" s="247" t="str">
        <f>Z49&amp;"-"&amp;AB49</f>
        <v>-</v>
      </c>
      <c r="Z50" s="1006"/>
      <c r="AA50" s="895"/>
      <c r="AB50" s="1006"/>
      <c r="AC50" s="895"/>
      <c r="AD50" s="244"/>
      <c r="AE50" s="244"/>
      <c r="AF50" s="244"/>
      <c r="AG50" s="247" t="str">
        <f>AH49&amp;"-"&amp;AJ49</f>
        <v>-</v>
      </c>
      <c r="AH50" s="1006"/>
      <c r="AI50" s="895"/>
      <c r="AJ50" s="1008"/>
      <c r="AK50" s="895"/>
      <c r="AL50" s="286"/>
      <c r="AM50" s="1024"/>
      <c r="AP50" s="29" t="str">
        <f t="shared" si="1"/>
        <v/>
      </c>
      <c r="AS50" s="3">
        <v>1</v>
      </c>
    </row>
    <row r="51" spans="1:45" ht="11.45" customHeight="1">
      <c r="A51" s="284" t="s">
        <v>117</v>
      </c>
      <c r="B51" s="284" t="s">
        <v>118</v>
      </c>
      <c r="C51" s="284" t="s">
        <v>119</v>
      </c>
      <c r="D51" s="284" t="s">
        <v>120</v>
      </c>
      <c r="E51" s="1001"/>
      <c r="F51" s="1001"/>
      <c r="G51" s="1001"/>
      <c r="H51" s="1001"/>
      <c r="I51" s="1003"/>
      <c r="J51" s="1002"/>
      <c r="P51" s="885"/>
      <c r="Q51" s="885"/>
      <c r="R51" s="238"/>
      <c r="S51" s="249"/>
      <c r="T51" s="250" t="s">
        <v>334</v>
      </c>
      <c r="U51" s="54"/>
      <c r="V51" s="54"/>
      <c r="W51" s="54"/>
      <c r="X51" s="54"/>
      <c r="Y51" s="54"/>
      <c r="Z51" s="54"/>
      <c r="AA51" s="54"/>
      <c r="AB51" s="54"/>
      <c r="AC51" s="54"/>
      <c r="AD51" s="54"/>
      <c r="AE51" s="54"/>
      <c r="AF51" s="54"/>
      <c r="AG51" s="54"/>
      <c r="AH51" s="54"/>
      <c r="AI51" s="54"/>
      <c r="AJ51" s="54"/>
      <c r="AK51" s="54"/>
      <c r="AL51" s="251"/>
      <c r="AM51" s="1025"/>
      <c r="AP51" s="29" t="str">
        <f t="shared" si="1"/>
        <v>Добавить вид теплоносителя (параметры теплоносителя)</v>
      </c>
      <c r="AS51" s="3">
        <v>11</v>
      </c>
    </row>
    <row r="52" spans="1:45" ht="11.45" customHeight="1">
      <c r="A52" s="284" t="s">
        <v>117</v>
      </c>
      <c r="B52" s="284" t="s">
        <v>118</v>
      </c>
      <c r="C52" s="284" t="s">
        <v>119</v>
      </c>
      <c r="D52" s="284" t="s">
        <v>120</v>
      </c>
      <c r="E52" s="1001"/>
      <c r="F52" s="1001"/>
      <c r="G52" s="1001"/>
      <c r="H52" s="1001"/>
      <c r="I52" s="1002"/>
      <c r="P52" s="885"/>
      <c r="R52" s="238"/>
      <c r="S52" s="249"/>
      <c r="T52" s="252" t="s">
        <v>335</v>
      </c>
      <c r="U52" s="54"/>
      <c r="V52" s="54"/>
      <c r="W52" s="54"/>
      <c r="X52" s="54"/>
      <c r="Y52" s="54"/>
      <c r="Z52" s="54"/>
      <c r="AA52" s="54"/>
      <c r="AB52" s="54"/>
      <c r="AC52" s="253"/>
      <c r="AD52" s="54"/>
      <c r="AE52" s="54"/>
      <c r="AF52" s="54"/>
      <c r="AG52" s="54"/>
      <c r="AH52" s="54"/>
      <c r="AI52" s="54"/>
      <c r="AJ52" s="54"/>
      <c r="AK52" s="253"/>
      <c r="AL52" s="54"/>
      <c r="AM52" s="254"/>
      <c r="AP52" s="29" t="str">
        <f t="shared" si="1"/>
        <v>Добавить группу потребителей</v>
      </c>
      <c r="AS52" s="3">
        <v>11</v>
      </c>
    </row>
    <row r="53" spans="1:45" ht="14.65" customHeight="1">
      <c r="A53" s="284" t="s">
        <v>117</v>
      </c>
      <c r="B53" s="284" t="s">
        <v>118</v>
      </c>
      <c r="C53" s="284" t="s">
        <v>119</v>
      </c>
      <c r="D53" s="284" t="s">
        <v>120</v>
      </c>
      <c r="E53" s="1001"/>
      <c r="F53" s="1001"/>
      <c r="G53" s="1001"/>
      <c r="H53" s="1000"/>
      <c r="R53" s="225"/>
      <c r="S53" s="249"/>
      <c r="T53" s="255" t="s">
        <v>336</v>
      </c>
      <c r="U53" s="54"/>
      <c r="V53" s="54"/>
      <c r="W53" s="54"/>
      <c r="X53" s="54"/>
      <c r="Y53" s="54"/>
      <c r="Z53" s="54"/>
      <c r="AA53" s="54"/>
      <c r="AB53" s="54"/>
      <c r="AC53" s="253"/>
      <c r="AD53" s="54"/>
      <c r="AE53" s="54"/>
      <c r="AF53" s="54"/>
      <c r="AG53" s="54"/>
      <c r="AH53" s="54"/>
      <c r="AI53" s="54"/>
      <c r="AJ53" s="54"/>
      <c r="AK53" s="253"/>
      <c r="AL53" s="54"/>
      <c r="AM53" s="254"/>
      <c r="AP53" s="29" t="str">
        <f t="shared" si="1"/>
        <v>Добавить схему подключения</v>
      </c>
      <c r="AS53" s="3">
        <v>14</v>
      </c>
    </row>
    <row r="54" spans="1:45" ht="1.1499999999999999" customHeight="1">
      <c r="A54" s="21" t="s">
        <v>117</v>
      </c>
      <c r="B54" s="21" t="s">
        <v>118</v>
      </c>
      <c r="C54" s="21" t="s">
        <v>119</v>
      </c>
      <c r="E54" s="1001"/>
      <c r="F54" s="1001"/>
      <c r="G54" s="1000"/>
      <c r="T54" s="260" t="s">
        <v>337</v>
      </c>
      <c r="AP54" s="29" t="str">
        <f t="shared" si="1"/>
        <v>Добавить источник для дифференциации</v>
      </c>
      <c r="AS54" s="24">
        <v>1</v>
      </c>
    </row>
    <row r="55" spans="1:45" ht="1.1499999999999999" customHeight="1">
      <c r="A55" s="21" t="s">
        <v>117</v>
      </c>
      <c r="B55" s="21" t="s">
        <v>118</v>
      </c>
      <c r="E55" s="1001"/>
      <c r="F55" s="1000"/>
      <c r="T55" s="260" t="s">
        <v>338</v>
      </c>
      <c r="AP55" s="29" t="str">
        <f t="shared" si="1"/>
        <v>Добавить централизованную систему для дифференциации</v>
      </c>
      <c r="AS55" s="24">
        <v>1</v>
      </c>
    </row>
    <row r="56" spans="1:45" ht="1.1499999999999999" customHeight="1">
      <c r="A56" s="21" t="s">
        <v>117</v>
      </c>
      <c r="E56" s="1000"/>
      <c r="T56" s="260" t="s">
        <v>339</v>
      </c>
      <c r="AP56" s="29" t="str">
        <f t="shared" si="1"/>
        <v>Добавить территорию для дифференциации</v>
      </c>
      <c r="AS56" s="24">
        <v>1</v>
      </c>
    </row>
    <row r="57" spans="1:45" ht="1.1499999999999999" customHeight="1">
      <c r="T57" s="260" t="s">
        <v>371</v>
      </c>
      <c r="AP57" s="29" t="str">
        <f t="shared" si="1"/>
        <v>Добавить наименование тарифа</v>
      </c>
      <c r="AS57" s="24">
        <v>1</v>
      </c>
    </row>
    <row r="58" spans="1:45" ht="11.45" customHeight="1">
      <c r="AS58" s="3">
        <v>11</v>
      </c>
    </row>
    <row r="59" spans="1:45" ht="28.5" customHeight="1">
      <c r="T59" s="885"/>
      <c r="U59" s="885"/>
      <c r="V59" s="885"/>
      <c r="W59" s="885"/>
      <c r="X59" s="885"/>
      <c r="Y59" s="885"/>
      <c r="Z59" s="885"/>
      <c r="AA59" s="885"/>
      <c r="AB59" s="885"/>
      <c r="AC59" s="885"/>
      <c r="AD59" s="885"/>
      <c r="AE59" s="885"/>
      <c r="AF59" s="885"/>
      <c r="AG59" s="885"/>
      <c r="AH59" s="885"/>
      <c r="AI59" s="885"/>
      <c r="AJ59" s="885"/>
      <c r="AK59" s="885"/>
      <c r="AL59" s="885"/>
      <c r="AM59" s="885"/>
      <c r="AS59" s="3">
        <v>27</v>
      </c>
    </row>
    <row r="60" spans="1:45" ht="78.75" customHeight="1">
      <c r="T60" s="885"/>
      <c r="U60" s="885"/>
      <c r="V60" s="885"/>
      <c r="W60" s="885"/>
      <c r="X60" s="885"/>
      <c r="Y60" s="885"/>
      <c r="Z60" s="885"/>
      <c r="AA60" s="885"/>
      <c r="AB60" s="885"/>
      <c r="AC60" s="885"/>
      <c r="AD60" s="885"/>
      <c r="AE60" s="885"/>
      <c r="AF60" s="885"/>
      <c r="AG60" s="885"/>
      <c r="AH60" s="885"/>
      <c r="AI60" s="885"/>
      <c r="AJ60" s="885"/>
      <c r="AK60" s="885"/>
      <c r="AL60" s="885"/>
      <c r="AM60" s="885"/>
      <c r="AS60" s="3">
        <v>75</v>
      </c>
    </row>
    <row r="61" spans="1:45" ht="14.65" customHeight="1">
      <c r="AS61" s="3">
        <v>14</v>
      </c>
    </row>
    <row r="62" spans="1:45" ht="18.75" customHeight="1">
      <c r="T62" s="885"/>
      <c r="U62" s="885"/>
      <c r="V62" s="885"/>
      <c r="W62" s="885"/>
      <c r="X62" s="885"/>
      <c r="Y62" s="885"/>
      <c r="Z62" s="885"/>
      <c r="AA62" s="885"/>
      <c r="AB62" s="885"/>
      <c r="AC62" s="885"/>
      <c r="AD62" s="885"/>
      <c r="AE62" s="885"/>
      <c r="AF62" s="885"/>
      <c r="AG62" s="885"/>
      <c r="AH62" s="885"/>
      <c r="AI62" s="885"/>
      <c r="AJ62" s="885"/>
      <c r="AK62" s="885"/>
      <c r="AL62" s="885"/>
      <c r="AM62" s="885"/>
      <c r="AS62" s="3">
        <v>18</v>
      </c>
    </row>
    <row r="63" spans="1:45" ht="18.75" customHeight="1">
      <c r="T63" s="885"/>
      <c r="U63" s="885"/>
      <c r="V63" s="885"/>
      <c r="W63" s="885"/>
      <c r="X63" s="885"/>
      <c r="Y63" s="885"/>
      <c r="Z63" s="885"/>
      <c r="AA63" s="885"/>
      <c r="AB63" s="885"/>
      <c r="AC63" s="885"/>
      <c r="AD63" s="885"/>
      <c r="AE63" s="885"/>
      <c r="AF63" s="885"/>
      <c r="AG63" s="885"/>
      <c r="AH63" s="885"/>
      <c r="AI63" s="885"/>
      <c r="AJ63" s="885"/>
      <c r="AK63" s="885"/>
      <c r="AL63" s="885"/>
      <c r="AM63" s="885"/>
      <c r="AS63" s="3">
        <v>18</v>
      </c>
    </row>
    <row r="64" spans="1:45" ht="39.75" customHeight="1">
      <c r="T64" s="885"/>
      <c r="U64" s="885"/>
      <c r="V64" s="885"/>
      <c r="W64" s="885"/>
      <c r="X64" s="885"/>
      <c r="Y64" s="885"/>
      <c r="Z64" s="885"/>
      <c r="AA64" s="885"/>
      <c r="AB64" s="885"/>
      <c r="AC64" s="885"/>
      <c r="AD64" s="885"/>
      <c r="AE64" s="885"/>
      <c r="AF64" s="885"/>
      <c r="AG64" s="885"/>
      <c r="AH64" s="885"/>
      <c r="AI64" s="885"/>
      <c r="AJ64" s="885"/>
      <c r="AK64" s="885"/>
      <c r="AL64" s="885"/>
      <c r="AM64" s="885"/>
      <c r="AS64" s="3">
        <v>38</v>
      </c>
    </row>
    <row r="65" spans="1:45" ht="22.5" hidden="1" customHeight="1">
      <c r="A65" s="11" t="s">
        <v>18</v>
      </c>
      <c r="B65" s="11">
        <v>0</v>
      </c>
      <c r="C65" s="11">
        <v>0</v>
      </c>
      <c r="D65" s="11">
        <v>0</v>
      </c>
      <c r="E65" s="11">
        <v>0</v>
      </c>
      <c r="F65" s="11">
        <v>0</v>
      </c>
      <c r="G65" s="11">
        <v>0</v>
      </c>
      <c r="H65" s="11">
        <v>0</v>
      </c>
      <c r="I65" s="11">
        <v>0</v>
      </c>
      <c r="J65" s="11">
        <v>0</v>
      </c>
      <c r="K65" s="11">
        <v>0</v>
      </c>
      <c r="L65" s="171">
        <v>0</v>
      </c>
      <c r="M65" s="13">
        <v>0</v>
      </c>
      <c r="N65" s="13">
        <v>0</v>
      </c>
      <c r="O65" s="13">
        <v>0</v>
      </c>
      <c r="P65" s="287">
        <v>3</v>
      </c>
      <c r="Q65" s="288">
        <v>3</v>
      </c>
      <c r="R65" s="288">
        <v>3</v>
      </c>
      <c r="S65" s="9">
        <v>12</v>
      </c>
      <c r="T65" s="3">
        <v>31</v>
      </c>
      <c r="U65" s="3">
        <v>0</v>
      </c>
      <c r="V65" s="3">
        <v>0</v>
      </c>
      <c r="W65" s="3">
        <v>0</v>
      </c>
      <c r="X65" s="3">
        <v>0</v>
      </c>
      <c r="Y65" s="3">
        <v>0</v>
      </c>
      <c r="Z65" s="3">
        <v>0</v>
      </c>
      <c r="AA65" s="3">
        <v>0</v>
      </c>
      <c r="AB65" s="3">
        <v>0</v>
      </c>
      <c r="AC65" s="3">
        <v>0</v>
      </c>
      <c r="AD65" s="3">
        <v>0</v>
      </c>
      <c r="AE65" s="3">
        <v>24</v>
      </c>
      <c r="AF65" s="3">
        <v>0</v>
      </c>
      <c r="AG65" s="3">
        <v>0</v>
      </c>
      <c r="AH65" s="3">
        <v>11</v>
      </c>
      <c r="AI65" s="3">
        <v>3</v>
      </c>
      <c r="AJ65" s="3">
        <v>11</v>
      </c>
      <c r="AK65" s="3">
        <v>0</v>
      </c>
      <c r="AL65" s="3">
        <v>4</v>
      </c>
      <c r="AM65" s="3">
        <v>115</v>
      </c>
      <c r="AN65" s="24">
        <v>10</v>
      </c>
      <c r="AO65" s="24">
        <v>10</v>
      </c>
      <c r="AP65" s="24">
        <v>10</v>
      </c>
      <c r="AQ65" s="24">
        <v>10</v>
      </c>
      <c r="AR65" s="24">
        <v>10</v>
      </c>
      <c r="AS65" s="3">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6" width="3.7109375" hidden="1" customWidth="1"/>
    <col min="17" max="18" width="3" customWidth="1"/>
    <col min="19" max="19" width="12" customWidth="1"/>
    <col min="20" max="20" width="31" customWidth="1"/>
    <col min="21" max="21" width="0.140625" customWidth="1"/>
    <col min="22" max="22" width="24.7109375" hidden="1" customWidth="1"/>
    <col min="23" max="23" width="0.140625" hidden="1" customWidth="1"/>
    <col min="24" max="25" width="24.7109375" hidden="1" customWidth="1"/>
    <col min="26" max="26" width="11.7109375" hidden="1" customWidth="1"/>
    <col min="27" max="27" width="3.7109375" hidden="1" customWidth="1"/>
    <col min="28" max="28" width="11.7109375" hidden="1" customWidth="1"/>
    <col min="29" max="29" width="8.5703125" hidden="1" customWidth="1"/>
    <col min="30" max="30" width="24.7109375" customWidth="1"/>
    <col min="31" max="31" width="0.140625" customWidth="1"/>
    <col min="32" max="33" width="24" customWidth="1"/>
    <col min="34" max="34" width="11" customWidth="1"/>
    <col min="35" max="35" width="3.7109375" customWidth="1"/>
    <col min="36" max="36" width="11" customWidth="1"/>
    <col min="37" max="37" width="8.5703125" hidden="1" customWidth="1"/>
    <col min="38" max="38" width="4" customWidth="1"/>
    <col min="39" max="39" width="115" customWidth="1"/>
    <col min="40" max="44" width="10" customWidth="1"/>
    <col min="45" max="45" width="8.42578125" hidden="1" customWidth="1"/>
  </cols>
  <sheetData>
    <row r="1" spans="5:45" ht="22.5" hidden="1" customHeight="1">
      <c r="AS1" s="3" t="s">
        <v>1</v>
      </c>
    </row>
    <row r="2" spans="5:45" ht="21" hidden="1" customHeight="1">
      <c r="E2" s="1000">
        <v>1</v>
      </c>
      <c r="R2" s="225"/>
      <c r="S2" s="226" t="e">
        <f>INDEX(PT_DIFFERENTIATION_NUM_NTAR,MATCH(A2,PT_DIFFERENTIATION_NTAR_ID,0))</f>
        <v>#N/A</v>
      </c>
      <c r="T2" s="227" t="s">
        <v>48</v>
      </c>
      <c r="U2" s="228"/>
      <c r="V2" s="995"/>
      <c r="W2" s="996"/>
      <c r="X2" s="996"/>
      <c r="Y2" s="996"/>
      <c r="Z2" s="996"/>
      <c r="AA2" s="996"/>
      <c r="AB2" s="996"/>
      <c r="AC2" s="997"/>
      <c r="AD2" s="995" t="e">
        <f>INDEX(PT_DIFFERENTIATION_NTAR,MATCH(A2,PT_DIFFERENTIATION_NTAR_ID,0))</f>
        <v>#N/A</v>
      </c>
      <c r="AE2" s="996"/>
      <c r="AF2" s="996"/>
      <c r="AG2" s="996"/>
      <c r="AH2" s="996"/>
      <c r="AI2" s="996"/>
      <c r="AJ2" s="996"/>
      <c r="AK2" s="996"/>
      <c r="AL2" s="997"/>
      <c r="AM2" s="230" t="s">
        <v>319</v>
      </c>
      <c r="AP2" s="29" t="str">
        <f t="shared" ref="AP2:AP15" si="0">IF(T2="","",T2)</f>
        <v>Наименование тарифа</v>
      </c>
      <c r="AS2" s="3">
        <v>0</v>
      </c>
    </row>
    <row r="3" spans="5:45" ht="21" hidden="1" customHeight="1">
      <c r="E3" s="1001"/>
      <c r="F3" s="1000">
        <v>1</v>
      </c>
      <c r="Q3" s="231"/>
      <c r="R3" s="232"/>
      <c r="S3" s="226" t="e">
        <f>INDEX(PT_DIFFERENTIATION_NUM_TER,MATCH(B3,PT_DIFFERENTIATION_TER_ID,0))</f>
        <v>#N/A</v>
      </c>
      <c r="T3" s="233" t="s">
        <v>320</v>
      </c>
      <c r="U3" s="228"/>
      <c r="V3" s="995"/>
      <c r="W3" s="996"/>
      <c r="X3" s="996"/>
      <c r="Y3" s="996"/>
      <c r="Z3" s="996"/>
      <c r="AA3" s="996"/>
      <c r="AB3" s="996"/>
      <c r="AC3" s="997"/>
      <c r="AD3" s="995" t="e">
        <f>INDEX(PT_DIFFERENTIATION_TER,MATCH(B3,PT_DIFFERENTIATION_TER_ID,0))</f>
        <v>#N/A</v>
      </c>
      <c r="AE3" s="996"/>
      <c r="AF3" s="996"/>
      <c r="AG3" s="996"/>
      <c r="AH3" s="996"/>
      <c r="AI3" s="996"/>
      <c r="AJ3" s="996"/>
      <c r="AK3" s="996"/>
      <c r="AL3" s="997"/>
      <c r="AM3" s="230" t="s">
        <v>321</v>
      </c>
      <c r="AP3" s="29" t="str">
        <f t="shared" si="0"/>
        <v>Территория действия тарифа</v>
      </c>
      <c r="AS3" s="3">
        <v>0</v>
      </c>
    </row>
    <row r="4" spans="5:45" ht="23.25" hidden="1" customHeight="1">
      <c r="E4" s="1001"/>
      <c r="F4" s="1001"/>
      <c r="G4" s="1000">
        <v>1</v>
      </c>
      <c r="Q4" s="231"/>
      <c r="R4" s="232"/>
      <c r="S4" s="226" t="e">
        <f>INDEX(PT_DIFFERENTIATION_NUM_CS,MATCH(C4,PT_DIFFERENTIATION_CS_ID,0))</f>
        <v>#N/A</v>
      </c>
      <c r="T4" s="234" t="s">
        <v>322</v>
      </c>
      <c r="U4" s="228"/>
      <c r="V4" s="995"/>
      <c r="W4" s="996"/>
      <c r="X4" s="996"/>
      <c r="Y4" s="996"/>
      <c r="Z4" s="996"/>
      <c r="AA4" s="996"/>
      <c r="AB4" s="996"/>
      <c r="AC4" s="997"/>
      <c r="AD4" s="995" t="e">
        <f>INDEX(PT_DIFFERENTIATION_CS,MATCH(C4,PT_DIFFERENTIATION_CS_ID,0))</f>
        <v>#N/A</v>
      </c>
      <c r="AE4" s="996"/>
      <c r="AF4" s="996"/>
      <c r="AG4" s="996"/>
      <c r="AH4" s="996"/>
      <c r="AI4" s="996"/>
      <c r="AJ4" s="996"/>
      <c r="AK4" s="996"/>
      <c r="AL4" s="997"/>
      <c r="AM4" s="230" t="s">
        <v>323</v>
      </c>
      <c r="AP4" s="29" t="str">
        <f t="shared" si="0"/>
        <v xml:space="preserve">Наименование системы теплоснабжения </v>
      </c>
      <c r="AS4" s="3">
        <v>0</v>
      </c>
    </row>
    <row r="5" spans="5:45" ht="21" hidden="1" customHeight="1">
      <c r="E5" s="1001"/>
      <c r="F5" s="1001"/>
      <c r="G5" s="1001"/>
      <c r="H5" s="1000">
        <v>1</v>
      </c>
      <c r="Q5" s="231"/>
      <c r="R5" s="232"/>
      <c r="S5" s="226" t="e">
        <f>INDEX(PT_DIFFERENTIATION_NUM_IST_TE,MATCH(D5,PT_DIFFERENTIATION_IST_TE_ID,0))</f>
        <v>#N/A</v>
      </c>
      <c r="T5" s="235" t="s">
        <v>324</v>
      </c>
      <c r="U5" s="228"/>
      <c r="V5" s="995"/>
      <c r="W5" s="996"/>
      <c r="X5" s="996"/>
      <c r="Y5" s="996"/>
      <c r="Z5" s="996"/>
      <c r="AA5" s="996"/>
      <c r="AB5" s="996"/>
      <c r="AC5" s="997"/>
      <c r="AD5" s="995" t="e">
        <f>INDEX(PT_DIFFERENTIATION_IST_TE,MATCH(D5,PT_DIFFERENTIATION_IST_TE_ID,0))</f>
        <v>#N/A</v>
      </c>
      <c r="AE5" s="996"/>
      <c r="AF5" s="996"/>
      <c r="AG5" s="996"/>
      <c r="AH5" s="996"/>
      <c r="AI5" s="996"/>
      <c r="AJ5" s="996"/>
      <c r="AK5" s="996"/>
      <c r="AL5" s="997"/>
      <c r="AM5" s="230" t="s">
        <v>325</v>
      </c>
      <c r="AP5" s="29" t="str">
        <f t="shared" si="0"/>
        <v xml:space="preserve">Источник тепловой энергии  </v>
      </c>
      <c r="AS5" s="3">
        <v>0</v>
      </c>
    </row>
    <row r="6" spans="5:45" ht="14.25" hidden="1" customHeight="1">
      <c r="E6" s="1001"/>
      <c r="F6" s="1001"/>
      <c r="G6" s="1001"/>
      <c r="H6" s="1001"/>
      <c r="I6" s="1002" t="e">
        <f>S5&amp;".1"</f>
        <v>#N/A</v>
      </c>
      <c r="L6" s="237" t="s">
        <v>326</v>
      </c>
      <c r="P6" s="1004">
        <v>1</v>
      </c>
      <c r="R6" s="238"/>
      <c r="S6" s="124"/>
      <c r="T6" s="294"/>
      <c r="U6" s="295"/>
      <c r="V6" s="1031"/>
      <c r="W6" s="1032"/>
      <c r="X6" s="1032"/>
      <c r="Y6" s="1032"/>
      <c r="Z6" s="1032"/>
      <c r="AA6" s="1032"/>
      <c r="AB6" s="1032"/>
      <c r="AC6" s="1033"/>
      <c r="AD6" s="1031"/>
      <c r="AE6" s="1032"/>
      <c r="AF6" s="1032"/>
      <c r="AG6" s="1032"/>
      <c r="AH6" s="1032"/>
      <c r="AI6" s="1032"/>
      <c r="AJ6" s="1032"/>
      <c r="AK6" s="1032"/>
      <c r="AL6" s="1033"/>
      <c r="AM6" s="297"/>
      <c r="AP6" s="29" t="str">
        <f t="shared" si="0"/>
        <v/>
      </c>
      <c r="AS6" s="3">
        <v>0</v>
      </c>
    </row>
    <row r="7" spans="5:45" ht="21" hidden="1" customHeight="1">
      <c r="E7" s="1001"/>
      <c r="F7" s="1001"/>
      <c r="G7" s="1001"/>
      <c r="H7" s="1001"/>
      <c r="I7" s="1003"/>
      <c r="J7" s="1002" t="e">
        <f>I6&amp;".1"</f>
        <v>#N/A</v>
      </c>
      <c r="L7" s="237" t="s">
        <v>329</v>
      </c>
      <c r="P7" s="885"/>
      <c r="Q7" s="1004">
        <v>1</v>
      </c>
      <c r="R7" s="240"/>
      <c r="S7" s="226" t="e">
        <f>$J7</f>
        <v>#N/A</v>
      </c>
      <c r="T7" s="241" t="s">
        <v>330</v>
      </c>
      <c r="U7" s="228"/>
      <c r="V7" s="989"/>
      <c r="W7" s="990"/>
      <c r="X7" s="990"/>
      <c r="Y7" s="990"/>
      <c r="Z7" s="990"/>
      <c r="AA7" s="990"/>
      <c r="AB7" s="990"/>
      <c r="AC7" s="991"/>
      <c r="AD7" s="989"/>
      <c r="AE7" s="990"/>
      <c r="AF7" s="990"/>
      <c r="AG7" s="990"/>
      <c r="AH7" s="990"/>
      <c r="AI7" s="990"/>
      <c r="AJ7" s="990"/>
      <c r="AK7" s="990"/>
      <c r="AL7" s="991"/>
      <c r="AM7" s="230" t="s">
        <v>331</v>
      </c>
      <c r="AP7" s="29" t="str">
        <f t="shared" si="0"/>
        <v>Группа потребителей</v>
      </c>
      <c r="AS7" s="3">
        <v>0</v>
      </c>
    </row>
    <row r="8" spans="5:45" ht="21" hidden="1" customHeight="1">
      <c r="E8" s="1001"/>
      <c r="F8" s="1001"/>
      <c r="G8" s="1001"/>
      <c r="H8" s="1001"/>
      <c r="I8" s="1003"/>
      <c r="J8" s="1003"/>
      <c r="K8" s="1002" t="e">
        <f>J7&amp;".1"</f>
        <v>#N/A</v>
      </c>
      <c r="L8" s="237" t="s">
        <v>332</v>
      </c>
      <c r="P8" s="885"/>
      <c r="Q8" s="885"/>
      <c r="R8" s="240">
        <v>1</v>
      </c>
      <c r="S8" s="226" t="e">
        <f>$K8</f>
        <v>#N/A</v>
      </c>
      <c r="T8" s="242"/>
      <c r="U8" s="228"/>
      <c r="V8" s="243"/>
      <c r="W8" s="244"/>
      <c r="X8" s="243"/>
      <c r="Y8" s="245"/>
      <c r="Z8" s="1005"/>
      <c r="AA8" s="895" t="s">
        <v>17</v>
      </c>
      <c r="AB8" s="1005"/>
      <c r="AC8" s="895" t="s">
        <v>17</v>
      </c>
      <c r="AD8" s="243"/>
      <c r="AE8" s="244"/>
      <c r="AF8" s="243"/>
      <c r="AG8" s="245"/>
      <c r="AH8" s="1005"/>
      <c r="AI8" s="895" t="s">
        <v>17</v>
      </c>
      <c r="AJ8" s="1005"/>
      <c r="AK8" s="895" t="s">
        <v>17</v>
      </c>
      <c r="AL8" s="244"/>
      <c r="AM8" s="1023" t="s">
        <v>333</v>
      </c>
      <c r="AN8" s="24" t="e">
        <f ca="1">STRCHECKDATE(V9:AL9)</f>
        <v>#NAME?</v>
      </c>
      <c r="AP8" s="29" t="str">
        <f t="shared" si="0"/>
        <v/>
      </c>
      <c r="AS8" s="3">
        <v>0</v>
      </c>
    </row>
    <row r="9" spans="5:45" ht="0.75" hidden="1" customHeight="1">
      <c r="E9" s="1001"/>
      <c r="F9" s="1001"/>
      <c r="G9" s="1001"/>
      <c r="H9" s="1001"/>
      <c r="I9" s="1003"/>
      <c r="J9" s="1003"/>
      <c r="K9" s="1002"/>
      <c r="P9" s="885"/>
      <c r="Q9" s="885"/>
      <c r="R9" s="240"/>
      <c r="S9" s="209"/>
      <c r="T9" s="228"/>
      <c r="U9" s="228"/>
      <c r="V9" s="244"/>
      <c r="W9" s="244"/>
      <c r="X9" s="244"/>
      <c r="Y9" s="247" t="str">
        <f>Z8&amp;"-"&amp;AB8</f>
        <v>-</v>
      </c>
      <c r="Z9" s="1006"/>
      <c r="AA9" s="895"/>
      <c r="AB9" s="1006"/>
      <c r="AC9" s="895"/>
      <c r="AD9" s="244"/>
      <c r="AE9" s="244"/>
      <c r="AF9" s="244"/>
      <c r="AG9" s="247" t="str">
        <f>AH8&amp;"-"&amp;AJ8</f>
        <v>-</v>
      </c>
      <c r="AH9" s="1006"/>
      <c r="AI9" s="895"/>
      <c r="AJ9" s="1006"/>
      <c r="AK9" s="895"/>
      <c r="AL9" s="244"/>
      <c r="AM9" s="1024"/>
      <c r="AP9" s="29" t="str">
        <f t="shared" si="0"/>
        <v/>
      </c>
      <c r="AS9" s="3">
        <v>0</v>
      </c>
    </row>
    <row r="10" spans="5:45" ht="15" hidden="1" customHeight="1">
      <c r="E10" s="1001"/>
      <c r="F10" s="1001"/>
      <c r="G10" s="1001"/>
      <c r="H10" s="1001"/>
      <c r="I10" s="1003"/>
      <c r="J10" s="1002"/>
      <c r="P10" s="885"/>
      <c r="Q10" s="885"/>
      <c r="R10" s="238"/>
      <c r="S10" s="249"/>
      <c r="T10" s="252" t="s">
        <v>334</v>
      </c>
      <c r="U10" s="54"/>
      <c r="V10" s="54"/>
      <c r="W10" s="54"/>
      <c r="X10" s="54"/>
      <c r="Y10" s="54"/>
      <c r="Z10" s="54"/>
      <c r="AA10" s="54"/>
      <c r="AB10" s="54"/>
      <c r="AC10" s="54"/>
      <c r="AD10" s="54"/>
      <c r="AE10" s="54"/>
      <c r="AF10" s="54"/>
      <c r="AG10" s="54"/>
      <c r="AH10" s="54"/>
      <c r="AI10" s="54"/>
      <c r="AJ10" s="54"/>
      <c r="AK10" s="54"/>
      <c r="AL10" s="251"/>
      <c r="AM10" s="1025"/>
      <c r="AP10" s="29" t="str">
        <f t="shared" si="0"/>
        <v>Добавить вид теплоносителя (параметры теплоносителя)</v>
      </c>
      <c r="AS10" s="3">
        <v>0</v>
      </c>
    </row>
    <row r="11" spans="5:45" ht="15" hidden="1" customHeight="1">
      <c r="E11" s="1001"/>
      <c r="F11" s="1001"/>
      <c r="G11" s="1001"/>
      <c r="H11" s="1001"/>
      <c r="I11" s="1002"/>
      <c r="P11" s="885"/>
      <c r="R11" s="238"/>
      <c r="S11" s="249"/>
      <c r="T11" s="255" t="s">
        <v>335</v>
      </c>
      <c r="U11" s="54"/>
      <c r="V11" s="54"/>
      <c r="W11" s="54"/>
      <c r="X11" s="54"/>
      <c r="Y11" s="54"/>
      <c r="Z11" s="54"/>
      <c r="AA11" s="54"/>
      <c r="AB11" s="54"/>
      <c r="AC11" s="253"/>
      <c r="AD11" s="54"/>
      <c r="AE11" s="54"/>
      <c r="AF11" s="54"/>
      <c r="AG11" s="54"/>
      <c r="AH11" s="54"/>
      <c r="AI11" s="54"/>
      <c r="AJ11" s="54"/>
      <c r="AK11" s="253"/>
      <c r="AL11" s="54"/>
      <c r="AM11" s="254"/>
      <c r="AP11" s="29" t="str">
        <f t="shared" si="0"/>
        <v>Добавить группу потребителей</v>
      </c>
      <c r="AS11" s="3">
        <v>0</v>
      </c>
    </row>
    <row r="12" spans="5:45" ht="14.25" hidden="1" customHeight="1">
      <c r="E12" s="1001"/>
      <c r="F12" s="1001"/>
      <c r="G12" s="1001"/>
      <c r="H12" s="1000"/>
      <c r="R12" s="225"/>
      <c r="S12" s="298"/>
      <c r="T12" s="299"/>
      <c r="U12" s="300"/>
      <c r="V12" s="300"/>
      <c r="W12" s="300"/>
      <c r="X12" s="300"/>
      <c r="Y12" s="300"/>
      <c r="Z12" s="300"/>
      <c r="AA12" s="300"/>
      <c r="AB12" s="300"/>
      <c r="AC12" s="300"/>
      <c r="AD12" s="300"/>
      <c r="AE12" s="300"/>
      <c r="AF12" s="300"/>
      <c r="AG12" s="300"/>
      <c r="AH12" s="300"/>
      <c r="AI12" s="300"/>
      <c r="AJ12" s="300"/>
      <c r="AK12" s="300"/>
      <c r="AL12" s="300"/>
      <c r="AM12" s="301"/>
      <c r="AP12" s="29" t="str">
        <f t="shared" si="0"/>
        <v/>
      </c>
      <c r="AS12" s="3">
        <v>0</v>
      </c>
    </row>
    <row r="13" spans="5:45" ht="0.75" hidden="1" customHeight="1">
      <c r="E13" s="1001"/>
      <c r="F13" s="1001"/>
      <c r="G13" s="1000"/>
      <c r="S13" s="256"/>
      <c r="T13" s="257" t="s">
        <v>337</v>
      </c>
      <c r="U13" s="258"/>
      <c r="V13" s="258"/>
      <c r="W13" s="258"/>
      <c r="X13" s="258"/>
      <c r="Y13" s="258"/>
      <c r="Z13" s="258"/>
      <c r="AA13" s="258"/>
      <c r="AB13" s="258"/>
      <c r="AC13" s="258"/>
      <c r="AD13" s="258"/>
      <c r="AE13" s="258"/>
      <c r="AF13" s="258"/>
      <c r="AG13" s="258"/>
      <c r="AH13" s="258"/>
      <c r="AI13" s="258"/>
      <c r="AJ13" s="258"/>
      <c r="AK13" s="258"/>
      <c r="AL13" s="258"/>
      <c r="AM13" s="258"/>
      <c r="AP13" s="29" t="str">
        <f t="shared" si="0"/>
        <v>Добавить источник для дифференциации</v>
      </c>
      <c r="AS13" s="24">
        <v>0</v>
      </c>
    </row>
    <row r="14" spans="5:45" ht="0.75" hidden="1" customHeight="1">
      <c r="E14" s="1001"/>
      <c r="F14" s="1000"/>
      <c r="T14" s="259" t="s">
        <v>338</v>
      </c>
      <c r="AP14" s="29" t="str">
        <f t="shared" si="0"/>
        <v>Добавить централизованную систему для дифференциации</v>
      </c>
      <c r="AS14" s="24">
        <v>0</v>
      </c>
    </row>
    <row r="15" spans="5:45" ht="0.75" hidden="1" customHeight="1">
      <c r="E15" s="1000"/>
      <c r="T15" s="260" t="s">
        <v>339</v>
      </c>
      <c r="AP15" s="29" t="str">
        <f t="shared" si="0"/>
        <v>Добавить территорию для дифференциации</v>
      </c>
      <c r="AS15" s="24">
        <v>0</v>
      </c>
    </row>
    <row r="16" spans="5:45" ht="14.25" hidden="1" customHeight="1">
      <c r="AS16" s="3">
        <v>0</v>
      </c>
    </row>
    <row r="17" spans="15:45" ht="14.25" hidden="1" customHeight="1">
      <c r="AD17" s="261"/>
      <c r="AE17" s="261"/>
      <c r="AF17" s="261"/>
      <c r="AG17" s="262"/>
      <c r="AH17" s="999"/>
      <c r="AI17" s="998" t="s">
        <v>17</v>
      </c>
      <c r="AJ17" s="999"/>
      <c r="AK17" s="998" t="s">
        <v>17</v>
      </c>
      <c r="AS17" s="3">
        <v>0</v>
      </c>
    </row>
    <row r="18" spans="15:45" ht="14.25" hidden="1" customHeight="1">
      <c r="AD18" s="261"/>
      <c r="AE18" s="261"/>
      <c r="AF18" s="261"/>
      <c r="AG18" s="247" t="str">
        <f>AH17&amp;"-"&amp;AJ17</f>
        <v>-</v>
      </c>
      <c r="AH18" s="998"/>
      <c r="AI18" s="998"/>
      <c r="AJ18" s="998"/>
      <c r="AK18" s="998"/>
      <c r="AS18" s="3">
        <v>0</v>
      </c>
    </row>
    <row r="19" spans="15:45" ht="14.25" hidden="1" customHeight="1">
      <c r="AS19" s="3">
        <v>0</v>
      </c>
    </row>
    <row r="20" spans="15:45" ht="22.5" hidden="1" customHeight="1">
      <c r="O20" s="263" t="s">
        <v>340</v>
      </c>
      <c r="Z20" s="263"/>
      <c r="AB20" s="263"/>
      <c r="AH20" s="263"/>
      <c r="AJ20" s="263"/>
      <c r="AS20" s="11">
        <v>0</v>
      </c>
    </row>
    <row r="21" spans="15:45" ht="14.25" hidden="1" customHeight="1">
      <c r="AS21" s="11">
        <v>0</v>
      </c>
    </row>
    <row r="22" spans="15:45" ht="14.25" hidden="1" customHeight="1">
      <c r="O22" s="237" t="s">
        <v>341</v>
      </c>
      <c r="T22" s="11" t="s">
        <v>342</v>
      </c>
      <c r="AA22" s="60" t="s">
        <v>343</v>
      </c>
      <c r="AC22" s="60" t="s">
        <v>344</v>
      </c>
      <c r="AD22" s="11" t="s">
        <v>342</v>
      </c>
      <c r="AI22" s="60" t="s">
        <v>345</v>
      </c>
      <c r="AK22" s="60" t="s">
        <v>344</v>
      </c>
      <c r="AS22" s="11">
        <v>0</v>
      </c>
    </row>
    <row r="23" spans="15:45" ht="14.25" hidden="1" customHeight="1">
      <c r="AS23" s="3">
        <v>0</v>
      </c>
    </row>
    <row r="24" spans="15:45" ht="14.25" hidden="1" customHeight="1">
      <c r="AS24" s="3">
        <v>0</v>
      </c>
    </row>
    <row r="25" spans="15:45" ht="14.65" customHeight="1">
      <c r="Q25" s="264"/>
      <c r="R25" s="264"/>
      <c r="S25" s="265"/>
      <c r="T25" s="12"/>
      <c r="U25" s="12"/>
      <c r="AS25" s="3">
        <v>14</v>
      </c>
    </row>
    <row r="26" spans="15:45" ht="63" customHeight="1">
      <c r="Q26" s="264"/>
      <c r="R26" s="264"/>
      <c r="S26" s="98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982"/>
      <c r="U26" s="982"/>
      <c r="V26" s="982"/>
      <c r="W26" s="982"/>
      <c r="X26" s="982"/>
      <c r="Y26" s="982"/>
      <c r="Z26" s="982"/>
      <c r="AA26" s="982"/>
      <c r="AB26" s="982"/>
      <c r="AC26" s="982"/>
      <c r="AD26" s="982"/>
      <c r="AE26" s="982"/>
      <c r="AF26" s="982"/>
      <c r="AG26" s="982"/>
      <c r="AH26" s="982"/>
      <c r="AI26" s="982"/>
      <c r="AJ26" s="982"/>
      <c r="AS26" s="3">
        <v>60</v>
      </c>
    </row>
    <row r="27" spans="15:45" ht="14.65" customHeight="1">
      <c r="Q27" s="264"/>
      <c r="R27" s="264"/>
      <c r="S27" s="955" t="e">
        <f>IF(org=0,"Не определено",org)</f>
        <v>#REF!</v>
      </c>
      <c r="T27" s="955"/>
      <c r="U27" s="955"/>
      <c r="V27" s="955"/>
      <c r="W27" s="955"/>
      <c r="X27" s="955"/>
      <c r="Y27" s="955"/>
      <c r="Z27" s="955"/>
      <c r="AA27" s="955"/>
      <c r="AB27" s="955"/>
      <c r="AC27" s="955"/>
      <c r="AD27" s="955"/>
      <c r="AE27" s="955"/>
      <c r="AF27" s="955"/>
      <c r="AG27" s="955"/>
      <c r="AH27" s="955"/>
      <c r="AI27" s="955"/>
      <c r="AJ27" s="955"/>
      <c r="AS27" s="3">
        <v>14</v>
      </c>
    </row>
    <row r="28" spans="15:45" ht="14.25" hidden="1" customHeight="1">
      <c r="Q28" s="264"/>
      <c r="R28" s="264"/>
      <c r="S28" s="265"/>
      <c r="T28" s="12"/>
      <c r="U28" s="12"/>
      <c r="V28" s="266"/>
      <c r="W28" s="266"/>
      <c r="X28" s="266"/>
      <c r="Y28" s="266"/>
      <c r="Z28" s="266"/>
      <c r="AA28" s="266"/>
      <c r="AB28" s="266"/>
      <c r="AC28" s="266"/>
      <c r="AD28" s="266"/>
      <c r="AE28" s="266"/>
      <c r="AF28" s="266"/>
      <c r="AG28" s="266"/>
      <c r="AH28" s="266"/>
      <c r="AI28" s="266"/>
      <c r="AJ28" s="266"/>
      <c r="AK28" s="266"/>
      <c r="AS28" s="3">
        <v>0</v>
      </c>
    </row>
    <row r="29" spans="15:45" ht="25.5" hidden="1" customHeight="1">
      <c r="S29" s="992" t="s">
        <v>9</v>
      </c>
      <c r="T29" s="992"/>
      <c r="U29" s="268"/>
      <c r="V29" s="994" t="e">
        <f>IF(TITLE_NAME_OR_PR_CHANGE="",IF(TITLE_NAME_OR_PR="","",TITLE_NAME_OR_PR),TITLE_NAME_OR_PR_CHANGE)</f>
        <v>#REF!</v>
      </c>
      <c r="W29" s="994"/>
      <c r="X29" s="994"/>
      <c r="Y29" s="994"/>
      <c r="Z29" s="994"/>
      <c r="AA29" s="994"/>
      <c r="AB29" s="994"/>
      <c r="AD29" s="994" t="e">
        <f>IF(TITLE_NAME_OR_PR_CHANGE="",IF(TITLE_NAME_OR_PR="","",TITLE_NAME_OR_PR),TITLE_NAME_OR_PR_CHANGE)</f>
        <v>#REF!</v>
      </c>
      <c r="AE29" s="994"/>
      <c r="AF29" s="994"/>
      <c r="AG29" s="994"/>
      <c r="AH29" s="994"/>
      <c r="AI29" s="994"/>
      <c r="AJ29" s="994"/>
      <c r="AS29" s="50">
        <v>0</v>
      </c>
    </row>
    <row r="30" spans="15:45" ht="18.75" hidden="1" customHeight="1">
      <c r="S30" s="992" t="s">
        <v>346</v>
      </c>
      <c r="T30" s="992"/>
      <c r="U30" s="268"/>
      <c r="V30" s="993" t="e">
        <f>IF(TITLE_DATE_PR_CHANGE="",IF(TITLE_DATE_PR="","",TITLE_DATE_PR),TITLE_DATE_PR_CHANGE)</f>
        <v>#REF!</v>
      </c>
      <c r="W30" s="993"/>
      <c r="X30" s="993"/>
      <c r="Y30" s="993"/>
      <c r="Z30" s="993"/>
      <c r="AA30" s="993"/>
      <c r="AB30" s="993"/>
      <c r="AD30" s="993" t="e">
        <f>IF(TITLE_DATE_PR_CHANGE="",IF(TITLE_DATE_PR="","",TITLE_DATE_PR),TITLE_DATE_PR_CHANGE)</f>
        <v>#REF!</v>
      </c>
      <c r="AE30" s="993"/>
      <c r="AF30" s="993"/>
      <c r="AG30" s="993"/>
      <c r="AH30" s="993"/>
      <c r="AI30" s="993"/>
      <c r="AJ30" s="993"/>
      <c r="AS30" s="50">
        <v>0</v>
      </c>
    </row>
    <row r="31" spans="15:45" ht="18.75" hidden="1" customHeight="1">
      <c r="S31" s="992" t="s">
        <v>347</v>
      </c>
      <c r="T31" s="992"/>
      <c r="U31" s="268"/>
      <c r="V31" s="994" t="e">
        <f>IF(TITLE_NUMBER_PR_CHANGE="",IF(TITLE_NUMBER_PR="","",TITLE_NUMBER_PR),TITLE_NUMBER_PR_CHANGE)</f>
        <v>#REF!</v>
      </c>
      <c r="W31" s="994"/>
      <c r="X31" s="994"/>
      <c r="Y31" s="994"/>
      <c r="Z31" s="994"/>
      <c r="AA31" s="994"/>
      <c r="AB31" s="994"/>
      <c r="AD31" s="994" t="e">
        <f>IF(TITLE_NUMBER_PR_CHANGE="",IF(TITLE_NUMBER_PR="","",TITLE_NUMBER_PR),TITLE_NUMBER_PR_CHANGE)</f>
        <v>#REF!</v>
      </c>
      <c r="AE31" s="994"/>
      <c r="AF31" s="994"/>
      <c r="AG31" s="994"/>
      <c r="AH31" s="994"/>
      <c r="AI31" s="994"/>
      <c r="AJ31" s="994"/>
      <c r="AS31" s="50">
        <v>0</v>
      </c>
    </row>
    <row r="32" spans="15:45" ht="18.75" hidden="1" customHeight="1">
      <c r="S32" s="992" t="s">
        <v>10</v>
      </c>
      <c r="T32" s="992"/>
      <c r="U32" s="268"/>
      <c r="V32" s="994" t="e">
        <f>IF(TITLE_IST_PUB_CHANGE="",IF(TITLE_IST_PUB="","",TITLE_IST_PUB),TITLE_IST_PUB_CHANGE)</f>
        <v>#REF!</v>
      </c>
      <c r="W32" s="994"/>
      <c r="X32" s="994"/>
      <c r="Y32" s="994"/>
      <c r="Z32" s="994"/>
      <c r="AA32" s="994"/>
      <c r="AB32" s="994"/>
      <c r="AD32" s="994" t="e">
        <f>IF(TITLE_IST_PUB_CHANGE="",IF(TITLE_IST_PUB="","",TITLE_IST_PUB),TITLE_IST_PUB_CHANGE)</f>
        <v>#REF!</v>
      </c>
      <c r="AE32" s="994"/>
      <c r="AF32" s="994"/>
      <c r="AG32" s="994"/>
      <c r="AH32" s="994"/>
      <c r="AI32" s="994"/>
      <c r="AJ32" s="994"/>
      <c r="AS32" s="50">
        <v>0</v>
      </c>
    </row>
    <row r="33" spans="1:45" ht="14.25" hidden="1" customHeight="1">
      <c r="Q33" s="264"/>
      <c r="R33" s="264"/>
      <c r="S33" s="265"/>
      <c r="T33" s="12"/>
      <c r="U33" s="12"/>
      <c r="V33" s="266"/>
      <c r="W33" s="266"/>
      <c r="X33" s="266"/>
      <c r="Y33" s="266"/>
      <c r="Z33" s="266"/>
      <c r="AA33" s="266"/>
      <c r="AB33" s="266"/>
      <c r="AC33" s="266"/>
      <c r="AD33" s="266"/>
      <c r="AE33" s="266"/>
      <c r="AF33" s="266"/>
      <c r="AG33" s="266"/>
      <c r="AH33" s="266"/>
      <c r="AI33" s="266"/>
      <c r="AJ33" s="266"/>
      <c r="AK33" s="266"/>
      <c r="AS33" s="3">
        <v>0</v>
      </c>
    </row>
    <row r="34" spans="1:45" ht="18.75" hidden="1" customHeight="1">
      <c r="S34" s="992" t="s">
        <v>348</v>
      </c>
      <c r="T34" s="992"/>
      <c r="U34" s="268"/>
      <c r="V34" s="993" t="e">
        <f>IF(TITLE_DATE_PR_CHANGE="",IF(TITLE_DATE_PR="","",TITLE_DATE_PR),TITLE_DATE_PR_CHANGE)</f>
        <v>#REF!</v>
      </c>
      <c r="W34" s="993"/>
      <c r="X34" s="993"/>
      <c r="Y34" s="993"/>
      <c r="Z34" s="993"/>
      <c r="AA34" s="993"/>
      <c r="AB34" s="993"/>
      <c r="AD34" s="993" t="e">
        <f>IF(TITLE_DATE_PR_CHANGE="",IF(TITLE_DATE_PR="","",TITLE_DATE_PR),TITLE_DATE_PR_CHANGE)</f>
        <v>#REF!</v>
      </c>
      <c r="AE34" s="993"/>
      <c r="AF34" s="993"/>
      <c r="AG34" s="993"/>
      <c r="AH34" s="993"/>
      <c r="AI34" s="993"/>
      <c r="AJ34" s="993"/>
      <c r="AS34" s="50">
        <v>0</v>
      </c>
    </row>
    <row r="35" spans="1:45" ht="18.75" hidden="1" customHeight="1">
      <c r="S35" s="992" t="s">
        <v>349</v>
      </c>
      <c r="T35" s="992"/>
      <c r="U35" s="268"/>
      <c r="V35" s="994" t="e">
        <f>IF(TITLE_NUMBER_PR_CHANGE="",IF(TITLE_NUMBER_PR="","",TITLE_NUMBER_PR),TITLE_NUMBER_PR_CHANGE)</f>
        <v>#REF!</v>
      </c>
      <c r="W35" s="994"/>
      <c r="X35" s="994"/>
      <c r="Y35" s="994"/>
      <c r="Z35" s="994"/>
      <c r="AA35" s="994"/>
      <c r="AB35" s="994"/>
      <c r="AD35" s="994" t="e">
        <f>IF(TITLE_NUMBER_PR_CHANGE="",IF(TITLE_NUMBER_PR="","",TITLE_NUMBER_PR),TITLE_NUMBER_PR_CHANGE)</f>
        <v>#REF!</v>
      </c>
      <c r="AE35" s="994"/>
      <c r="AF35" s="994"/>
      <c r="AG35" s="994"/>
      <c r="AH35" s="994"/>
      <c r="AI35" s="994"/>
      <c r="AJ35" s="994"/>
      <c r="AS35" s="50">
        <v>0</v>
      </c>
    </row>
    <row r="36" spans="1:45" ht="0" hidden="1" customHeight="1">
      <c r="AC36" s="24" t="s">
        <v>350</v>
      </c>
      <c r="AK36" s="24" t="s">
        <v>350</v>
      </c>
      <c r="AS36" s="50">
        <v>0</v>
      </c>
    </row>
    <row r="37" spans="1:45" ht="14.65" customHeight="1">
      <c r="Q37" s="264"/>
      <c r="R37" s="264"/>
      <c r="S37" s="265"/>
      <c r="T37" s="12"/>
      <c r="U37" s="270"/>
      <c r="V37" s="1012"/>
      <c r="W37" s="1012"/>
      <c r="X37" s="1012"/>
      <c r="Y37" s="1012"/>
      <c r="Z37" s="1012"/>
      <c r="AA37" s="1012"/>
      <c r="AB37" s="1012"/>
      <c r="AC37" s="1012"/>
      <c r="AD37" s="1012"/>
      <c r="AE37" s="1012"/>
      <c r="AF37" s="1012"/>
      <c r="AG37" s="1012"/>
      <c r="AH37" s="1012"/>
      <c r="AI37" s="1012"/>
      <c r="AJ37" s="1012"/>
      <c r="AK37" s="1012"/>
      <c r="AS37" s="3">
        <v>14</v>
      </c>
    </row>
    <row r="38" spans="1:45" ht="14.65" customHeight="1">
      <c r="Q38" s="264"/>
      <c r="R38" s="264"/>
      <c r="S38" s="894" t="s">
        <v>223</v>
      </c>
      <c r="T38" s="894"/>
      <c r="U38" s="894"/>
      <c r="V38" s="894"/>
      <c r="W38" s="894"/>
      <c r="X38" s="894"/>
      <c r="Y38" s="894"/>
      <c r="Z38" s="894"/>
      <c r="AA38" s="894"/>
      <c r="AB38" s="894"/>
      <c r="AC38" s="894"/>
      <c r="AD38" s="894"/>
      <c r="AE38" s="894"/>
      <c r="AF38" s="894"/>
      <c r="AG38" s="894"/>
      <c r="AH38" s="894"/>
      <c r="AI38" s="894"/>
      <c r="AJ38" s="894"/>
      <c r="AK38" s="894"/>
      <c r="AL38" s="894"/>
      <c r="AM38" s="894" t="s">
        <v>224</v>
      </c>
      <c r="AS38" s="3">
        <v>14</v>
      </c>
    </row>
    <row r="39" spans="1:45" ht="14.65" customHeight="1">
      <c r="Q39" s="264"/>
      <c r="R39" s="264"/>
      <c r="S39" s="1013" t="s">
        <v>24</v>
      </c>
      <c r="T39" s="962" t="s">
        <v>351</v>
      </c>
      <c r="U39" s="272"/>
      <c r="V39" s="1014" t="s">
        <v>352</v>
      </c>
      <c r="W39" s="1015"/>
      <c r="X39" s="1015"/>
      <c r="Y39" s="1015"/>
      <c r="Z39" s="1015"/>
      <c r="AA39" s="1015"/>
      <c r="AB39" s="1016"/>
      <c r="AC39" s="1017" t="s">
        <v>353</v>
      </c>
      <c r="AD39" s="1014" t="s">
        <v>352</v>
      </c>
      <c r="AE39" s="1015"/>
      <c r="AF39" s="1015"/>
      <c r="AG39" s="1015"/>
      <c r="AH39" s="1015"/>
      <c r="AI39" s="1015"/>
      <c r="AJ39" s="1016"/>
      <c r="AK39" s="1017" t="s">
        <v>354</v>
      </c>
      <c r="AL39" s="1020" t="s">
        <v>355</v>
      </c>
      <c r="AM39" s="894"/>
      <c r="AS39" s="3">
        <v>14</v>
      </c>
    </row>
    <row r="40" spans="1:45" ht="35.65" customHeight="1">
      <c r="Q40" s="264"/>
      <c r="R40" s="264"/>
      <c r="S40" s="1013"/>
      <c r="T40" s="962"/>
      <c r="U40" s="274"/>
      <c r="V40" s="935" t="s">
        <v>356</v>
      </c>
      <c r="W40" s="1009"/>
      <c r="X40" s="887" t="s">
        <v>358</v>
      </c>
      <c r="Y40" s="886"/>
      <c r="Z40" s="887" t="s">
        <v>359</v>
      </c>
      <c r="AA40" s="890"/>
      <c r="AB40" s="886"/>
      <c r="AC40" s="1018"/>
      <c r="AD40" s="935" t="s">
        <v>373</v>
      </c>
      <c r="AE40" s="1009"/>
      <c r="AF40" s="887" t="s">
        <v>358</v>
      </c>
      <c r="AG40" s="886"/>
      <c r="AH40" s="887" t="s">
        <v>359</v>
      </c>
      <c r="AI40" s="890"/>
      <c r="AJ40" s="886"/>
      <c r="AK40" s="1018"/>
      <c r="AL40" s="1021"/>
      <c r="AM40" s="894"/>
      <c r="AS40" s="3">
        <v>34</v>
      </c>
    </row>
    <row r="41" spans="1:45" ht="35.65" customHeight="1">
      <c r="B41" s="60" t="s">
        <v>60</v>
      </c>
      <c r="C41" s="60" t="s">
        <v>61</v>
      </c>
      <c r="D41" s="60" t="s">
        <v>62</v>
      </c>
      <c r="E41" s="237" t="s">
        <v>360</v>
      </c>
      <c r="F41" s="237" t="s">
        <v>361</v>
      </c>
      <c r="G41" s="237" t="s">
        <v>362</v>
      </c>
      <c r="H41" s="237" t="s">
        <v>363</v>
      </c>
      <c r="I41" s="237" t="s">
        <v>364</v>
      </c>
      <c r="J41" s="237" t="s">
        <v>365</v>
      </c>
      <c r="K41" s="237" t="s">
        <v>366</v>
      </c>
      <c r="L41" s="237" t="s">
        <v>341</v>
      </c>
      <c r="Q41" s="264"/>
      <c r="R41" s="264"/>
      <c r="S41" s="1013"/>
      <c r="T41" s="962"/>
      <c r="U41" s="275"/>
      <c r="V41" s="987"/>
      <c r="W41" s="1010"/>
      <c r="X41" s="65" t="s">
        <v>367</v>
      </c>
      <c r="Y41" s="65" t="s">
        <v>368</v>
      </c>
      <c r="Z41" s="65" t="s">
        <v>369</v>
      </c>
      <c r="AA41" s="967" t="s">
        <v>370</v>
      </c>
      <c r="AB41" s="981"/>
      <c r="AC41" s="1019"/>
      <c r="AD41" s="987"/>
      <c r="AE41" s="1010"/>
      <c r="AF41" s="65" t="s">
        <v>367</v>
      </c>
      <c r="AG41" s="65" t="s">
        <v>368</v>
      </c>
      <c r="AH41" s="65" t="s">
        <v>369</v>
      </c>
      <c r="AI41" s="967" t="s">
        <v>370</v>
      </c>
      <c r="AJ41" s="981"/>
      <c r="AK41" s="1019"/>
      <c r="AL41" s="1022"/>
      <c r="AM41" s="894"/>
      <c r="AS41" s="3">
        <v>34</v>
      </c>
    </row>
    <row r="42" spans="1:45" ht="11.25" hidden="1" customHeight="1">
      <c r="Q42" s="278"/>
      <c r="R42" s="279">
        <v>1</v>
      </c>
      <c r="S42" s="280" t="s">
        <v>31</v>
      </c>
      <c r="T42" s="281" t="s">
        <v>39</v>
      </c>
      <c r="U42" s="282" t="str">
        <f ca="1">OFFSET(U42,0,-1)</f>
        <v>2</v>
      </c>
      <c r="V42" s="283">
        <f ca="1">OFFSET(V42,0,-1)+1</f>
        <v>3</v>
      </c>
      <c r="W42" s="283"/>
      <c r="X42" s="283">
        <f ca="1">OFFSET(X42,0,-1)+1</f>
        <v>1</v>
      </c>
      <c r="Y42" s="283">
        <f ca="1">OFFSET(Y42,0,-1)+1</f>
        <v>2</v>
      </c>
      <c r="Z42" s="283">
        <f ca="1">OFFSET(Z42,0,-1)+1</f>
        <v>3</v>
      </c>
      <c r="AA42" s="1011">
        <f ca="1">OFFSET(AA42,0,-1)+1</f>
        <v>4</v>
      </c>
      <c r="AB42" s="1011"/>
      <c r="AC42" s="283">
        <f ca="1">OFFSET(AC42,0,-2)+1</f>
        <v>5</v>
      </c>
      <c r="AD42" s="283">
        <f ca="1">OFFSET(AD42,0,-1)+1</f>
        <v>6</v>
      </c>
      <c r="AE42" s="283"/>
      <c r="AF42" s="283">
        <f ca="1">OFFSET(AF42,0,-1)+1</f>
        <v>1</v>
      </c>
      <c r="AG42" s="283">
        <f ca="1">OFFSET(AG42,0,-1)+1</f>
        <v>2</v>
      </c>
      <c r="AH42" s="283">
        <f ca="1">OFFSET(AH42,0,-1)+1</f>
        <v>3</v>
      </c>
      <c r="AI42" s="1011">
        <f ca="1">OFFSET(AI42,0,-1)+1</f>
        <v>4</v>
      </c>
      <c r="AJ42" s="1011"/>
      <c r="AK42" s="283">
        <f ca="1">OFFSET(AK42,0,-2)+1</f>
        <v>5</v>
      </c>
      <c r="AL42" s="282">
        <f ca="1">OFFSET(AL42,0,-1)</f>
        <v>5</v>
      </c>
      <c r="AM42" s="283">
        <f ca="1">OFFSET(AM42,0,-1)+1</f>
        <v>6</v>
      </c>
      <c r="AS42" s="189">
        <v>0</v>
      </c>
    </row>
    <row r="43" spans="1:45" ht="21.95" customHeight="1">
      <c r="A43" s="284" t="s">
        <v>93</v>
      </c>
      <c r="E43" s="1000">
        <v>1</v>
      </c>
      <c r="R43" s="225"/>
      <c r="S43" s="226">
        <f>INDEX(PT_DIFFERENTIATION_NUM_NTAR,MATCH(A43,PT_DIFFERENTIATION_NTAR_ID,0))</f>
        <v>0</v>
      </c>
      <c r="T43" s="227" t="s">
        <v>48</v>
      </c>
      <c r="U43" s="228"/>
      <c r="V43" s="995"/>
      <c r="W43" s="996"/>
      <c r="X43" s="996"/>
      <c r="Y43" s="996"/>
      <c r="Z43" s="996"/>
      <c r="AA43" s="996"/>
      <c r="AB43" s="996"/>
      <c r="AC43" s="997"/>
      <c r="AD43" s="995" t="str">
        <f>INDEX(PT_DIFFERENTIATION_NTAR,MATCH(A43,PT_DIFFERENTIATION_NTAR_ID,0))</f>
        <v/>
      </c>
      <c r="AE43" s="996"/>
      <c r="AF43" s="996"/>
      <c r="AG43" s="996"/>
      <c r="AH43" s="996"/>
      <c r="AI43" s="996"/>
      <c r="AJ43" s="996"/>
      <c r="AK43" s="996"/>
      <c r="AL43" s="997"/>
      <c r="AM43" s="23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P43" s="29" t="str">
        <f t="shared" ref="AP43:AP57" si="1">IF(T43="","",T43)</f>
        <v>Наименование тарифа</v>
      </c>
      <c r="AS43" s="3">
        <v>21</v>
      </c>
    </row>
    <row r="44" spans="1:45" ht="21.95" customHeight="1">
      <c r="A44" s="284" t="s">
        <v>93</v>
      </c>
      <c r="B44" s="284" t="s">
        <v>94</v>
      </c>
      <c r="E44" s="1001"/>
      <c r="F44" s="1000">
        <v>1</v>
      </c>
      <c r="Q44" s="231"/>
      <c r="R44" s="232"/>
      <c r="S44" s="226" t="str">
        <f>INDEX(PT_DIFFERENTIATION_NUM_TER,MATCH(B44,PT_DIFFERENTIATION_TER_ID,0))</f>
        <v>.</v>
      </c>
      <c r="T44" s="233" t="s">
        <v>320</v>
      </c>
      <c r="U44" s="228"/>
      <c r="V44" s="995"/>
      <c r="W44" s="996"/>
      <c r="X44" s="996"/>
      <c r="Y44" s="996"/>
      <c r="Z44" s="996"/>
      <c r="AA44" s="996"/>
      <c r="AB44" s="996"/>
      <c r="AC44" s="997"/>
      <c r="AD44" s="995" t="str">
        <f>INDEX(PT_DIFFERENTIATION_TER,MATCH(B44,PT_DIFFERENTIATION_TER_ID,0))</f>
        <v/>
      </c>
      <c r="AE44" s="996"/>
      <c r="AF44" s="996"/>
      <c r="AG44" s="996"/>
      <c r="AH44" s="996"/>
      <c r="AI44" s="996"/>
      <c r="AJ44" s="996"/>
      <c r="AK44" s="996"/>
      <c r="AL44" s="997"/>
      <c r="AM44" s="230" t="s">
        <v>321</v>
      </c>
      <c r="AP44" s="29" t="str">
        <f t="shared" si="1"/>
        <v>Территория действия тарифа</v>
      </c>
      <c r="AS44" s="3">
        <v>21</v>
      </c>
    </row>
    <row r="45" spans="1:45" ht="24" customHeight="1">
      <c r="A45" s="284" t="s">
        <v>93</v>
      </c>
      <c r="B45" s="284" t="s">
        <v>94</v>
      </c>
      <c r="C45" s="284" t="s">
        <v>95</v>
      </c>
      <c r="E45" s="1001"/>
      <c r="F45" s="1001"/>
      <c r="G45" s="1000">
        <v>1</v>
      </c>
      <c r="Q45" s="231"/>
      <c r="R45" s="232"/>
      <c r="S45" s="226" t="str">
        <f>INDEX(PT_DIFFERENTIATION_NUM_CS,MATCH(C45,PT_DIFFERENTIATION_CS_ID,0))</f>
        <v>..</v>
      </c>
      <c r="T45" s="234" t="s">
        <v>322</v>
      </c>
      <c r="U45" s="228"/>
      <c r="V45" s="995"/>
      <c r="W45" s="996"/>
      <c r="X45" s="996"/>
      <c r="Y45" s="996"/>
      <c r="Z45" s="996"/>
      <c r="AA45" s="996"/>
      <c r="AB45" s="996"/>
      <c r="AC45" s="997"/>
      <c r="AD45" s="995" t="str">
        <f>INDEX(PT_DIFFERENTIATION_CS,MATCH(C45,PT_DIFFERENTIATION_CS_ID,0))</f>
        <v/>
      </c>
      <c r="AE45" s="996"/>
      <c r="AF45" s="996"/>
      <c r="AG45" s="996"/>
      <c r="AH45" s="996"/>
      <c r="AI45" s="996"/>
      <c r="AJ45" s="996"/>
      <c r="AK45" s="996"/>
      <c r="AL45" s="997"/>
      <c r="AM45" s="230" t="s">
        <v>323</v>
      </c>
      <c r="AP45" s="29" t="str">
        <f t="shared" si="1"/>
        <v xml:space="preserve">Наименование системы теплоснабжения </v>
      </c>
      <c r="AS45" s="3">
        <v>23</v>
      </c>
    </row>
    <row r="46" spans="1:45" ht="21.95" customHeight="1">
      <c r="A46" s="284" t="s">
        <v>93</v>
      </c>
      <c r="B46" s="284" t="s">
        <v>94</v>
      </c>
      <c r="C46" s="284" t="s">
        <v>95</v>
      </c>
      <c r="D46" s="284" t="s">
        <v>96</v>
      </c>
      <c r="E46" s="1001"/>
      <c r="F46" s="1001"/>
      <c r="G46" s="1001"/>
      <c r="H46" s="1000">
        <v>1</v>
      </c>
      <c r="Q46" s="231"/>
      <c r="R46" s="232"/>
      <c r="S46" s="226" t="str">
        <f>INDEX(PT_DIFFERENTIATION_NUM_IST_TE,MATCH(D46,PT_DIFFERENTIATION_IST_TE_ID,0))</f>
        <v>...</v>
      </c>
      <c r="T46" s="235" t="s">
        <v>324</v>
      </c>
      <c r="U46" s="228"/>
      <c r="V46" s="995"/>
      <c r="W46" s="996"/>
      <c r="X46" s="996"/>
      <c r="Y46" s="996"/>
      <c r="Z46" s="996"/>
      <c r="AA46" s="996"/>
      <c r="AB46" s="996"/>
      <c r="AC46" s="997"/>
      <c r="AD46" s="995" t="str">
        <f>INDEX(PT_DIFFERENTIATION_IST_TE,MATCH(D46,PT_DIFFERENTIATION_IST_TE_ID,0))</f>
        <v/>
      </c>
      <c r="AE46" s="996"/>
      <c r="AF46" s="996"/>
      <c r="AG46" s="996"/>
      <c r="AH46" s="996"/>
      <c r="AI46" s="996"/>
      <c r="AJ46" s="996"/>
      <c r="AK46" s="996"/>
      <c r="AL46" s="997"/>
      <c r="AM46" s="230" t="s">
        <v>325</v>
      </c>
      <c r="AP46" s="29" t="str">
        <f t="shared" si="1"/>
        <v xml:space="preserve">Источник тепловой энергии  </v>
      </c>
      <c r="AS46" s="3">
        <v>21</v>
      </c>
    </row>
    <row r="47" spans="1:45" ht="0" hidden="1" customHeight="1">
      <c r="A47" s="21" t="s">
        <v>93</v>
      </c>
      <c r="B47" s="21" t="s">
        <v>94</v>
      </c>
      <c r="C47" s="21" t="s">
        <v>95</v>
      </c>
      <c r="D47" s="21" t="s">
        <v>96</v>
      </c>
      <c r="E47" s="1001"/>
      <c r="F47" s="1001"/>
      <c r="G47" s="1001"/>
      <c r="H47" s="1001"/>
      <c r="I47" s="1002" t="str">
        <f>S46&amp;".1"</f>
        <v>....1</v>
      </c>
      <c r="L47" s="302" t="s">
        <v>326</v>
      </c>
      <c r="P47" s="1004">
        <v>1</v>
      </c>
      <c r="R47" s="238"/>
      <c r="S47" s="124"/>
      <c r="T47" s="294"/>
      <c r="U47" s="295"/>
      <c r="V47" s="1031"/>
      <c r="W47" s="1032"/>
      <c r="X47" s="1032"/>
      <c r="Y47" s="1032"/>
      <c r="Z47" s="1032"/>
      <c r="AA47" s="1032"/>
      <c r="AB47" s="1032"/>
      <c r="AC47" s="1033"/>
      <c r="AD47" s="1031"/>
      <c r="AE47" s="1032"/>
      <c r="AF47" s="1032"/>
      <c r="AG47" s="1032"/>
      <c r="AH47" s="1032"/>
      <c r="AI47" s="1032"/>
      <c r="AJ47" s="1032"/>
      <c r="AK47" s="1032"/>
      <c r="AL47" s="1033"/>
      <c r="AM47" s="297"/>
      <c r="AP47" s="29" t="str">
        <f t="shared" si="1"/>
        <v/>
      </c>
      <c r="AS47" s="24">
        <v>0</v>
      </c>
    </row>
    <row r="48" spans="1:45" ht="21.95" customHeight="1">
      <c r="A48" s="284" t="s">
        <v>93</v>
      </c>
      <c r="B48" s="284" t="s">
        <v>94</v>
      </c>
      <c r="C48" s="284" t="s">
        <v>95</v>
      </c>
      <c r="D48" s="284" t="s">
        <v>96</v>
      </c>
      <c r="E48" s="1001"/>
      <c r="F48" s="1001"/>
      <c r="G48" s="1001"/>
      <c r="H48" s="1001"/>
      <c r="I48" s="1003"/>
      <c r="J48" s="1002" t="str">
        <f>S46&amp;".1"</f>
        <v>....1</v>
      </c>
      <c r="L48" s="237" t="s">
        <v>329</v>
      </c>
      <c r="P48" s="885"/>
      <c r="Q48" s="1004">
        <v>1</v>
      </c>
      <c r="R48" s="240"/>
      <c r="S48" s="226" t="str">
        <f>$J48</f>
        <v>....1</v>
      </c>
      <c r="T48" s="241" t="s">
        <v>330</v>
      </c>
      <c r="U48" s="228"/>
      <c r="V48" s="989"/>
      <c r="W48" s="990"/>
      <c r="X48" s="990"/>
      <c r="Y48" s="990"/>
      <c r="Z48" s="990"/>
      <c r="AA48" s="990"/>
      <c r="AB48" s="990"/>
      <c r="AC48" s="991"/>
      <c r="AD48" s="989"/>
      <c r="AE48" s="990"/>
      <c r="AF48" s="990"/>
      <c r="AG48" s="990"/>
      <c r="AH48" s="990"/>
      <c r="AI48" s="990"/>
      <c r="AJ48" s="990"/>
      <c r="AK48" s="990"/>
      <c r="AL48" s="991"/>
      <c r="AM48" s="230" t="s">
        <v>331</v>
      </c>
      <c r="AP48" s="29" t="str">
        <f t="shared" si="1"/>
        <v>Группа потребителей</v>
      </c>
      <c r="AS48" s="3">
        <v>21</v>
      </c>
    </row>
    <row r="49" spans="1:45" ht="21.95" customHeight="1">
      <c r="A49" s="284" t="s">
        <v>93</v>
      </c>
      <c r="B49" s="284" t="s">
        <v>94</v>
      </c>
      <c r="C49" s="284" t="s">
        <v>95</v>
      </c>
      <c r="D49" s="284" t="s">
        <v>96</v>
      </c>
      <c r="E49" s="1001"/>
      <c r="F49" s="1001"/>
      <c r="G49" s="1001"/>
      <c r="H49" s="1001"/>
      <c r="I49" s="1003"/>
      <c r="J49" s="1003"/>
      <c r="K49" s="1002" t="str">
        <f>J48&amp;".1"</f>
        <v>....1.1</v>
      </c>
      <c r="L49" s="237" t="s">
        <v>332</v>
      </c>
      <c r="P49" s="885"/>
      <c r="Q49" s="885"/>
      <c r="R49" s="240">
        <v>1</v>
      </c>
      <c r="S49" s="226" t="str">
        <f>$K49</f>
        <v>....1.1</v>
      </c>
      <c r="T49" s="242"/>
      <c r="U49" s="228"/>
      <c r="V49" s="243"/>
      <c r="W49" s="244"/>
      <c r="X49" s="243"/>
      <c r="Y49" s="245"/>
      <c r="Z49" s="1005"/>
      <c r="AA49" s="895" t="s">
        <v>17</v>
      </c>
      <c r="AB49" s="1005"/>
      <c r="AC49" s="895" t="s">
        <v>17</v>
      </c>
      <c r="AD49" s="243"/>
      <c r="AE49" s="244"/>
      <c r="AF49" s="243"/>
      <c r="AG49" s="245"/>
      <c r="AH49" s="1005"/>
      <c r="AI49" s="895" t="s">
        <v>17</v>
      </c>
      <c r="AJ49" s="1007"/>
      <c r="AK49" s="895" t="s">
        <v>17</v>
      </c>
      <c r="AL49" s="285"/>
      <c r="AM49" s="1023" t="s">
        <v>374</v>
      </c>
      <c r="AN49" s="24" t="e">
        <f ca="1">STRCHECKDATE(V50:AL50)</f>
        <v>#NAME?</v>
      </c>
      <c r="AP49" s="29" t="str">
        <f t="shared" si="1"/>
        <v/>
      </c>
      <c r="AS49" s="3">
        <v>21</v>
      </c>
    </row>
    <row r="50" spans="1:45" ht="1.1499999999999999" customHeight="1">
      <c r="A50" s="284" t="s">
        <v>93</v>
      </c>
      <c r="B50" s="284" t="s">
        <v>94</v>
      </c>
      <c r="C50" s="284" t="s">
        <v>95</v>
      </c>
      <c r="D50" s="284" t="s">
        <v>96</v>
      </c>
      <c r="E50" s="1001"/>
      <c r="F50" s="1001"/>
      <c r="G50" s="1001"/>
      <c r="H50" s="1001"/>
      <c r="I50" s="1003"/>
      <c r="J50" s="1003"/>
      <c r="K50" s="1002"/>
      <c r="P50" s="885"/>
      <c r="Q50" s="885"/>
      <c r="R50" s="240"/>
      <c r="S50" s="209"/>
      <c r="T50" s="228"/>
      <c r="U50" s="228"/>
      <c r="V50" s="244"/>
      <c r="W50" s="244"/>
      <c r="X50" s="244"/>
      <c r="Y50" s="247" t="str">
        <f>Z49&amp;"-"&amp;AB49</f>
        <v>-</v>
      </c>
      <c r="Z50" s="1006"/>
      <c r="AA50" s="895"/>
      <c r="AB50" s="1006"/>
      <c r="AC50" s="895"/>
      <c r="AD50" s="244"/>
      <c r="AE50" s="244"/>
      <c r="AF50" s="244"/>
      <c r="AG50" s="247" t="str">
        <f>AH49&amp;"-"&amp;AJ49</f>
        <v>-</v>
      </c>
      <c r="AH50" s="1006"/>
      <c r="AI50" s="895"/>
      <c r="AJ50" s="1008"/>
      <c r="AK50" s="895"/>
      <c r="AL50" s="286"/>
      <c r="AM50" s="1024"/>
      <c r="AP50" s="29" t="str">
        <f t="shared" si="1"/>
        <v/>
      </c>
      <c r="AS50" s="3">
        <v>1</v>
      </c>
    </row>
    <row r="51" spans="1:45" ht="11.45" customHeight="1">
      <c r="A51" s="284" t="s">
        <v>93</v>
      </c>
      <c r="B51" s="284" t="s">
        <v>94</v>
      </c>
      <c r="C51" s="284" t="s">
        <v>95</v>
      </c>
      <c r="D51" s="284" t="s">
        <v>96</v>
      </c>
      <c r="E51" s="1001"/>
      <c r="F51" s="1001"/>
      <c r="G51" s="1001"/>
      <c r="H51" s="1001"/>
      <c r="I51" s="1003"/>
      <c r="J51" s="1002"/>
      <c r="P51" s="885"/>
      <c r="Q51" s="885"/>
      <c r="R51" s="238"/>
      <c r="S51" s="249"/>
      <c r="T51" s="252" t="s">
        <v>334</v>
      </c>
      <c r="U51" s="54"/>
      <c r="V51" s="54"/>
      <c r="W51" s="54"/>
      <c r="X51" s="54"/>
      <c r="Y51" s="54"/>
      <c r="Z51" s="54"/>
      <c r="AA51" s="54"/>
      <c r="AB51" s="54"/>
      <c r="AC51" s="54"/>
      <c r="AD51" s="54"/>
      <c r="AE51" s="54"/>
      <c r="AF51" s="54"/>
      <c r="AG51" s="54"/>
      <c r="AH51" s="54"/>
      <c r="AI51" s="54"/>
      <c r="AJ51" s="54"/>
      <c r="AK51" s="54"/>
      <c r="AL51" s="251"/>
      <c r="AM51" s="1025"/>
      <c r="AP51" s="29" t="str">
        <f t="shared" si="1"/>
        <v>Добавить вид теплоносителя (параметры теплоносителя)</v>
      </c>
      <c r="AS51" s="3">
        <v>11</v>
      </c>
    </row>
    <row r="52" spans="1:45" ht="11.45" customHeight="1">
      <c r="A52" s="284" t="s">
        <v>93</v>
      </c>
      <c r="B52" s="284" t="s">
        <v>94</v>
      </c>
      <c r="C52" s="284" t="s">
        <v>95</v>
      </c>
      <c r="D52" s="284" t="s">
        <v>96</v>
      </c>
      <c r="E52" s="1001"/>
      <c r="F52" s="1001"/>
      <c r="G52" s="1001"/>
      <c r="H52" s="1001"/>
      <c r="I52" s="1002"/>
      <c r="P52" s="885"/>
      <c r="R52" s="238"/>
      <c r="S52" s="249"/>
      <c r="T52" s="255" t="s">
        <v>335</v>
      </c>
      <c r="U52" s="54"/>
      <c r="V52" s="54"/>
      <c r="W52" s="54"/>
      <c r="X52" s="54"/>
      <c r="Y52" s="54"/>
      <c r="Z52" s="54"/>
      <c r="AA52" s="54"/>
      <c r="AB52" s="54"/>
      <c r="AC52" s="253"/>
      <c r="AD52" s="54"/>
      <c r="AE52" s="54"/>
      <c r="AF52" s="54"/>
      <c r="AG52" s="54"/>
      <c r="AH52" s="54"/>
      <c r="AI52" s="54"/>
      <c r="AJ52" s="54"/>
      <c r="AK52" s="253"/>
      <c r="AL52" s="54"/>
      <c r="AM52" s="254"/>
      <c r="AP52" s="29" t="str">
        <f t="shared" si="1"/>
        <v>Добавить группу потребителей</v>
      </c>
      <c r="AS52" s="3">
        <v>11</v>
      </c>
    </row>
    <row r="53" spans="1:45" ht="0" hidden="1" customHeight="1">
      <c r="A53" s="284" t="s">
        <v>93</v>
      </c>
      <c r="B53" s="284" t="s">
        <v>94</v>
      </c>
      <c r="C53" s="284" t="s">
        <v>95</v>
      </c>
      <c r="D53" s="284" t="s">
        <v>96</v>
      </c>
      <c r="E53" s="1001"/>
      <c r="F53" s="1001"/>
      <c r="G53" s="1001"/>
      <c r="H53" s="1000"/>
      <c r="R53" s="225"/>
      <c r="S53" s="298"/>
      <c r="T53" s="299"/>
      <c r="U53" s="300"/>
      <c r="V53" s="300"/>
      <c r="W53" s="300"/>
      <c r="X53" s="300"/>
      <c r="Y53" s="300"/>
      <c r="Z53" s="300"/>
      <c r="AA53" s="300"/>
      <c r="AB53" s="300"/>
      <c r="AC53" s="300"/>
      <c r="AD53" s="300"/>
      <c r="AE53" s="300"/>
      <c r="AF53" s="300"/>
      <c r="AG53" s="300"/>
      <c r="AH53" s="300"/>
      <c r="AI53" s="300"/>
      <c r="AJ53" s="300"/>
      <c r="AK53" s="300"/>
      <c r="AL53" s="300"/>
      <c r="AM53" s="301"/>
      <c r="AP53" s="29" t="str">
        <f t="shared" si="1"/>
        <v/>
      </c>
      <c r="AS53" s="3">
        <v>0</v>
      </c>
    </row>
    <row r="54" spans="1:45" ht="1.1499999999999999" customHeight="1">
      <c r="A54" s="21" t="s">
        <v>93</v>
      </c>
      <c r="B54" s="21" t="s">
        <v>94</v>
      </c>
      <c r="C54" s="21" t="s">
        <v>95</v>
      </c>
      <c r="E54" s="1001"/>
      <c r="F54" s="1001"/>
      <c r="G54" s="1000"/>
      <c r="T54" s="260" t="s">
        <v>337</v>
      </c>
      <c r="AP54" s="29" t="str">
        <f t="shared" si="1"/>
        <v>Добавить источник для дифференциации</v>
      </c>
      <c r="AS54" s="24">
        <v>1</v>
      </c>
    </row>
    <row r="55" spans="1:45" ht="1.1499999999999999" customHeight="1">
      <c r="A55" s="21" t="s">
        <v>93</v>
      </c>
      <c r="B55" s="21" t="s">
        <v>94</v>
      </c>
      <c r="E55" s="1001"/>
      <c r="F55" s="1000"/>
      <c r="T55" s="260" t="s">
        <v>338</v>
      </c>
      <c r="AP55" s="29" t="str">
        <f t="shared" si="1"/>
        <v>Добавить централизованную систему для дифференциации</v>
      </c>
      <c r="AS55" s="24">
        <v>1</v>
      </c>
    </row>
    <row r="56" spans="1:45" ht="1.1499999999999999" customHeight="1">
      <c r="A56" s="21" t="s">
        <v>93</v>
      </c>
      <c r="E56" s="1000"/>
      <c r="T56" s="260" t="s">
        <v>339</v>
      </c>
      <c r="AP56" s="29" t="str">
        <f t="shared" si="1"/>
        <v>Добавить территорию для дифференциации</v>
      </c>
      <c r="AS56" s="24">
        <v>1</v>
      </c>
    </row>
    <row r="57" spans="1:45" ht="1.1499999999999999" customHeight="1">
      <c r="T57" s="260" t="s">
        <v>371</v>
      </c>
      <c r="AP57" s="29" t="str">
        <f t="shared" si="1"/>
        <v>Добавить наименование тарифа</v>
      </c>
      <c r="AS57" s="24">
        <v>1</v>
      </c>
    </row>
    <row r="58" spans="1:45" ht="11.45" customHeight="1">
      <c r="AS58" s="3">
        <v>11</v>
      </c>
    </row>
    <row r="59" spans="1:45" ht="19.899999999999999" customHeight="1">
      <c r="T59" s="885"/>
      <c r="U59" s="885"/>
      <c r="V59" s="885"/>
      <c r="W59" s="885"/>
      <c r="X59" s="885"/>
      <c r="Y59" s="885"/>
      <c r="Z59" s="885"/>
      <c r="AA59" s="885"/>
      <c r="AB59" s="885"/>
      <c r="AC59" s="885"/>
      <c r="AD59" s="885"/>
      <c r="AE59" s="885"/>
      <c r="AF59" s="885"/>
      <c r="AG59" s="885"/>
      <c r="AH59" s="885"/>
      <c r="AI59" s="885"/>
      <c r="AJ59" s="885"/>
      <c r="AK59" s="885"/>
      <c r="AL59" s="885"/>
      <c r="AM59" s="885"/>
      <c r="AS59" s="3">
        <v>19</v>
      </c>
    </row>
    <row r="60" spans="1:45" ht="29.25" customHeight="1">
      <c r="T60" s="885"/>
      <c r="U60" s="885"/>
      <c r="V60" s="885"/>
      <c r="W60" s="885"/>
      <c r="X60" s="885"/>
      <c r="Y60" s="885"/>
      <c r="Z60" s="885"/>
      <c r="AA60" s="885"/>
      <c r="AB60" s="885"/>
      <c r="AC60" s="885"/>
      <c r="AD60" s="885"/>
      <c r="AE60" s="885"/>
      <c r="AF60" s="885"/>
      <c r="AG60" s="885"/>
      <c r="AH60" s="885"/>
      <c r="AI60" s="885"/>
      <c r="AJ60" s="885"/>
      <c r="AK60" s="885"/>
      <c r="AL60" s="885"/>
      <c r="AM60" s="885"/>
      <c r="AS60" s="3">
        <v>28</v>
      </c>
    </row>
    <row r="61" spans="1:45" ht="42" customHeight="1">
      <c r="T61" s="885"/>
      <c r="U61" s="885"/>
      <c r="V61" s="885"/>
      <c r="W61" s="885"/>
      <c r="X61" s="885"/>
      <c r="Y61" s="885"/>
      <c r="Z61" s="885"/>
      <c r="AA61" s="885"/>
      <c r="AB61" s="885"/>
      <c r="AC61" s="885"/>
      <c r="AD61" s="885"/>
      <c r="AE61" s="885"/>
      <c r="AF61" s="885"/>
      <c r="AG61" s="885"/>
      <c r="AH61" s="885"/>
      <c r="AI61" s="885"/>
      <c r="AJ61" s="885"/>
      <c r="AK61" s="885"/>
      <c r="AL61" s="885"/>
      <c r="AM61" s="885"/>
      <c r="AS61" s="3">
        <v>40</v>
      </c>
    </row>
    <row r="62" spans="1:45" ht="14.65" customHeight="1">
      <c r="AS62" s="3">
        <v>14</v>
      </c>
    </row>
    <row r="63" spans="1:45" ht="21" customHeight="1">
      <c r="T63" s="885"/>
      <c r="U63" s="885"/>
      <c r="V63" s="885"/>
      <c r="W63" s="885"/>
      <c r="X63" s="885"/>
      <c r="Y63" s="885"/>
      <c r="Z63" s="885"/>
      <c r="AA63" s="885"/>
      <c r="AB63" s="885"/>
      <c r="AC63" s="885"/>
      <c r="AD63" s="885"/>
      <c r="AE63" s="885"/>
      <c r="AF63" s="885"/>
      <c r="AG63" s="885"/>
      <c r="AH63" s="885"/>
      <c r="AI63" s="885"/>
      <c r="AJ63" s="885"/>
      <c r="AK63" s="885"/>
      <c r="AL63" s="885"/>
      <c r="AM63" s="885"/>
      <c r="AS63" s="3">
        <v>20</v>
      </c>
    </row>
    <row r="64" spans="1:45" ht="29.25" customHeight="1">
      <c r="T64" s="885"/>
      <c r="U64" s="885"/>
      <c r="V64" s="885"/>
      <c r="W64" s="885"/>
      <c r="X64" s="885"/>
      <c r="Y64" s="885"/>
      <c r="Z64" s="885"/>
      <c r="AA64" s="885"/>
      <c r="AB64" s="885"/>
      <c r="AC64" s="885"/>
      <c r="AD64" s="885"/>
      <c r="AE64" s="885"/>
      <c r="AF64" s="885"/>
      <c r="AG64" s="885"/>
      <c r="AH64" s="885"/>
      <c r="AI64" s="885"/>
      <c r="AJ64" s="885"/>
      <c r="AK64" s="885"/>
      <c r="AL64" s="885"/>
      <c r="AM64" s="885"/>
      <c r="AS64" s="3">
        <v>28</v>
      </c>
    </row>
    <row r="65" spans="1:45" ht="35.65" customHeight="1">
      <c r="T65" s="885"/>
      <c r="U65" s="885"/>
      <c r="V65" s="885"/>
      <c r="W65" s="885"/>
      <c r="X65" s="885"/>
      <c r="Y65" s="885"/>
      <c r="Z65" s="885"/>
      <c r="AA65" s="885"/>
      <c r="AB65" s="885"/>
      <c r="AC65" s="885"/>
      <c r="AD65" s="885"/>
      <c r="AE65" s="885"/>
      <c r="AF65" s="885"/>
      <c r="AG65" s="885"/>
      <c r="AH65" s="885"/>
      <c r="AI65" s="885"/>
      <c r="AJ65" s="885"/>
      <c r="AK65" s="885"/>
      <c r="AL65" s="885"/>
      <c r="AM65" s="885"/>
      <c r="AS65" s="3">
        <v>34</v>
      </c>
    </row>
    <row r="66" spans="1:45" ht="22.5" hidden="1" customHeight="1">
      <c r="A66" s="11" t="s">
        <v>18</v>
      </c>
      <c r="B66" s="11">
        <v>0</v>
      </c>
      <c r="C66" s="11">
        <v>0</v>
      </c>
      <c r="D66" s="11">
        <v>0</v>
      </c>
      <c r="E66" s="11">
        <v>0</v>
      </c>
      <c r="F66" s="11">
        <v>0</v>
      </c>
      <c r="G66" s="11">
        <v>0</v>
      </c>
      <c r="H66" s="11">
        <v>0</v>
      </c>
      <c r="I66" s="11">
        <v>0</v>
      </c>
      <c r="J66" s="11">
        <v>0</v>
      </c>
      <c r="K66" s="11">
        <v>0</v>
      </c>
      <c r="L66" s="171">
        <v>0</v>
      </c>
      <c r="M66" s="13">
        <v>0</v>
      </c>
      <c r="N66" s="13">
        <v>0</v>
      </c>
      <c r="O66" s="13">
        <v>0</v>
      </c>
      <c r="P66" s="287">
        <v>0</v>
      </c>
      <c r="Q66" s="288">
        <v>3</v>
      </c>
      <c r="R66" s="288">
        <v>3</v>
      </c>
      <c r="S66" s="9">
        <v>12</v>
      </c>
      <c r="T66" s="3">
        <v>31</v>
      </c>
      <c r="U66" s="3">
        <v>0</v>
      </c>
      <c r="V66" s="3">
        <v>0</v>
      </c>
      <c r="W66" s="3">
        <v>0</v>
      </c>
      <c r="X66" s="3">
        <v>0</v>
      </c>
      <c r="Y66" s="3">
        <v>0</v>
      </c>
      <c r="Z66" s="3">
        <v>0</v>
      </c>
      <c r="AA66" s="3">
        <v>0</v>
      </c>
      <c r="AB66" s="3">
        <v>0</v>
      </c>
      <c r="AC66" s="3">
        <v>0</v>
      </c>
      <c r="AD66" s="3">
        <v>24</v>
      </c>
      <c r="AE66" s="3">
        <v>0</v>
      </c>
      <c r="AF66" s="3">
        <v>24</v>
      </c>
      <c r="AG66" s="3">
        <v>24</v>
      </c>
      <c r="AH66" s="3">
        <v>11</v>
      </c>
      <c r="AI66" s="3">
        <v>3</v>
      </c>
      <c r="AJ66" s="3">
        <v>11</v>
      </c>
      <c r="AK66" s="3">
        <v>0</v>
      </c>
      <c r="AL66" s="3">
        <v>4</v>
      </c>
      <c r="AM66" s="3">
        <v>115</v>
      </c>
      <c r="AN66" s="24">
        <v>10</v>
      </c>
      <c r="AO66" s="24">
        <v>10</v>
      </c>
      <c r="AP66" s="24">
        <v>10</v>
      </c>
      <c r="AQ66" s="24">
        <v>10</v>
      </c>
      <c r="AR66" s="24">
        <v>10</v>
      </c>
      <c r="AS66" s="3">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6" width="3.7109375" hidden="1" customWidth="1"/>
    <col min="17" max="18" width="3" customWidth="1"/>
    <col min="19" max="19" width="12" customWidth="1"/>
    <col min="20" max="20" width="31" customWidth="1"/>
    <col min="21" max="21" width="0.140625" customWidth="1"/>
    <col min="22" max="22" width="24.7109375" hidden="1" customWidth="1"/>
    <col min="23" max="23" width="0.140625" hidden="1" customWidth="1"/>
    <col min="24" max="25" width="24.7109375" hidden="1" customWidth="1"/>
    <col min="26" max="26" width="11.7109375" hidden="1" customWidth="1"/>
    <col min="27" max="27" width="3.7109375" hidden="1" customWidth="1"/>
    <col min="28" max="28" width="11.7109375" hidden="1" customWidth="1"/>
    <col min="29" max="29" width="8.5703125" hidden="1" customWidth="1"/>
    <col min="30" max="30" width="24.7109375" customWidth="1"/>
    <col min="31" max="31" width="0.140625" customWidth="1"/>
    <col min="32" max="33" width="24" customWidth="1"/>
    <col min="34" max="34" width="11" customWidth="1"/>
    <col min="35" max="35" width="3.7109375" customWidth="1"/>
    <col min="36" max="36" width="11" customWidth="1"/>
    <col min="37" max="37" width="8.5703125" hidden="1" customWidth="1"/>
    <col min="38" max="38" width="4" customWidth="1"/>
    <col min="39" max="39" width="115" customWidth="1"/>
    <col min="40" max="44" width="10" customWidth="1"/>
    <col min="45" max="45" width="10.5703125" hidden="1"/>
  </cols>
  <sheetData>
    <row r="1" spans="5:45" ht="22.5" hidden="1" customHeight="1">
      <c r="AS1" s="3" t="s">
        <v>1</v>
      </c>
    </row>
    <row r="2" spans="5:45" ht="21" hidden="1" customHeight="1">
      <c r="E2" s="1000">
        <v>1</v>
      </c>
      <c r="R2" s="225"/>
      <c r="S2" s="226" t="e">
        <f>INDEX(PT_DIFFERENTIATION_NUM_NTAR,MATCH(A2,PT_DIFFERENTIATION_NTAR_ID,0))</f>
        <v>#N/A</v>
      </c>
      <c r="T2" s="227" t="s">
        <v>48</v>
      </c>
      <c r="U2" s="228"/>
      <c r="V2" s="995"/>
      <c r="W2" s="996"/>
      <c r="X2" s="996"/>
      <c r="Y2" s="996"/>
      <c r="Z2" s="996"/>
      <c r="AA2" s="996"/>
      <c r="AB2" s="996"/>
      <c r="AC2" s="997"/>
      <c r="AD2" s="995" t="e">
        <f>INDEX(PT_DIFFERENTIATION_NTAR,MATCH(A2,PT_DIFFERENTIATION_NTAR_ID,0))</f>
        <v>#N/A</v>
      </c>
      <c r="AE2" s="996"/>
      <c r="AF2" s="996"/>
      <c r="AG2" s="996"/>
      <c r="AH2" s="996"/>
      <c r="AI2" s="996"/>
      <c r="AJ2" s="996"/>
      <c r="AK2" s="996"/>
      <c r="AL2" s="997"/>
      <c r="AM2" s="230" t="s">
        <v>319</v>
      </c>
      <c r="AP2" s="29" t="str">
        <f t="shared" ref="AP2:AP15" si="0">IF(T2="","",T2)</f>
        <v>Наименование тарифа</v>
      </c>
      <c r="AS2" s="3">
        <v>0</v>
      </c>
    </row>
    <row r="3" spans="5:45" ht="21" hidden="1" customHeight="1">
      <c r="E3" s="1001"/>
      <c r="F3" s="1000">
        <v>1</v>
      </c>
      <c r="Q3" s="231"/>
      <c r="R3" s="232"/>
      <c r="S3" s="226" t="e">
        <f>INDEX(PT_DIFFERENTIATION_NUM_TER,MATCH(B3,PT_DIFFERENTIATION_TER_ID,0))</f>
        <v>#N/A</v>
      </c>
      <c r="T3" s="233" t="s">
        <v>320</v>
      </c>
      <c r="U3" s="228"/>
      <c r="V3" s="995"/>
      <c r="W3" s="996"/>
      <c r="X3" s="996"/>
      <c r="Y3" s="996"/>
      <c r="Z3" s="996"/>
      <c r="AA3" s="996"/>
      <c r="AB3" s="996"/>
      <c r="AC3" s="997"/>
      <c r="AD3" s="995" t="e">
        <f>INDEX(PT_DIFFERENTIATION_TER,MATCH(B3,PT_DIFFERENTIATION_TER_ID,0))</f>
        <v>#N/A</v>
      </c>
      <c r="AE3" s="996"/>
      <c r="AF3" s="996"/>
      <c r="AG3" s="996"/>
      <c r="AH3" s="996"/>
      <c r="AI3" s="996"/>
      <c r="AJ3" s="996"/>
      <c r="AK3" s="996"/>
      <c r="AL3" s="997"/>
      <c r="AM3" s="230" t="s">
        <v>321</v>
      </c>
      <c r="AP3" s="29" t="str">
        <f t="shared" si="0"/>
        <v>Территория действия тарифа</v>
      </c>
      <c r="AS3" s="3">
        <v>0</v>
      </c>
    </row>
    <row r="4" spans="5:45" ht="23.25" hidden="1" customHeight="1">
      <c r="E4" s="1001"/>
      <c r="F4" s="1001"/>
      <c r="G4" s="1000">
        <v>1</v>
      </c>
      <c r="Q4" s="231"/>
      <c r="R4" s="232"/>
      <c r="S4" s="303" t="e">
        <f>INDEX(PT_DIFFERENTIATION_NUM_CS,MATCH(C4,PT_DIFFERENTIATION_CS_ID,0))</f>
        <v>#N/A</v>
      </c>
      <c r="T4" s="304" t="s">
        <v>322</v>
      </c>
      <c r="U4" s="305"/>
      <c r="V4" s="1036"/>
      <c r="W4" s="1037"/>
      <c r="X4" s="1037"/>
      <c r="Y4" s="1037"/>
      <c r="Z4" s="1037"/>
      <c r="AA4" s="1037"/>
      <c r="AB4" s="1037"/>
      <c r="AC4" s="1038"/>
      <c r="AD4" s="1036" t="e">
        <f>INDEX(PT_DIFFERENTIATION_CS,MATCH(C4,PT_DIFFERENTIATION_CS_ID,0))</f>
        <v>#N/A</v>
      </c>
      <c r="AE4" s="1037"/>
      <c r="AF4" s="1037"/>
      <c r="AG4" s="1037"/>
      <c r="AH4" s="1037"/>
      <c r="AI4" s="1037"/>
      <c r="AJ4" s="1037"/>
      <c r="AK4" s="1037"/>
      <c r="AL4" s="1038"/>
      <c r="AM4" s="230" t="s">
        <v>323</v>
      </c>
      <c r="AP4" s="29" t="str">
        <f t="shared" si="0"/>
        <v xml:space="preserve">Наименование системы теплоснабжения </v>
      </c>
      <c r="AS4" s="3">
        <v>0</v>
      </c>
    </row>
    <row r="5" spans="5:45" ht="21" hidden="1" customHeight="1">
      <c r="E5" s="1001"/>
      <c r="F5" s="1001"/>
      <c r="G5" s="1001"/>
      <c r="H5" s="1000">
        <v>1</v>
      </c>
      <c r="Q5" s="231"/>
      <c r="S5" s="226" t="e">
        <f>INDEX(PT_DIFFERENTIATION_NUM_IST_TE,MATCH(D5,PT_DIFFERENTIATION_IST_TE_ID,0))</f>
        <v>#N/A</v>
      </c>
      <c r="T5" s="235" t="s">
        <v>324</v>
      </c>
      <c r="U5" s="228"/>
      <c r="V5" s="1039"/>
      <c r="W5" s="1039"/>
      <c r="X5" s="1039"/>
      <c r="Y5" s="1039"/>
      <c r="Z5" s="1039"/>
      <c r="AA5" s="1039"/>
      <c r="AB5" s="1039"/>
      <c r="AC5" s="1039"/>
      <c r="AD5" s="1039" t="e">
        <f>INDEX(PT_DIFFERENTIATION_IST_TE,MATCH(D5,PT_DIFFERENTIATION_IST_TE_ID,0))</f>
        <v>#N/A</v>
      </c>
      <c r="AE5" s="1039"/>
      <c r="AF5" s="1039"/>
      <c r="AG5" s="1039"/>
      <c r="AH5" s="1039"/>
      <c r="AI5" s="1039"/>
      <c r="AJ5" s="1039"/>
      <c r="AK5" s="1039"/>
      <c r="AL5" s="1039"/>
      <c r="AM5" s="307" t="s">
        <v>325</v>
      </c>
      <c r="AP5" s="29" t="str">
        <f t="shared" si="0"/>
        <v xml:space="preserve">Источник тепловой энергии  </v>
      </c>
      <c r="AS5" s="3">
        <v>0</v>
      </c>
    </row>
    <row r="6" spans="5:45" ht="0.75" hidden="1" customHeight="1">
      <c r="E6" s="1001"/>
      <c r="F6" s="1001"/>
      <c r="G6" s="1001"/>
      <c r="H6" s="1001"/>
      <c r="I6" s="1002" t="e">
        <f>S5&amp;".1"</f>
        <v>#N/A</v>
      </c>
      <c r="L6" s="237" t="s">
        <v>326</v>
      </c>
      <c r="P6" s="1004">
        <v>1</v>
      </c>
      <c r="S6" s="124"/>
      <c r="T6" s="294"/>
      <c r="U6" s="295"/>
      <c r="V6" s="1040"/>
      <c r="W6" s="1040"/>
      <c r="X6" s="1040"/>
      <c r="Y6" s="1040"/>
      <c r="Z6" s="1040"/>
      <c r="AA6" s="1040"/>
      <c r="AB6" s="1040"/>
      <c r="AC6" s="1040"/>
      <c r="AD6" s="1040"/>
      <c r="AE6" s="1040"/>
      <c r="AF6" s="1040"/>
      <c r="AG6" s="1040"/>
      <c r="AH6" s="1040"/>
      <c r="AI6" s="1040"/>
      <c r="AJ6" s="1040"/>
      <c r="AK6" s="1040"/>
      <c r="AL6" s="1040"/>
      <c r="AM6" s="308"/>
      <c r="AP6" s="29" t="str">
        <f t="shared" si="0"/>
        <v/>
      </c>
      <c r="AS6" s="3">
        <v>0</v>
      </c>
    </row>
    <row r="7" spans="5:45" ht="84" hidden="1" customHeight="1">
      <c r="E7" s="1001"/>
      <c r="F7" s="1001"/>
      <c r="G7" s="1001"/>
      <c r="H7" s="1001"/>
      <c r="I7" s="1003"/>
      <c r="J7" s="1002" t="e">
        <f>I6&amp;".1"</f>
        <v>#N/A</v>
      </c>
      <c r="L7" s="237" t="s">
        <v>329</v>
      </c>
      <c r="P7" s="885"/>
      <c r="Q7" s="1004">
        <v>1</v>
      </c>
      <c r="S7" s="226" t="e">
        <f>$J7</f>
        <v>#N/A</v>
      </c>
      <c r="T7" s="241" t="s">
        <v>330</v>
      </c>
      <c r="U7" s="228"/>
      <c r="V7" s="1034"/>
      <c r="W7" s="1034"/>
      <c r="X7" s="1034"/>
      <c r="Y7" s="1034"/>
      <c r="Z7" s="1034"/>
      <c r="AA7" s="1034"/>
      <c r="AB7" s="1034"/>
      <c r="AC7" s="1034"/>
      <c r="AD7" s="1034"/>
      <c r="AE7" s="1034"/>
      <c r="AF7" s="1034"/>
      <c r="AG7" s="1034"/>
      <c r="AH7" s="1034"/>
      <c r="AI7" s="1034"/>
      <c r="AJ7" s="1034"/>
      <c r="AK7" s="1034"/>
      <c r="AL7" s="1034"/>
      <c r="AM7" s="307" t="s">
        <v>331</v>
      </c>
      <c r="AP7" s="29" t="str">
        <f t="shared" si="0"/>
        <v>Группа потребителей</v>
      </c>
      <c r="AS7" s="3">
        <v>0</v>
      </c>
    </row>
    <row r="8" spans="5:45" ht="11.25" hidden="1" customHeight="1">
      <c r="E8" s="1001"/>
      <c r="F8" s="1001"/>
      <c r="G8" s="1001"/>
      <c r="H8" s="1001"/>
      <c r="I8" s="1003"/>
      <c r="J8" s="1003"/>
      <c r="K8" s="1002" t="e">
        <f>J7&amp;".1"</f>
        <v>#N/A</v>
      </c>
      <c r="L8" s="237" t="s">
        <v>332</v>
      </c>
      <c r="P8" s="885"/>
      <c r="Q8" s="885"/>
      <c r="R8" s="240">
        <v>1</v>
      </c>
      <c r="S8" s="310" t="e">
        <f>$K8</f>
        <v>#N/A</v>
      </c>
      <c r="T8" s="311"/>
      <c r="U8" s="312"/>
      <c r="V8" s="313"/>
      <c r="W8" s="286"/>
      <c r="X8" s="313"/>
      <c r="Y8" s="314"/>
      <c r="Z8" s="1035"/>
      <c r="AA8" s="900" t="s">
        <v>17</v>
      </c>
      <c r="AB8" s="1035"/>
      <c r="AC8" s="900" t="s">
        <v>17</v>
      </c>
      <c r="AD8" s="313"/>
      <c r="AE8" s="286"/>
      <c r="AF8" s="313"/>
      <c r="AG8" s="314"/>
      <c r="AH8" s="1035"/>
      <c r="AI8" s="900" t="s">
        <v>17</v>
      </c>
      <c r="AJ8" s="1035"/>
      <c r="AK8" s="900" t="s">
        <v>17</v>
      </c>
      <c r="AL8" s="286"/>
      <c r="AM8" s="1023" t="s">
        <v>333</v>
      </c>
      <c r="AN8" s="24" t="e">
        <f ca="1">STRCHECKDATE(V9:AL9)</f>
        <v>#NAME?</v>
      </c>
      <c r="AP8" s="29" t="str">
        <f t="shared" si="0"/>
        <v/>
      </c>
      <c r="AS8" s="3">
        <v>0</v>
      </c>
    </row>
    <row r="9" spans="5:45" ht="0.75" hidden="1" customHeight="1">
      <c r="E9" s="1001"/>
      <c r="F9" s="1001"/>
      <c r="G9" s="1001"/>
      <c r="H9" s="1001"/>
      <c r="I9" s="1003"/>
      <c r="J9" s="1003"/>
      <c r="K9" s="1002"/>
      <c r="P9" s="885"/>
      <c r="Q9" s="885"/>
      <c r="R9" s="240"/>
      <c r="S9" s="209"/>
      <c r="T9" s="228"/>
      <c r="U9" s="228"/>
      <c r="V9" s="244"/>
      <c r="W9" s="244"/>
      <c r="X9" s="244"/>
      <c r="Y9" s="247" t="str">
        <f>Z8&amp;"-"&amp;AB8</f>
        <v>-</v>
      </c>
      <c r="Z9" s="1006"/>
      <c r="AA9" s="895"/>
      <c r="AB9" s="1006"/>
      <c r="AC9" s="895"/>
      <c r="AD9" s="244"/>
      <c r="AE9" s="244"/>
      <c r="AF9" s="244"/>
      <c r="AG9" s="247" t="str">
        <f>AH8&amp;"-"&amp;AJ8</f>
        <v>-</v>
      </c>
      <c r="AH9" s="1006"/>
      <c r="AI9" s="895"/>
      <c r="AJ9" s="1006"/>
      <c r="AK9" s="895"/>
      <c r="AL9" s="244"/>
      <c r="AM9" s="1024"/>
      <c r="AP9" s="29" t="str">
        <f t="shared" si="0"/>
        <v/>
      </c>
      <c r="AS9" s="3">
        <v>0</v>
      </c>
    </row>
    <row r="10" spans="5:45" ht="11.25" hidden="1" customHeight="1">
      <c r="E10" s="1001"/>
      <c r="F10" s="1001"/>
      <c r="G10" s="1001"/>
      <c r="H10" s="1001"/>
      <c r="I10" s="1003"/>
      <c r="J10" s="1002"/>
      <c r="P10" s="885"/>
      <c r="Q10" s="885"/>
      <c r="R10" s="238"/>
      <c r="S10" s="249"/>
      <c r="T10" s="252" t="s">
        <v>334</v>
      </c>
      <c r="U10" s="54"/>
      <c r="V10" s="54"/>
      <c r="W10" s="54"/>
      <c r="X10" s="54"/>
      <c r="Y10" s="54"/>
      <c r="Z10" s="54"/>
      <c r="AA10" s="54"/>
      <c r="AB10" s="54"/>
      <c r="AC10" s="54"/>
      <c r="AD10" s="54"/>
      <c r="AE10" s="54"/>
      <c r="AF10" s="54"/>
      <c r="AG10" s="54"/>
      <c r="AH10" s="54"/>
      <c r="AI10" s="54"/>
      <c r="AJ10" s="54"/>
      <c r="AK10" s="54"/>
      <c r="AL10" s="251"/>
      <c r="AM10" s="1025"/>
      <c r="AP10" s="29" t="str">
        <f t="shared" si="0"/>
        <v>Добавить вид теплоносителя (параметры теплоносителя)</v>
      </c>
      <c r="AS10" s="3">
        <v>0</v>
      </c>
    </row>
    <row r="11" spans="5:45" ht="11.25" hidden="1" customHeight="1">
      <c r="E11" s="1001"/>
      <c r="F11" s="1001"/>
      <c r="G11" s="1001"/>
      <c r="H11" s="1001"/>
      <c r="I11" s="1002"/>
      <c r="P11" s="885"/>
      <c r="R11" s="238"/>
      <c r="S11" s="249"/>
      <c r="T11" s="255" t="s">
        <v>335</v>
      </c>
      <c r="U11" s="54"/>
      <c r="V11" s="54"/>
      <c r="W11" s="54"/>
      <c r="X11" s="54"/>
      <c r="Y11" s="54"/>
      <c r="Z11" s="54"/>
      <c r="AA11" s="54"/>
      <c r="AB11" s="54"/>
      <c r="AC11" s="253"/>
      <c r="AD11" s="54"/>
      <c r="AE11" s="54"/>
      <c r="AF11" s="54"/>
      <c r="AG11" s="54"/>
      <c r="AH11" s="54"/>
      <c r="AI11" s="54"/>
      <c r="AJ11" s="54"/>
      <c r="AK11" s="253"/>
      <c r="AL11" s="54"/>
      <c r="AM11" s="254"/>
      <c r="AP11" s="29" t="str">
        <f t="shared" si="0"/>
        <v>Добавить группу потребителей</v>
      </c>
      <c r="AS11" s="3">
        <v>0</v>
      </c>
    </row>
    <row r="12" spans="5:45" ht="0.75" hidden="1" customHeight="1">
      <c r="E12" s="1001"/>
      <c r="F12" s="1001"/>
      <c r="G12" s="1001"/>
      <c r="H12" s="1000"/>
      <c r="R12" s="225"/>
      <c r="S12" s="298"/>
      <c r="T12" s="299"/>
      <c r="U12" s="300"/>
      <c r="V12" s="300"/>
      <c r="W12" s="300"/>
      <c r="X12" s="300"/>
      <c r="Y12" s="300"/>
      <c r="Z12" s="300"/>
      <c r="AA12" s="300"/>
      <c r="AB12" s="300"/>
      <c r="AC12" s="300"/>
      <c r="AD12" s="300"/>
      <c r="AE12" s="300"/>
      <c r="AF12" s="300"/>
      <c r="AG12" s="300"/>
      <c r="AH12" s="300"/>
      <c r="AI12" s="300"/>
      <c r="AJ12" s="300"/>
      <c r="AK12" s="300"/>
      <c r="AL12" s="300"/>
      <c r="AM12" s="301"/>
      <c r="AP12" s="29" t="str">
        <f t="shared" si="0"/>
        <v/>
      </c>
      <c r="AS12" s="3">
        <v>0</v>
      </c>
    </row>
    <row r="13" spans="5:45" ht="0.75" hidden="1" customHeight="1">
      <c r="E13" s="1001"/>
      <c r="F13" s="1001"/>
      <c r="G13" s="1000"/>
      <c r="S13" s="256"/>
      <c r="T13" s="257" t="s">
        <v>337</v>
      </c>
      <c r="U13" s="258"/>
      <c r="V13" s="258"/>
      <c r="W13" s="258"/>
      <c r="X13" s="258"/>
      <c r="Y13" s="258"/>
      <c r="Z13" s="258"/>
      <c r="AA13" s="258"/>
      <c r="AB13" s="258"/>
      <c r="AC13" s="258"/>
      <c r="AD13" s="258"/>
      <c r="AE13" s="258"/>
      <c r="AF13" s="258"/>
      <c r="AG13" s="258"/>
      <c r="AH13" s="258"/>
      <c r="AI13" s="258"/>
      <c r="AJ13" s="258"/>
      <c r="AK13" s="258"/>
      <c r="AL13" s="258"/>
      <c r="AM13" s="258"/>
      <c r="AP13" s="29" t="str">
        <f t="shared" si="0"/>
        <v>Добавить источник для дифференциации</v>
      </c>
      <c r="AS13" s="24">
        <v>0</v>
      </c>
    </row>
    <row r="14" spans="5:45" ht="0.75" hidden="1" customHeight="1">
      <c r="E14" s="1001"/>
      <c r="F14" s="1000"/>
      <c r="T14" s="259" t="s">
        <v>338</v>
      </c>
      <c r="AP14" s="29" t="str">
        <f t="shared" si="0"/>
        <v>Добавить централизованную систему для дифференциации</v>
      </c>
      <c r="AS14" s="24">
        <v>0</v>
      </c>
    </row>
    <row r="15" spans="5:45" ht="0.75" hidden="1" customHeight="1">
      <c r="E15" s="1000"/>
      <c r="T15" s="260" t="s">
        <v>339</v>
      </c>
      <c r="AP15" s="29" t="str">
        <f t="shared" si="0"/>
        <v>Добавить территорию для дифференциации</v>
      </c>
      <c r="AS15" s="24">
        <v>0</v>
      </c>
    </row>
    <row r="16" spans="5:45" ht="14.25" hidden="1" customHeight="1">
      <c r="AS16" s="3">
        <v>0</v>
      </c>
    </row>
    <row r="17" spans="15:45" ht="14.25" hidden="1" customHeight="1">
      <c r="AD17" s="261"/>
      <c r="AE17" s="261"/>
      <c r="AF17" s="261"/>
      <c r="AG17" s="262"/>
      <c r="AH17" s="999"/>
      <c r="AI17" s="998" t="s">
        <v>17</v>
      </c>
      <c r="AJ17" s="999"/>
      <c r="AK17" s="998" t="s">
        <v>17</v>
      </c>
      <c r="AS17" s="3">
        <v>0</v>
      </c>
    </row>
    <row r="18" spans="15:45" ht="14.25" hidden="1" customHeight="1">
      <c r="AD18" s="261"/>
      <c r="AE18" s="261"/>
      <c r="AF18" s="261"/>
      <c r="AG18" s="247" t="str">
        <f>AH17&amp;"-"&amp;AJ17</f>
        <v>-</v>
      </c>
      <c r="AH18" s="998"/>
      <c r="AI18" s="998"/>
      <c r="AJ18" s="998"/>
      <c r="AK18" s="998"/>
      <c r="AS18" s="3">
        <v>0</v>
      </c>
    </row>
    <row r="19" spans="15:45" ht="14.25" hidden="1" customHeight="1">
      <c r="AS19" s="3">
        <v>0</v>
      </c>
    </row>
    <row r="20" spans="15:45" ht="22.5" hidden="1" customHeight="1">
      <c r="O20" s="263" t="s">
        <v>340</v>
      </c>
      <c r="Z20" s="263"/>
      <c r="AB20" s="263"/>
      <c r="AH20" s="263"/>
      <c r="AJ20" s="263"/>
      <c r="AS20" s="11">
        <v>0</v>
      </c>
    </row>
    <row r="21" spans="15:45" ht="14.25" hidden="1" customHeight="1">
      <c r="AS21" s="11">
        <v>0</v>
      </c>
    </row>
    <row r="22" spans="15:45" ht="14.25" hidden="1" customHeight="1">
      <c r="O22" s="237" t="s">
        <v>341</v>
      </c>
      <c r="T22" s="11" t="s">
        <v>342</v>
      </c>
      <c r="AA22" s="60" t="s">
        <v>343</v>
      </c>
      <c r="AC22" s="60" t="s">
        <v>344</v>
      </c>
      <c r="AD22" s="11" t="s">
        <v>342</v>
      </c>
      <c r="AI22" s="60" t="s">
        <v>345</v>
      </c>
      <c r="AK22" s="60" t="s">
        <v>344</v>
      </c>
      <c r="AS22" s="11">
        <v>0</v>
      </c>
    </row>
    <row r="23" spans="15:45" ht="14.25" hidden="1" customHeight="1">
      <c r="AS23" s="3">
        <v>0</v>
      </c>
    </row>
    <row r="24" spans="15:45" ht="14.25" hidden="1" customHeight="1">
      <c r="AS24" s="3">
        <v>0</v>
      </c>
    </row>
    <row r="25" spans="15:45" ht="14.65" customHeight="1">
      <c r="Q25" s="264"/>
      <c r="R25" s="264"/>
      <c r="S25" s="265"/>
      <c r="T25" s="12"/>
      <c r="U25" s="12"/>
      <c r="AS25" s="3">
        <v>14</v>
      </c>
    </row>
    <row r="26" spans="15:45" ht="54.75" customHeight="1">
      <c r="Q26" s="264"/>
      <c r="R26" s="264"/>
      <c r="S26" s="93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934"/>
      <c r="U26" s="934"/>
      <c r="V26" s="934"/>
      <c r="W26" s="934"/>
      <c r="X26" s="934"/>
      <c r="Y26" s="934"/>
      <c r="Z26" s="934"/>
      <c r="AA26" s="934"/>
      <c r="AB26" s="934"/>
      <c r="AC26" s="934"/>
      <c r="AD26" s="934"/>
      <c r="AE26" s="934"/>
      <c r="AF26" s="934"/>
      <c r="AG26" s="934"/>
      <c r="AH26" s="934"/>
      <c r="AI26" s="934"/>
      <c r="AJ26" s="934"/>
      <c r="AS26" s="3">
        <v>52</v>
      </c>
    </row>
    <row r="27" spans="15:45" ht="14.65" customHeight="1">
      <c r="Q27" s="264"/>
      <c r="R27" s="264"/>
      <c r="S27" s="955" t="e">
        <f>IF(org=0,"Не определено",org)</f>
        <v>#REF!</v>
      </c>
      <c r="T27" s="955"/>
      <c r="U27" s="955"/>
      <c r="V27" s="955"/>
      <c r="W27" s="955"/>
      <c r="X27" s="955"/>
      <c r="Y27" s="955"/>
      <c r="Z27" s="955"/>
      <c r="AA27" s="955"/>
      <c r="AB27" s="955"/>
      <c r="AC27" s="955"/>
      <c r="AD27" s="955"/>
      <c r="AE27" s="955"/>
      <c r="AF27" s="955"/>
      <c r="AG27" s="955"/>
      <c r="AH27" s="955"/>
      <c r="AI27" s="955"/>
      <c r="AJ27" s="955"/>
      <c r="AS27" s="3">
        <v>14</v>
      </c>
    </row>
    <row r="28" spans="15:45" ht="14.25" hidden="1" customHeight="1">
      <c r="Q28" s="264"/>
      <c r="R28" s="264"/>
      <c r="S28" s="265"/>
      <c r="T28" s="12"/>
      <c r="U28" s="12"/>
      <c r="V28" s="266"/>
      <c r="W28" s="266"/>
      <c r="X28" s="266"/>
      <c r="Y28" s="266"/>
      <c r="Z28" s="266"/>
      <c r="AA28" s="266"/>
      <c r="AB28" s="266"/>
      <c r="AC28" s="266"/>
      <c r="AD28" s="266"/>
      <c r="AE28" s="266"/>
      <c r="AF28" s="266"/>
      <c r="AG28" s="266"/>
      <c r="AH28" s="266"/>
      <c r="AI28" s="266"/>
      <c r="AJ28" s="266"/>
      <c r="AK28" s="266"/>
      <c r="AS28" s="3">
        <v>0</v>
      </c>
    </row>
    <row r="29" spans="15:45" ht="25.5" hidden="1" customHeight="1">
      <c r="S29" s="992" t="s">
        <v>9</v>
      </c>
      <c r="T29" s="992"/>
      <c r="U29" s="268"/>
      <c r="V29" s="994" t="e">
        <f>IF(TITLE_NAME_OR_PR_CHANGE="",IF(TITLE_NAME_OR_PR="","",TITLE_NAME_OR_PR),TITLE_NAME_OR_PR_CHANGE)</f>
        <v>#REF!</v>
      </c>
      <c r="W29" s="994"/>
      <c r="X29" s="994"/>
      <c r="Y29" s="994"/>
      <c r="Z29" s="994"/>
      <c r="AA29" s="994"/>
      <c r="AB29" s="994"/>
      <c r="AD29" s="994" t="e">
        <f>IF(TITLE_NAME_OR_PR_CHANGE="",IF(TITLE_NAME_OR_PR="","",TITLE_NAME_OR_PR),TITLE_NAME_OR_PR_CHANGE)</f>
        <v>#REF!</v>
      </c>
      <c r="AE29" s="994"/>
      <c r="AF29" s="994"/>
      <c r="AG29" s="994"/>
      <c r="AH29" s="994"/>
      <c r="AI29" s="994"/>
      <c r="AJ29" s="994"/>
      <c r="AS29" s="50">
        <v>0</v>
      </c>
    </row>
    <row r="30" spans="15:45" ht="18.75" hidden="1" customHeight="1">
      <c r="S30" s="992" t="s">
        <v>346</v>
      </c>
      <c r="T30" s="992"/>
      <c r="U30" s="268"/>
      <c r="V30" s="993" t="e">
        <f>IF(TITLE_DATE_PR_CHANGE="",IF(TITLE_DATE_PR="","",TITLE_DATE_PR),TITLE_DATE_PR_CHANGE)</f>
        <v>#REF!</v>
      </c>
      <c r="W30" s="993"/>
      <c r="X30" s="993"/>
      <c r="Y30" s="993"/>
      <c r="Z30" s="993"/>
      <c r="AA30" s="993"/>
      <c r="AB30" s="993"/>
      <c r="AD30" s="993" t="e">
        <f>IF(TITLE_DATE_PR_CHANGE="",IF(TITLE_DATE_PR="","",TITLE_DATE_PR),TITLE_DATE_PR_CHANGE)</f>
        <v>#REF!</v>
      </c>
      <c r="AE30" s="993"/>
      <c r="AF30" s="993"/>
      <c r="AG30" s="993"/>
      <c r="AH30" s="993"/>
      <c r="AI30" s="993"/>
      <c r="AJ30" s="993"/>
      <c r="AS30" s="50">
        <v>0</v>
      </c>
    </row>
    <row r="31" spans="15:45" ht="18.75" hidden="1" customHeight="1">
      <c r="S31" s="992" t="s">
        <v>347</v>
      </c>
      <c r="T31" s="992"/>
      <c r="U31" s="268"/>
      <c r="V31" s="994" t="e">
        <f>IF(TITLE_NUMBER_PR_CHANGE="",IF(TITLE_NUMBER_PR="","",TITLE_NUMBER_PR),TITLE_NUMBER_PR_CHANGE)</f>
        <v>#REF!</v>
      </c>
      <c r="W31" s="994"/>
      <c r="X31" s="994"/>
      <c r="Y31" s="994"/>
      <c r="Z31" s="994"/>
      <c r="AA31" s="994"/>
      <c r="AB31" s="994"/>
      <c r="AD31" s="994" t="e">
        <f>IF(TITLE_NUMBER_PR_CHANGE="",IF(TITLE_NUMBER_PR="","",TITLE_NUMBER_PR),TITLE_NUMBER_PR_CHANGE)</f>
        <v>#REF!</v>
      </c>
      <c r="AE31" s="994"/>
      <c r="AF31" s="994"/>
      <c r="AG31" s="994"/>
      <c r="AH31" s="994"/>
      <c r="AI31" s="994"/>
      <c r="AJ31" s="994"/>
      <c r="AS31" s="50">
        <v>0</v>
      </c>
    </row>
    <row r="32" spans="15:45" ht="18.75" hidden="1" customHeight="1">
      <c r="S32" s="992" t="s">
        <v>10</v>
      </c>
      <c r="T32" s="992"/>
      <c r="U32" s="268"/>
      <c r="V32" s="994" t="e">
        <f>IF(TITLE_IST_PUB_CHANGE="",IF(TITLE_IST_PUB="","",TITLE_IST_PUB),TITLE_IST_PUB_CHANGE)</f>
        <v>#REF!</v>
      </c>
      <c r="W32" s="994"/>
      <c r="X32" s="994"/>
      <c r="Y32" s="994"/>
      <c r="Z32" s="994"/>
      <c r="AA32" s="994"/>
      <c r="AB32" s="994"/>
      <c r="AD32" s="994" t="e">
        <f>IF(TITLE_IST_PUB_CHANGE="",IF(TITLE_IST_PUB="","",TITLE_IST_PUB),TITLE_IST_PUB_CHANGE)</f>
        <v>#REF!</v>
      </c>
      <c r="AE32" s="994"/>
      <c r="AF32" s="994"/>
      <c r="AG32" s="994"/>
      <c r="AH32" s="994"/>
      <c r="AI32" s="994"/>
      <c r="AJ32" s="994"/>
      <c r="AS32" s="50">
        <v>0</v>
      </c>
    </row>
    <row r="33" spans="1:45" ht="14.25" hidden="1" customHeight="1">
      <c r="Q33" s="264"/>
      <c r="R33" s="264"/>
      <c r="S33" s="265"/>
      <c r="T33" s="12"/>
      <c r="U33" s="12"/>
      <c r="V33" s="266"/>
      <c r="W33" s="266"/>
      <c r="X33" s="266"/>
      <c r="Y33" s="266"/>
      <c r="Z33" s="266"/>
      <c r="AA33" s="266"/>
      <c r="AB33" s="266"/>
      <c r="AC33" s="266"/>
      <c r="AD33" s="266"/>
      <c r="AE33" s="266"/>
      <c r="AF33" s="266"/>
      <c r="AG33" s="266"/>
      <c r="AH33" s="266"/>
      <c r="AI33" s="266"/>
      <c r="AJ33" s="266"/>
      <c r="AK33" s="266"/>
      <c r="AS33" s="3">
        <v>0</v>
      </c>
    </row>
    <row r="34" spans="1:45" ht="18.75" hidden="1" customHeight="1">
      <c r="S34" s="992" t="s">
        <v>348</v>
      </c>
      <c r="T34" s="992"/>
      <c r="U34" s="268"/>
      <c r="V34" s="993" t="e">
        <f>IF(TITLE_DATE_PR_CHANGE="",IF(TITLE_DATE_PR="","",TITLE_DATE_PR),TITLE_DATE_PR_CHANGE)</f>
        <v>#REF!</v>
      </c>
      <c r="W34" s="993"/>
      <c r="X34" s="993"/>
      <c r="Y34" s="993"/>
      <c r="Z34" s="993"/>
      <c r="AA34" s="993"/>
      <c r="AB34" s="993"/>
      <c r="AD34" s="993" t="e">
        <f>IF(TITLE_DATE_PR_CHANGE="",IF(TITLE_DATE_PR="","",TITLE_DATE_PR),TITLE_DATE_PR_CHANGE)</f>
        <v>#REF!</v>
      </c>
      <c r="AE34" s="993"/>
      <c r="AF34" s="993"/>
      <c r="AG34" s="993"/>
      <c r="AH34" s="993"/>
      <c r="AI34" s="993"/>
      <c r="AJ34" s="993"/>
      <c r="AS34" s="50">
        <v>0</v>
      </c>
    </row>
    <row r="35" spans="1:45" ht="18.75" hidden="1" customHeight="1">
      <c r="S35" s="992" t="s">
        <v>349</v>
      </c>
      <c r="T35" s="992"/>
      <c r="U35" s="268"/>
      <c r="V35" s="994" t="e">
        <f>IF(TITLE_NUMBER_PR_CHANGE="",IF(TITLE_NUMBER_PR="","",TITLE_NUMBER_PR),TITLE_NUMBER_PR_CHANGE)</f>
        <v>#REF!</v>
      </c>
      <c r="W35" s="994"/>
      <c r="X35" s="994"/>
      <c r="Y35" s="994"/>
      <c r="Z35" s="994"/>
      <c r="AA35" s="994"/>
      <c r="AB35" s="994"/>
      <c r="AD35" s="994" t="e">
        <f>IF(TITLE_NUMBER_PR_CHANGE="",IF(TITLE_NUMBER_PR="","",TITLE_NUMBER_PR),TITLE_NUMBER_PR_CHANGE)</f>
        <v>#REF!</v>
      </c>
      <c r="AE35" s="994"/>
      <c r="AF35" s="994"/>
      <c r="AG35" s="994"/>
      <c r="AH35" s="994"/>
      <c r="AI35" s="994"/>
      <c r="AJ35" s="994"/>
      <c r="AS35" s="50">
        <v>0</v>
      </c>
    </row>
    <row r="36" spans="1:45" ht="0" hidden="1" customHeight="1">
      <c r="AC36" s="24" t="s">
        <v>350</v>
      </c>
      <c r="AK36" s="24" t="s">
        <v>350</v>
      </c>
      <c r="AS36" s="50">
        <v>0</v>
      </c>
    </row>
    <row r="37" spans="1:45" ht="14.65" customHeight="1">
      <c r="Q37" s="264"/>
      <c r="R37" s="264"/>
      <c r="S37" s="265"/>
      <c r="T37" s="12"/>
      <c r="U37" s="270"/>
      <c r="V37" s="1012"/>
      <c r="W37" s="1012"/>
      <c r="X37" s="1012"/>
      <c r="Y37" s="1012"/>
      <c r="Z37" s="1012"/>
      <c r="AA37" s="1012"/>
      <c r="AB37" s="1012"/>
      <c r="AC37" s="1012"/>
      <c r="AD37" s="1012"/>
      <c r="AE37" s="1012"/>
      <c r="AF37" s="1012"/>
      <c r="AG37" s="1012"/>
      <c r="AH37" s="1012"/>
      <c r="AI37" s="1012"/>
      <c r="AJ37" s="1012"/>
      <c r="AK37" s="1012"/>
      <c r="AS37" s="3">
        <v>14</v>
      </c>
    </row>
    <row r="38" spans="1:45" ht="14.65" customHeight="1">
      <c r="Q38" s="264"/>
      <c r="R38" s="264"/>
      <c r="S38" s="894" t="s">
        <v>223</v>
      </c>
      <c r="T38" s="894"/>
      <c r="U38" s="894"/>
      <c r="V38" s="894"/>
      <c r="W38" s="894"/>
      <c r="X38" s="894"/>
      <c r="Y38" s="894"/>
      <c r="Z38" s="894"/>
      <c r="AA38" s="894"/>
      <c r="AB38" s="894"/>
      <c r="AC38" s="894"/>
      <c r="AD38" s="894"/>
      <c r="AE38" s="894"/>
      <c r="AF38" s="894"/>
      <c r="AG38" s="894"/>
      <c r="AH38" s="894"/>
      <c r="AI38" s="894"/>
      <c r="AJ38" s="894"/>
      <c r="AK38" s="894"/>
      <c r="AL38" s="894"/>
      <c r="AM38" s="894" t="s">
        <v>224</v>
      </c>
      <c r="AS38" s="3">
        <v>14</v>
      </c>
    </row>
    <row r="39" spans="1:45" ht="14.65" customHeight="1">
      <c r="Q39" s="264"/>
      <c r="R39" s="264"/>
      <c r="S39" s="1013" t="s">
        <v>24</v>
      </c>
      <c r="T39" s="962" t="s">
        <v>351</v>
      </c>
      <c r="U39" s="272"/>
      <c r="V39" s="1014" t="s">
        <v>352</v>
      </c>
      <c r="W39" s="1015"/>
      <c r="X39" s="1015"/>
      <c r="Y39" s="1015"/>
      <c r="Z39" s="1015"/>
      <c r="AA39" s="1015"/>
      <c r="AB39" s="1016"/>
      <c r="AC39" s="1017" t="s">
        <v>353</v>
      </c>
      <c r="AD39" s="1014" t="s">
        <v>352</v>
      </c>
      <c r="AE39" s="1015"/>
      <c r="AF39" s="1015"/>
      <c r="AG39" s="1015"/>
      <c r="AH39" s="1015"/>
      <c r="AI39" s="1015"/>
      <c r="AJ39" s="1016"/>
      <c r="AK39" s="1017" t="s">
        <v>354</v>
      </c>
      <c r="AL39" s="1020" t="s">
        <v>355</v>
      </c>
      <c r="AM39" s="894"/>
      <c r="AS39" s="3">
        <v>14</v>
      </c>
    </row>
    <row r="40" spans="1:45" ht="35.65" customHeight="1">
      <c r="Q40" s="264"/>
      <c r="R40" s="264"/>
      <c r="S40" s="1013"/>
      <c r="T40" s="962"/>
      <c r="U40" s="274"/>
      <c r="V40" s="935" t="s">
        <v>356</v>
      </c>
      <c r="W40" s="1009"/>
      <c r="X40" s="887" t="s">
        <v>358</v>
      </c>
      <c r="Y40" s="886"/>
      <c r="Z40" s="887" t="s">
        <v>359</v>
      </c>
      <c r="AA40" s="890"/>
      <c r="AB40" s="886"/>
      <c r="AC40" s="1018"/>
      <c r="AD40" s="935" t="s">
        <v>373</v>
      </c>
      <c r="AE40" s="1009"/>
      <c r="AF40" s="887" t="s">
        <v>358</v>
      </c>
      <c r="AG40" s="886"/>
      <c r="AH40" s="887" t="s">
        <v>359</v>
      </c>
      <c r="AI40" s="890"/>
      <c r="AJ40" s="886"/>
      <c r="AK40" s="1018"/>
      <c r="AL40" s="1021"/>
      <c r="AM40" s="894"/>
      <c r="AS40" s="3">
        <v>34</v>
      </c>
    </row>
    <row r="41" spans="1:45" ht="35.65" customHeight="1">
      <c r="B41" s="60" t="s">
        <v>60</v>
      </c>
      <c r="C41" s="60" t="s">
        <v>61</v>
      </c>
      <c r="D41" s="60" t="s">
        <v>62</v>
      </c>
      <c r="E41" s="237" t="s">
        <v>360</v>
      </c>
      <c r="F41" s="237" t="s">
        <v>361</v>
      </c>
      <c r="G41" s="237" t="s">
        <v>362</v>
      </c>
      <c r="H41" s="237" t="s">
        <v>363</v>
      </c>
      <c r="I41" s="237" t="s">
        <v>364</v>
      </c>
      <c r="J41" s="237" t="s">
        <v>365</v>
      </c>
      <c r="K41" s="237" t="s">
        <v>366</v>
      </c>
      <c r="L41" s="237" t="s">
        <v>341</v>
      </c>
      <c r="Q41" s="264"/>
      <c r="R41" s="264"/>
      <c r="S41" s="1013"/>
      <c r="T41" s="962"/>
      <c r="U41" s="275"/>
      <c r="V41" s="987"/>
      <c r="W41" s="1010"/>
      <c r="X41" s="65" t="s">
        <v>367</v>
      </c>
      <c r="Y41" s="65" t="s">
        <v>368</v>
      </c>
      <c r="Z41" s="65" t="s">
        <v>369</v>
      </c>
      <c r="AA41" s="967" t="s">
        <v>370</v>
      </c>
      <c r="AB41" s="981"/>
      <c r="AC41" s="1019"/>
      <c r="AD41" s="987"/>
      <c r="AE41" s="1010"/>
      <c r="AF41" s="65" t="s">
        <v>367</v>
      </c>
      <c r="AG41" s="65" t="s">
        <v>368</v>
      </c>
      <c r="AH41" s="65" t="s">
        <v>369</v>
      </c>
      <c r="AI41" s="967" t="s">
        <v>370</v>
      </c>
      <c r="AJ41" s="981"/>
      <c r="AK41" s="1019"/>
      <c r="AL41" s="1022"/>
      <c r="AM41" s="894"/>
      <c r="AS41" s="3">
        <v>34</v>
      </c>
    </row>
    <row r="42" spans="1:45" ht="11.25" hidden="1" customHeight="1">
      <c r="Q42" s="278"/>
      <c r="R42" s="279">
        <v>1</v>
      </c>
      <c r="S42" s="280" t="s">
        <v>31</v>
      </c>
      <c r="T42" s="281" t="s">
        <v>39</v>
      </c>
      <c r="U42" s="282" t="str">
        <f ca="1">OFFSET(U42,0,-1)</f>
        <v>2</v>
      </c>
      <c r="V42" s="283">
        <f ca="1">OFFSET(V42,0,-1)+1</f>
        <v>3</v>
      </c>
      <c r="W42" s="283"/>
      <c r="X42" s="283">
        <f ca="1">OFFSET(X42,0,-1)+1</f>
        <v>1</v>
      </c>
      <c r="Y42" s="283">
        <f ca="1">OFFSET(Y42,0,-1)+1</f>
        <v>2</v>
      </c>
      <c r="Z42" s="283">
        <f ca="1">OFFSET(Z42,0,-1)+1</f>
        <v>3</v>
      </c>
      <c r="AA42" s="1011">
        <f ca="1">OFFSET(AA42,0,-1)+1</f>
        <v>4</v>
      </c>
      <c r="AB42" s="1011"/>
      <c r="AC42" s="283">
        <f ca="1">OFFSET(AC42,0,-2)+1</f>
        <v>5</v>
      </c>
      <c r="AD42" s="283">
        <f ca="1">OFFSET(AD42,0,-1)+1</f>
        <v>6</v>
      </c>
      <c r="AE42" s="283"/>
      <c r="AF42" s="283">
        <f ca="1">OFFSET(AF42,0,-1)+1</f>
        <v>1</v>
      </c>
      <c r="AG42" s="283">
        <f ca="1">OFFSET(AG42,0,-1)+1</f>
        <v>2</v>
      </c>
      <c r="AH42" s="283">
        <f ca="1">OFFSET(AH42,0,-1)+1</f>
        <v>3</v>
      </c>
      <c r="AI42" s="1011">
        <f ca="1">OFFSET(AI42,0,-1)+1</f>
        <v>4</v>
      </c>
      <c r="AJ42" s="1011"/>
      <c r="AK42" s="283">
        <f ca="1">OFFSET(AK42,0,-2)+1</f>
        <v>5</v>
      </c>
      <c r="AL42" s="282">
        <f ca="1">OFFSET(AL42,0,-1)</f>
        <v>5</v>
      </c>
      <c r="AM42" s="283">
        <f ca="1">OFFSET(AM42,0,-1)+1</f>
        <v>6</v>
      </c>
      <c r="AS42" s="189">
        <v>0</v>
      </c>
    </row>
    <row r="43" spans="1:45" ht="21.95" customHeight="1">
      <c r="A43" s="284" t="s">
        <v>105</v>
      </c>
      <c r="E43" s="1000">
        <v>1</v>
      </c>
      <c r="R43" s="225"/>
      <c r="S43" s="226">
        <f>INDEX(PT_DIFFERENTIATION_NUM_NTAR,MATCH(A43,PT_DIFFERENTIATION_NTAR_ID,0))</f>
        <v>0</v>
      </c>
      <c r="T43" s="227" t="s">
        <v>48</v>
      </c>
      <c r="U43" s="228"/>
      <c r="V43" s="995"/>
      <c r="W43" s="996"/>
      <c r="X43" s="996"/>
      <c r="Y43" s="996"/>
      <c r="Z43" s="996"/>
      <c r="AA43" s="996"/>
      <c r="AB43" s="996"/>
      <c r="AC43" s="997"/>
      <c r="AD43" s="995" t="str">
        <f>INDEX(PT_DIFFERENTIATION_NTAR,MATCH(A43,PT_DIFFERENTIATION_NTAR_ID,0))</f>
        <v/>
      </c>
      <c r="AE43" s="996"/>
      <c r="AF43" s="996"/>
      <c r="AG43" s="996"/>
      <c r="AH43" s="996"/>
      <c r="AI43" s="996"/>
      <c r="AJ43" s="996"/>
      <c r="AK43" s="996"/>
      <c r="AL43" s="997"/>
      <c r="AM43" s="23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P43" s="29" t="str">
        <f t="shared" ref="AP43:AP57" si="1">IF(T43="","",T43)</f>
        <v>Наименование тарифа</v>
      </c>
      <c r="AS43" s="3">
        <v>21</v>
      </c>
    </row>
    <row r="44" spans="1:45" ht="21.95" customHeight="1">
      <c r="A44" s="284" t="s">
        <v>105</v>
      </c>
      <c r="B44" s="284" t="s">
        <v>106</v>
      </c>
      <c r="E44" s="1001"/>
      <c r="F44" s="1000">
        <v>1</v>
      </c>
      <c r="Q44" s="231"/>
      <c r="R44" s="232"/>
      <c r="S44" s="226" t="str">
        <f>INDEX(PT_DIFFERENTIATION_NUM_TER,MATCH(B44,PT_DIFFERENTIATION_TER_ID,0))</f>
        <v>.</v>
      </c>
      <c r="T44" s="233" t="s">
        <v>320</v>
      </c>
      <c r="U44" s="228"/>
      <c r="V44" s="995"/>
      <c r="W44" s="996"/>
      <c r="X44" s="996"/>
      <c r="Y44" s="996"/>
      <c r="Z44" s="996"/>
      <c r="AA44" s="996"/>
      <c r="AB44" s="996"/>
      <c r="AC44" s="997"/>
      <c r="AD44" s="995" t="str">
        <f>INDEX(PT_DIFFERENTIATION_TER,MATCH(B44,PT_DIFFERENTIATION_TER_ID,0))</f>
        <v/>
      </c>
      <c r="AE44" s="996"/>
      <c r="AF44" s="996"/>
      <c r="AG44" s="996"/>
      <c r="AH44" s="996"/>
      <c r="AI44" s="996"/>
      <c r="AJ44" s="996"/>
      <c r="AK44" s="996"/>
      <c r="AL44" s="997"/>
      <c r="AM44" s="230" t="s">
        <v>321</v>
      </c>
      <c r="AP44" s="29" t="str">
        <f t="shared" si="1"/>
        <v>Территория действия тарифа</v>
      </c>
      <c r="AS44" s="3">
        <v>21</v>
      </c>
    </row>
    <row r="45" spans="1:45" ht="24" customHeight="1">
      <c r="A45" s="284" t="s">
        <v>105</v>
      </c>
      <c r="B45" s="284" t="s">
        <v>106</v>
      </c>
      <c r="C45" s="284" t="s">
        <v>107</v>
      </c>
      <c r="E45" s="1001"/>
      <c r="F45" s="1001"/>
      <c r="G45" s="1000">
        <v>1</v>
      </c>
      <c r="Q45" s="231"/>
      <c r="R45" s="232"/>
      <c r="S45" s="226" t="str">
        <f>INDEX(PT_DIFFERENTIATION_NUM_CS,MATCH(C45,PT_DIFFERENTIATION_CS_ID,0))</f>
        <v>..</v>
      </c>
      <c r="T45" s="234" t="s">
        <v>322</v>
      </c>
      <c r="U45" s="228"/>
      <c r="V45" s="995"/>
      <c r="W45" s="996"/>
      <c r="X45" s="996"/>
      <c r="Y45" s="996"/>
      <c r="Z45" s="996"/>
      <c r="AA45" s="996"/>
      <c r="AB45" s="996"/>
      <c r="AC45" s="997"/>
      <c r="AD45" s="995" t="str">
        <f>INDEX(PT_DIFFERENTIATION_CS,MATCH(C45,PT_DIFFERENTIATION_CS_ID,0))</f>
        <v/>
      </c>
      <c r="AE45" s="996"/>
      <c r="AF45" s="996"/>
      <c r="AG45" s="996"/>
      <c r="AH45" s="996"/>
      <c r="AI45" s="996"/>
      <c r="AJ45" s="996"/>
      <c r="AK45" s="996"/>
      <c r="AL45" s="997"/>
      <c r="AM45" s="230" t="s">
        <v>323</v>
      </c>
      <c r="AP45" s="29" t="str">
        <f t="shared" si="1"/>
        <v xml:space="preserve">Наименование системы теплоснабжения </v>
      </c>
      <c r="AS45" s="3">
        <v>23</v>
      </c>
    </row>
    <row r="46" spans="1:45" ht="21.95" customHeight="1">
      <c r="A46" s="284" t="s">
        <v>105</v>
      </c>
      <c r="B46" s="284" t="s">
        <v>106</v>
      </c>
      <c r="C46" s="284" t="s">
        <v>107</v>
      </c>
      <c r="D46" s="284" t="s">
        <v>108</v>
      </c>
      <c r="E46" s="1001"/>
      <c r="F46" s="1001"/>
      <c r="G46" s="1001"/>
      <c r="H46" s="1000">
        <v>1</v>
      </c>
      <c r="Q46" s="231"/>
      <c r="R46" s="232"/>
      <c r="S46" s="226" t="str">
        <f>INDEX(PT_DIFFERENTIATION_NUM_IST_TE,MATCH(D46,PT_DIFFERENTIATION_IST_TE_ID,0))</f>
        <v>...</v>
      </c>
      <c r="T46" s="235" t="s">
        <v>324</v>
      </c>
      <c r="U46" s="228"/>
      <c r="V46" s="995"/>
      <c r="W46" s="996"/>
      <c r="X46" s="996"/>
      <c r="Y46" s="996"/>
      <c r="Z46" s="996"/>
      <c r="AA46" s="996"/>
      <c r="AB46" s="996"/>
      <c r="AC46" s="997"/>
      <c r="AD46" s="995" t="str">
        <f>INDEX(PT_DIFFERENTIATION_IST_TE,MATCH(D46,PT_DIFFERENTIATION_IST_TE_ID,0))</f>
        <v/>
      </c>
      <c r="AE46" s="996"/>
      <c r="AF46" s="996"/>
      <c r="AG46" s="996"/>
      <c r="AH46" s="996"/>
      <c r="AI46" s="996"/>
      <c r="AJ46" s="996"/>
      <c r="AK46" s="996"/>
      <c r="AL46" s="997"/>
      <c r="AM46" s="230" t="s">
        <v>325</v>
      </c>
      <c r="AP46" s="29" t="str">
        <f t="shared" si="1"/>
        <v xml:space="preserve">Источник тепловой энергии  </v>
      </c>
      <c r="AS46" s="3">
        <v>21</v>
      </c>
    </row>
    <row r="47" spans="1:45" ht="0" hidden="1" customHeight="1">
      <c r="A47" s="21" t="s">
        <v>105</v>
      </c>
      <c r="B47" s="21" t="s">
        <v>106</v>
      </c>
      <c r="C47" s="21" t="s">
        <v>107</v>
      </c>
      <c r="D47" s="21" t="s">
        <v>108</v>
      </c>
      <c r="E47" s="1001"/>
      <c r="F47" s="1001"/>
      <c r="G47" s="1001"/>
      <c r="H47" s="1001"/>
      <c r="I47" s="1002" t="str">
        <f>S46&amp;".1"</f>
        <v>....1</v>
      </c>
      <c r="L47" s="302" t="s">
        <v>326</v>
      </c>
      <c r="P47" s="1004">
        <v>1</v>
      </c>
      <c r="R47" s="238"/>
      <c r="S47" s="124"/>
      <c r="T47" s="294"/>
      <c r="U47" s="295"/>
      <c r="V47" s="1031"/>
      <c r="W47" s="1032"/>
      <c r="X47" s="1032"/>
      <c r="Y47" s="1032"/>
      <c r="Z47" s="1032"/>
      <c r="AA47" s="1032"/>
      <c r="AB47" s="1032"/>
      <c r="AC47" s="1033"/>
      <c r="AD47" s="1031"/>
      <c r="AE47" s="1032"/>
      <c r="AF47" s="1032"/>
      <c r="AG47" s="1032"/>
      <c r="AH47" s="1032"/>
      <c r="AI47" s="1032"/>
      <c r="AJ47" s="1032"/>
      <c r="AK47" s="1032"/>
      <c r="AL47" s="1033"/>
      <c r="AM47" s="297"/>
      <c r="AP47" s="29" t="str">
        <f t="shared" si="1"/>
        <v/>
      </c>
      <c r="AS47" s="24">
        <v>0</v>
      </c>
    </row>
    <row r="48" spans="1:45" ht="21.95" customHeight="1">
      <c r="A48" s="284" t="s">
        <v>105</v>
      </c>
      <c r="B48" s="284" t="s">
        <v>106</v>
      </c>
      <c r="C48" s="284" t="s">
        <v>107</v>
      </c>
      <c r="D48" s="284" t="s">
        <v>108</v>
      </c>
      <c r="E48" s="1001"/>
      <c r="F48" s="1001"/>
      <c r="G48" s="1001"/>
      <c r="H48" s="1001"/>
      <c r="I48" s="1003"/>
      <c r="J48" s="1002" t="str">
        <f>S46&amp;".1"</f>
        <v>....1</v>
      </c>
      <c r="L48" s="237" t="s">
        <v>329</v>
      </c>
      <c r="P48" s="885"/>
      <c r="Q48" s="1004">
        <v>1</v>
      </c>
      <c r="R48" s="240"/>
      <c r="S48" s="226" t="str">
        <f>$J48</f>
        <v>....1</v>
      </c>
      <c r="T48" s="241" t="s">
        <v>330</v>
      </c>
      <c r="U48" s="228"/>
      <c r="V48" s="989"/>
      <c r="W48" s="990"/>
      <c r="X48" s="990"/>
      <c r="Y48" s="990"/>
      <c r="Z48" s="990"/>
      <c r="AA48" s="990"/>
      <c r="AB48" s="990"/>
      <c r="AC48" s="991"/>
      <c r="AD48" s="989"/>
      <c r="AE48" s="990"/>
      <c r="AF48" s="990"/>
      <c r="AG48" s="990"/>
      <c r="AH48" s="990"/>
      <c r="AI48" s="990"/>
      <c r="AJ48" s="990"/>
      <c r="AK48" s="990"/>
      <c r="AL48" s="991"/>
      <c r="AM48" s="230" t="s">
        <v>331</v>
      </c>
      <c r="AP48" s="29" t="str">
        <f t="shared" si="1"/>
        <v>Группа потребителей</v>
      </c>
      <c r="AS48" s="3">
        <v>21</v>
      </c>
    </row>
    <row r="49" spans="1:45" ht="21.95" customHeight="1">
      <c r="A49" s="284" t="s">
        <v>105</v>
      </c>
      <c r="B49" s="284" t="s">
        <v>106</v>
      </c>
      <c r="C49" s="284" t="s">
        <v>107</v>
      </c>
      <c r="D49" s="284" t="s">
        <v>108</v>
      </c>
      <c r="E49" s="1001"/>
      <c r="F49" s="1001"/>
      <c r="G49" s="1001"/>
      <c r="H49" s="1001"/>
      <c r="I49" s="1003"/>
      <c r="J49" s="1003"/>
      <c r="K49" s="1002" t="str">
        <f>J48&amp;".1"</f>
        <v>....1.1</v>
      </c>
      <c r="L49" s="237" t="s">
        <v>332</v>
      </c>
      <c r="P49" s="885"/>
      <c r="Q49" s="885"/>
      <c r="R49" s="240">
        <v>1</v>
      </c>
      <c r="S49" s="226" t="str">
        <f>$K49</f>
        <v>....1.1</v>
      </c>
      <c r="T49" s="242"/>
      <c r="U49" s="228"/>
      <c r="V49" s="243"/>
      <c r="W49" s="244"/>
      <c r="X49" s="243"/>
      <c r="Y49" s="245"/>
      <c r="Z49" s="1005"/>
      <c r="AA49" s="895" t="s">
        <v>17</v>
      </c>
      <c r="AB49" s="1005"/>
      <c r="AC49" s="895" t="s">
        <v>17</v>
      </c>
      <c r="AD49" s="243"/>
      <c r="AE49" s="244"/>
      <c r="AF49" s="243"/>
      <c r="AG49" s="245"/>
      <c r="AH49" s="1005"/>
      <c r="AI49" s="895" t="s">
        <v>17</v>
      </c>
      <c r="AJ49" s="1007"/>
      <c r="AK49" s="895" t="s">
        <v>17</v>
      </c>
      <c r="AL49" s="285"/>
      <c r="AM49" s="1023" t="s">
        <v>374</v>
      </c>
      <c r="AN49" s="24" t="e">
        <f ca="1">STRCHECKDATE(V50:AL50)</f>
        <v>#NAME?</v>
      </c>
      <c r="AP49" s="29" t="str">
        <f t="shared" si="1"/>
        <v/>
      </c>
      <c r="AS49" s="3">
        <v>21</v>
      </c>
    </row>
    <row r="50" spans="1:45" ht="1.1499999999999999" customHeight="1">
      <c r="A50" s="284" t="s">
        <v>105</v>
      </c>
      <c r="B50" s="284" t="s">
        <v>106</v>
      </c>
      <c r="C50" s="284" t="s">
        <v>107</v>
      </c>
      <c r="D50" s="284" t="s">
        <v>108</v>
      </c>
      <c r="E50" s="1001"/>
      <c r="F50" s="1001"/>
      <c r="G50" s="1001"/>
      <c r="H50" s="1001"/>
      <c r="I50" s="1003"/>
      <c r="J50" s="1003"/>
      <c r="K50" s="1002"/>
      <c r="P50" s="885"/>
      <c r="Q50" s="885"/>
      <c r="R50" s="240"/>
      <c r="S50" s="209"/>
      <c r="T50" s="228"/>
      <c r="U50" s="228"/>
      <c r="V50" s="244"/>
      <c r="W50" s="244"/>
      <c r="X50" s="244"/>
      <c r="Y50" s="247" t="str">
        <f>Z49&amp;"-"&amp;AB49</f>
        <v>-</v>
      </c>
      <c r="Z50" s="1006"/>
      <c r="AA50" s="895"/>
      <c r="AB50" s="1006"/>
      <c r="AC50" s="895"/>
      <c r="AD50" s="244"/>
      <c r="AE50" s="244"/>
      <c r="AF50" s="244"/>
      <c r="AG50" s="247" t="str">
        <f>AH49&amp;"-"&amp;AJ49</f>
        <v>-</v>
      </c>
      <c r="AH50" s="1006"/>
      <c r="AI50" s="895"/>
      <c r="AJ50" s="1008"/>
      <c r="AK50" s="895"/>
      <c r="AL50" s="286"/>
      <c r="AM50" s="1024"/>
      <c r="AP50" s="29" t="str">
        <f t="shared" si="1"/>
        <v/>
      </c>
      <c r="AS50" s="3">
        <v>1</v>
      </c>
    </row>
    <row r="51" spans="1:45" ht="11.45" customHeight="1">
      <c r="A51" s="284" t="s">
        <v>105</v>
      </c>
      <c r="B51" s="284" t="s">
        <v>106</v>
      </c>
      <c r="C51" s="284" t="s">
        <v>107</v>
      </c>
      <c r="D51" s="284" t="s">
        <v>108</v>
      </c>
      <c r="E51" s="1001"/>
      <c r="F51" s="1001"/>
      <c r="G51" s="1001"/>
      <c r="H51" s="1001"/>
      <c r="I51" s="1003"/>
      <c r="J51" s="1002"/>
      <c r="P51" s="885"/>
      <c r="Q51" s="885"/>
      <c r="R51" s="238"/>
      <c r="S51" s="249"/>
      <c r="T51" s="252" t="s">
        <v>334</v>
      </c>
      <c r="U51" s="54"/>
      <c r="V51" s="54"/>
      <c r="W51" s="54"/>
      <c r="X51" s="54"/>
      <c r="Y51" s="54"/>
      <c r="Z51" s="54"/>
      <c r="AA51" s="54"/>
      <c r="AB51" s="54"/>
      <c r="AC51" s="54"/>
      <c r="AD51" s="54"/>
      <c r="AE51" s="54"/>
      <c r="AF51" s="54"/>
      <c r="AG51" s="54"/>
      <c r="AH51" s="54"/>
      <c r="AI51" s="54"/>
      <c r="AJ51" s="54"/>
      <c r="AK51" s="54"/>
      <c r="AL51" s="251"/>
      <c r="AM51" s="1025"/>
      <c r="AP51" s="29" t="str">
        <f t="shared" si="1"/>
        <v>Добавить вид теплоносителя (параметры теплоносителя)</v>
      </c>
      <c r="AS51" s="3">
        <v>11</v>
      </c>
    </row>
    <row r="52" spans="1:45" ht="11.45" customHeight="1">
      <c r="A52" s="284" t="s">
        <v>105</v>
      </c>
      <c r="B52" s="284" t="s">
        <v>106</v>
      </c>
      <c r="C52" s="284" t="s">
        <v>107</v>
      </c>
      <c r="D52" s="284" t="s">
        <v>108</v>
      </c>
      <c r="E52" s="1001"/>
      <c r="F52" s="1001"/>
      <c r="G52" s="1001"/>
      <c r="H52" s="1001"/>
      <c r="I52" s="1002"/>
      <c r="P52" s="885"/>
      <c r="R52" s="238"/>
      <c r="S52" s="249"/>
      <c r="T52" s="255" t="s">
        <v>335</v>
      </c>
      <c r="U52" s="54"/>
      <c r="V52" s="54"/>
      <c r="W52" s="54"/>
      <c r="X52" s="54"/>
      <c r="Y52" s="54"/>
      <c r="Z52" s="54"/>
      <c r="AA52" s="54"/>
      <c r="AB52" s="54"/>
      <c r="AC52" s="253"/>
      <c r="AD52" s="54"/>
      <c r="AE52" s="54"/>
      <c r="AF52" s="54"/>
      <c r="AG52" s="54"/>
      <c r="AH52" s="54"/>
      <c r="AI52" s="54"/>
      <c r="AJ52" s="54"/>
      <c r="AK52" s="253"/>
      <c r="AL52" s="54"/>
      <c r="AM52" s="254"/>
      <c r="AP52" s="29" t="str">
        <f t="shared" si="1"/>
        <v>Добавить группу потребителей</v>
      </c>
      <c r="AS52" s="3">
        <v>11</v>
      </c>
    </row>
    <row r="53" spans="1:45" ht="0" hidden="1" customHeight="1">
      <c r="A53" s="284" t="s">
        <v>105</v>
      </c>
      <c r="B53" s="284" t="s">
        <v>106</v>
      </c>
      <c r="C53" s="284" t="s">
        <v>107</v>
      </c>
      <c r="D53" s="284" t="s">
        <v>108</v>
      </c>
      <c r="E53" s="1001"/>
      <c r="F53" s="1001"/>
      <c r="G53" s="1001"/>
      <c r="H53" s="1000"/>
      <c r="R53" s="225"/>
      <c r="S53" s="298"/>
      <c r="T53" s="299"/>
      <c r="U53" s="300"/>
      <c r="V53" s="300"/>
      <c r="W53" s="300"/>
      <c r="X53" s="300"/>
      <c r="Y53" s="300"/>
      <c r="Z53" s="300"/>
      <c r="AA53" s="300"/>
      <c r="AB53" s="300"/>
      <c r="AC53" s="300"/>
      <c r="AD53" s="300"/>
      <c r="AE53" s="300"/>
      <c r="AF53" s="300"/>
      <c r="AG53" s="300"/>
      <c r="AH53" s="300"/>
      <c r="AI53" s="300"/>
      <c r="AJ53" s="300"/>
      <c r="AK53" s="300"/>
      <c r="AL53" s="300"/>
      <c r="AM53" s="301"/>
      <c r="AP53" s="29" t="str">
        <f t="shared" si="1"/>
        <v/>
      </c>
      <c r="AS53" s="3">
        <v>0</v>
      </c>
    </row>
    <row r="54" spans="1:45" ht="1.1499999999999999" customHeight="1">
      <c r="A54" s="21" t="s">
        <v>105</v>
      </c>
      <c r="B54" s="21" t="s">
        <v>106</v>
      </c>
      <c r="C54" s="21" t="s">
        <v>107</v>
      </c>
      <c r="E54" s="1001"/>
      <c r="F54" s="1001"/>
      <c r="G54" s="1000"/>
      <c r="T54" s="260" t="s">
        <v>337</v>
      </c>
      <c r="AP54" s="29" t="str">
        <f t="shared" si="1"/>
        <v>Добавить источник для дифференциации</v>
      </c>
      <c r="AS54" s="24">
        <v>1</v>
      </c>
    </row>
    <row r="55" spans="1:45" ht="1.1499999999999999" customHeight="1">
      <c r="A55" s="21" t="s">
        <v>105</v>
      </c>
      <c r="B55" s="21" t="s">
        <v>106</v>
      </c>
      <c r="E55" s="1001"/>
      <c r="F55" s="1000"/>
      <c r="T55" s="260" t="s">
        <v>338</v>
      </c>
      <c r="AP55" s="29" t="str">
        <f t="shared" si="1"/>
        <v>Добавить централизованную систему для дифференциации</v>
      </c>
      <c r="AS55" s="24">
        <v>1</v>
      </c>
    </row>
    <row r="56" spans="1:45" ht="1.1499999999999999" customHeight="1">
      <c r="A56" s="21" t="s">
        <v>105</v>
      </c>
      <c r="E56" s="1000"/>
      <c r="T56" s="260" t="s">
        <v>339</v>
      </c>
      <c r="AP56" s="29" t="str">
        <f t="shared" si="1"/>
        <v>Добавить территорию для дифференциации</v>
      </c>
      <c r="AS56" s="24">
        <v>1</v>
      </c>
    </row>
    <row r="57" spans="1:45" ht="1.1499999999999999" customHeight="1">
      <c r="T57" s="260" t="s">
        <v>371</v>
      </c>
      <c r="AP57" s="29" t="str">
        <f t="shared" si="1"/>
        <v>Добавить наименование тарифа</v>
      </c>
      <c r="AS57" s="24">
        <v>1</v>
      </c>
    </row>
    <row r="58" spans="1:45" ht="11.45" customHeight="1">
      <c r="AS58" s="3">
        <v>11</v>
      </c>
    </row>
    <row r="59" spans="1:45" ht="23.25" customHeight="1">
      <c r="T59" s="885"/>
      <c r="U59" s="885"/>
      <c r="V59" s="885"/>
      <c r="W59" s="885"/>
      <c r="X59" s="885"/>
      <c r="Y59" s="885"/>
      <c r="Z59" s="885"/>
      <c r="AA59" s="885"/>
      <c r="AB59" s="885"/>
      <c r="AC59" s="885"/>
      <c r="AD59" s="885"/>
      <c r="AE59" s="885"/>
      <c r="AF59" s="885"/>
      <c r="AG59" s="885"/>
      <c r="AH59" s="885"/>
      <c r="AI59" s="885"/>
      <c r="AJ59" s="885"/>
      <c r="AK59" s="885"/>
      <c r="AL59" s="885"/>
      <c r="AM59" s="885"/>
      <c r="AS59" s="3">
        <v>22</v>
      </c>
    </row>
    <row r="60" spans="1:45" ht="30.4" customHeight="1">
      <c r="T60" s="885"/>
      <c r="U60" s="885"/>
      <c r="V60" s="885"/>
      <c r="W60" s="885"/>
      <c r="X60" s="885"/>
      <c r="Y60" s="885"/>
      <c r="Z60" s="885"/>
      <c r="AA60" s="885"/>
      <c r="AB60" s="885"/>
      <c r="AC60" s="885"/>
      <c r="AD60" s="885"/>
      <c r="AE60" s="885"/>
      <c r="AF60" s="885"/>
      <c r="AG60" s="885"/>
      <c r="AH60" s="885"/>
      <c r="AI60" s="885"/>
      <c r="AJ60" s="885"/>
      <c r="AK60" s="885"/>
      <c r="AL60" s="885"/>
      <c r="AM60" s="885"/>
      <c r="AS60" s="3">
        <v>29</v>
      </c>
    </row>
    <row r="61" spans="1:45" ht="42" customHeight="1">
      <c r="T61" s="885"/>
      <c r="U61" s="885"/>
      <c r="V61" s="885"/>
      <c r="W61" s="885"/>
      <c r="X61" s="885"/>
      <c r="Y61" s="885"/>
      <c r="Z61" s="885"/>
      <c r="AA61" s="885"/>
      <c r="AB61" s="885"/>
      <c r="AC61" s="885"/>
      <c r="AD61" s="885"/>
      <c r="AE61" s="885"/>
      <c r="AF61" s="885"/>
      <c r="AG61" s="885"/>
      <c r="AH61" s="885"/>
      <c r="AI61" s="885"/>
      <c r="AJ61" s="885"/>
      <c r="AK61" s="885"/>
      <c r="AL61" s="885"/>
      <c r="AM61" s="885"/>
      <c r="AS61" s="3">
        <v>40</v>
      </c>
    </row>
    <row r="62" spans="1:45" ht="14.65" customHeight="1">
      <c r="AS62" s="3">
        <v>14</v>
      </c>
    </row>
    <row r="63" spans="1:45" ht="21" customHeight="1">
      <c r="T63" s="885"/>
      <c r="U63" s="885"/>
      <c r="V63" s="885"/>
      <c r="W63" s="885"/>
      <c r="X63" s="885"/>
      <c r="Y63" s="885"/>
      <c r="Z63" s="885"/>
      <c r="AA63" s="885"/>
      <c r="AB63" s="885"/>
      <c r="AC63" s="885"/>
      <c r="AD63" s="885"/>
      <c r="AE63" s="885"/>
      <c r="AF63" s="885"/>
      <c r="AG63" s="885"/>
      <c r="AH63" s="885"/>
      <c r="AI63" s="885"/>
      <c r="AJ63" s="885"/>
      <c r="AK63" s="885"/>
      <c r="AL63" s="885"/>
      <c r="AM63" s="885"/>
      <c r="AS63" s="3">
        <v>20</v>
      </c>
    </row>
    <row r="64" spans="1:45" ht="29.25" customHeight="1">
      <c r="T64" s="885"/>
      <c r="U64" s="885"/>
      <c r="V64" s="885"/>
      <c r="W64" s="885"/>
      <c r="X64" s="885"/>
      <c r="Y64" s="885"/>
      <c r="Z64" s="885"/>
      <c r="AA64" s="885"/>
      <c r="AB64" s="885"/>
      <c r="AC64" s="885"/>
      <c r="AD64" s="885"/>
      <c r="AE64" s="885"/>
      <c r="AF64" s="885"/>
      <c r="AG64" s="885"/>
      <c r="AH64" s="885"/>
      <c r="AI64" s="885"/>
      <c r="AJ64" s="885"/>
      <c r="AK64" s="885"/>
      <c r="AL64" s="885"/>
      <c r="AM64" s="885"/>
      <c r="AS64" s="3">
        <v>28</v>
      </c>
    </row>
    <row r="65" spans="1:45" ht="35.65" customHeight="1">
      <c r="T65" s="885"/>
      <c r="U65" s="885"/>
      <c r="V65" s="885"/>
      <c r="W65" s="885"/>
      <c r="X65" s="885"/>
      <c r="Y65" s="885"/>
      <c r="Z65" s="885"/>
      <c r="AA65" s="885"/>
      <c r="AB65" s="885"/>
      <c r="AC65" s="885"/>
      <c r="AD65" s="885"/>
      <c r="AE65" s="885"/>
      <c r="AF65" s="885"/>
      <c r="AG65" s="885"/>
      <c r="AH65" s="885"/>
      <c r="AI65" s="885"/>
      <c r="AJ65" s="885"/>
      <c r="AK65" s="885"/>
      <c r="AL65" s="885"/>
      <c r="AM65" s="885"/>
      <c r="AS65" s="3">
        <v>34</v>
      </c>
    </row>
    <row r="66" spans="1:45" ht="22.5" hidden="1" customHeight="1">
      <c r="A66" s="11" t="s">
        <v>18</v>
      </c>
      <c r="B66" s="11">
        <v>0</v>
      </c>
      <c r="C66" s="11">
        <v>0</v>
      </c>
      <c r="D66" s="11">
        <v>0</v>
      </c>
      <c r="E66" s="11">
        <v>0</v>
      </c>
      <c r="F66" s="11">
        <v>0</v>
      </c>
      <c r="G66" s="11">
        <v>0</v>
      </c>
      <c r="H66" s="11">
        <v>0</v>
      </c>
      <c r="I66" s="11">
        <v>0</v>
      </c>
      <c r="J66" s="11">
        <v>0</v>
      </c>
      <c r="K66" s="11">
        <v>0</v>
      </c>
      <c r="L66" s="171">
        <v>0</v>
      </c>
      <c r="M66" s="13">
        <v>0</v>
      </c>
      <c r="N66" s="13">
        <v>0</v>
      </c>
      <c r="O66" s="13">
        <v>0</v>
      </c>
      <c r="P66" s="287">
        <v>0</v>
      </c>
      <c r="Q66" s="288">
        <v>3</v>
      </c>
      <c r="R66" s="288">
        <v>3</v>
      </c>
      <c r="S66" s="9">
        <v>12</v>
      </c>
      <c r="T66" s="3">
        <v>31</v>
      </c>
      <c r="U66" s="3">
        <v>0</v>
      </c>
      <c r="V66" s="3">
        <v>0</v>
      </c>
      <c r="W66" s="3">
        <v>0</v>
      </c>
      <c r="X66" s="3">
        <v>0</v>
      </c>
      <c r="Y66" s="3">
        <v>0</v>
      </c>
      <c r="Z66" s="3">
        <v>0</v>
      </c>
      <c r="AA66" s="3">
        <v>0</v>
      </c>
      <c r="AB66" s="3">
        <v>0</v>
      </c>
      <c r="AC66" s="3">
        <v>0</v>
      </c>
      <c r="AD66" s="3">
        <v>24</v>
      </c>
      <c r="AE66" s="3">
        <v>0</v>
      </c>
      <c r="AF66" s="3">
        <v>24</v>
      </c>
      <c r="AG66" s="3">
        <v>24</v>
      </c>
      <c r="AH66" s="3">
        <v>11</v>
      </c>
      <c r="AI66" s="3">
        <v>3</v>
      </c>
      <c r="AJ66" s="3">
        <v>11</v>
      </c>
      <c r="AK66" s="3">
        <v>0</v>
      </c>
      <c r="AL66" s="3">
        <v>4</v>
      </c>
      <c r="AM66" s="3">
        <v>115</v>
      </c>
      <c r="AN66" s="24">
        <v>10</v>
      </c>
      <c r="AO66" s="24">
        <v>10</v>
      </c>
      <c r="AP66" s="24">
        <v>10</v>
      </c>
      <c r="AQ66" s="24">
        <v>10</v>
      </c>
      <c r="AR66" s="24">
        <v>10</v>
      </c>
      <c r="AS66" s="3">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6" width="3.7109375" hidden="1" customWidth="1"/>
    <col min="17" max="18" width="3" customWidth="1"/>
    <col min="19" max="19" width="12" customWidth="1"/>
    <col min="20" max="20" width="31" customWidth="1"/>
    <col min="21" max="21" width="0.140625" customWidth="1"/>
    <col min="22" max="22" width="24.7109375" hidden="1" customWidth="1"/>
    <col min="23" max="23" width="0.140625" hidden="1" customWidth="1"/>
    <col min="24" max="25" width="24.7109375" hidden="1" customWidth="1"/>
    <col min="26" max="26" width="11.7109375" hidden="1" customWidth="1"/>
    <col min="27" max="27" width="3.7109375" hidden="1" customWidth="1"/>
    <col min="28" max="28" width="11.7109375" hidden="1" customWidth="1"/>
    <col min="29" max="29" width="8.5703125" hidden="1" customWidth="1"/>
    <col min="30" max="30" width="24.7109375" customWidth="1"/>
    <col min="31" max="31" width="0.140625" customWidth="1"/>
    <col min="32" max="33" width="24" customWidth="1"/>
    <col min="34" max="34" width="11" customWidth="1"/>
    <col min="35" max="35" width="3.7109375" customWidth="1"/>
    <col min="36" max="36" width="11" customWidth="1"/>
    <col min="37" max="37" width="8.5703125" hidden="1" customWidth="1"/>
    <col min="38" max="38" width="4" customWidth="1"/>
    <col min="39" max="39" width="115" customWidth="1"/>
    <col min="40" max="44" width="10" customWidth="1"/>
    <col min="45" max="45" width="10.5703125" hidden="1"/>
  </cols>
  <sheetData>
    <row r="1" spans="5:45" ht="22.5" hidden="1" customHeight="1">
      <c r="AS1" s="3" t="s">
        <v>1</v>
      </c>
    </row>
    <row r="2" spans="5:45" ht="21" hidden="1" customHeight="1">
      <c r="E2" s="1000">
        <v>1</v>
      </c>
      <c r="R2" s="225"/>
      <c r="S2" s="226" t="e">
        <f>INDEX(PT_DIFFERENTIATION_NUM_NTAR,MATCH(A2,PT_DIFFERENTIATION_NTAR_ID,0))</f>
        <v>#N/A</v>
      </c>
      <c r="T2" s="227" t="s">
        <v>48</v>
      </c>
      <c r="U2" s="228"/>
      <c r="V2" s="995"/>
      <c r="W2" s="996"/>
      <c r="X2" s="996"/>
      <c r="Y2" s="996"/>
      <c r="Z2" s="996"/>
      <c r="AA2" s="996"/>
      <c r="AB2" s="996"/>
      <c r="AC2" s="997"/>
      <c r="AD2" s="995" t="e">
        <f>INDEX(PT_DIFFERENTIATION_NTAR,MATCH(A2,PT_DIFFERENTIATION_NTAR_ID,0))</f>
        <v>#N/A</v>
      </c>
      <c r="AE2" s="996"/>
      <c r="AF2" s="996"/>
      <c r="AG2" s="996"/>
      <c r="AH2" s="996"/>
      <c r="AI2" s="996"/>
      <c r="AJ2" s="996"/>
      <c r="AK2" s="996"/>
      <c r="AL2" s="997"/>
      <c r="AM2" s="230" t="s">
        <v>319</v>
      </c>
      <c r="AP2" s="29" t="str">
        <f t="shared" ref="AP2:AP15" si="0">IF(T2="","",T2)</f>
        <v>Наименование тарифа</v>
      </c>
      <c r="AS2" s="3">
        <v>0</v>
      </c>
    </row>
    <row r="3" spans="5:45" ht="21" hidden="1" customHeight="1">
      <c r="E3" s="1001"/>
      <c r="F3" s="1000">
        <v>1</v>
      </c>
      <c r="Q3" s="231"/>
      <c r="R3" s="232"/>
      <c r="S3" s="226" t="e">
        <f>INDEX(PT_DIFFERENTIATION_NUM_TER,MATCH(B3,PT_DIFFERENTIATION_TER_ID,0))</f>
        <v>#N/A</v>
      </c>
      <c r="T3" s="233" t="s">
        <v>320</v>
      </c>
      <c r="U3" s="228"/>
      <c r="V3" s="995"/>
      <c r="W3" s="996"/>
      <c r="X3" s="996"/>
      <c r="Y3" s="996"/>
      <c r="Z3" s="996"/>
      <c r="AA3" s="996"/>
      <c r="AB3" s="996"/>
      <c r="AC3" s="997"/>
      <c r="AD3" s="995" t="e">
        <f>INDEX(PT_DIFFERENTIATION_TER,MATCH(B3,PT_DIFFERENTIATION_TER_ID,0))</f>
        <v>#N/A</v>
      </c>
      <c r="AE3" s="996"/>
      <c r="AF3" s="996"/>
      <c r="AG3" s="996"/>
      <c r="AH3" s="996"/>
      <c r="AI3" s="996"/>
      <c r="AJ3" s="996"/>
      <c r="AK3" s="996"/>
      <c r="AL3" s="997"/>
      <c r="AM3" s="230" t="s">
        <v>321</v>
      </c>
      <c r="AP3" s="29" t="str">
        <f t="shared" si="0"/>
        <v>Территория действия тарифа</v>
      </c>
      <c r="AS3" s="3">
        <v>0</v>
      </c>
    </row>
    <row r="4" spans="5:45" ht="23.25" hidden="1" customHeight="1">
      <c r="E4" s="1001"/>
      <c r="F4" s="1001"/>
      <c r="G4" s="1000">
        <v>1</v>
      </c>
      <c r="Q4" s="231"/>
      <c r="R4" s="232"/>
      <c r="S4" s="226" t="e">
        <f>INDEX(PT_DIFFERENTIATION_NUM_CS,MATCH(C4,PT_DIFFERENTIATION_CS_ID,0))</f>
        <v>#N/A</v>
      </c>
      <c r="T4" s="234" t="s">
        <v>322</v>
      </c>
      <c r="U4" s="228"/>
      <c r="V4" s="995"/>
      <c r="W4" s="996"/>
      <c r="X4" s="996"/>
      <c r="Y4" s="996"/>
      <c r="Z4" s="996"/>
      <c r="AA4" s="996"/>
      <c r="AB4" s="996"/>
      <c r="AC4" s="997"/>
      <c r="AD4" s="995" t="e">
        <f>INDEX(PT_DIFFERENTIATION_CS,MATCH(C4,PT_DIFFERENTIATION_CS_ID,0))</f>
        <v>#N/A</v>
      </c>
      <c r="AE4" s="996"/>
      <c r="AF4" s="996"/>
      <c r="AG4" s="996"/>
      <c r="AH4" s="996"/>
      <c r="AI4" s="996"/>
      <c r="AJ4" s="996"/>
      <c r="AK4" s="996"/>
      <c r="AL4" s="997"/>
      <c r="AM4" s="230" t="s">
        <v>323</v>
      </c>
      <c r="AP4" s="29" t="str">
        <f t="shared" si="0"/>
        <v xml:space="preserve">Наименование системы теплоснабжения </v>
      </c>
      <c r="AS4" s="3">
        <v>0</v>
      </c>
    </row>
    <row r="5" spans="5:45" ht="21" hidden="1" customHeight="1">
      <c r="E5" s="1001"/>
      <c r="F5" s="1001"/>
      <c r="G5" s="1001"/>
      <c r="H5" s="1000">
        <v>1</v>
      </c>
      <c r="Q5" s="231"/>
      <c r="R5" s="232"/>
      <c r="S5" s="226" t="e">
        <f>INDEX(PT_DIFFERENTIATION_NUM_IST_TE,MATCH(D5,PT_DIFFERENTIATION_IST_TE_ID,0))</f>
        <v>#N/A</v>
      </c>
      <c r="T5" s="235" t="s">
        <v>324</v>
      </c>
      <c r="U5" s="228"/>
      <c r="V5" s="995"/>
      <c r="W5" s="996"/>
      <c r="X5" s="996"/>
      <c r="Y5" s="996"/>
      <c r="Z5" s="996"/>
      <c r="AA5" s="996"/>
      <c r="AB5" s="996"/>
      <c r="AC5" s="997"/>
      <c r="AD5" s="995" t="e">
        <f>INDEX(PT_DIFFERENTIATION_IST_TE,MATCH(D5,PT_DIFFERENTIATION_IST_TE_ID,0))</f>
        <v>#N/A</v>
      </c>
      <c r="AE5" s="996"/>
      <c r="AF5" s="996"/>
      <c r="AG5" s="996"/>
      <c r="AH5" s="996"/>
      <c r="AI5" s="996"/>
      <c r="AJ5" s="996"/>
      <c r="AK5" s="996"/>
      <c r="AL5" s="997"/>
      <c r="AM5" s="230" t="s">
        <v>325</v>
      </c>
      <c r="AP5" s="29" t="str">
        <f t="shared" si="0"/>
        <v xml:space="preserve">Источник тепловой энергии  </v>
      </c>
      <c r="AS5" s="3">
        <v>0</v>
      </c>
    </row>
    <row r="6" spans="5:45" ht="14.25" hidden="1" customHeight="1">
      <c r="E6" s="1001"/>
      <c r="F6" s="1001"/>
      <c r="G6" s="1001"/>
      <c r="H6" s="1001"/>
      <c r="I6" s="1002" t="e">
        <f>S5&amp;".1"</f>
        <v>#N/A</v>
      </c>
      <c r="L6" s="237" t="s">
        <v>326</v>
      </c>
      <c r="P6" s="1004">
        <v>1</v>
      </c>
      <c r="R6" s="238"/>
      <c r="S6" s="124"/>
      <c r="T6" s="294"/>
      <c r="U6" s="295"/>
      <c r="V6" s="1031"/>
      <c r="W6" s="1032"/>
      <c r="X6" s="1032"/>
      <c r="Y6" s="1032"/>
      <c r="Z6" s="1032"/>
      <c r="AA6" s="1032"/>
      <c r="AB6" s="1032"/>
      <c r="AC6" s="1033"/>
      <c r="AD6" s="1031"/>
      <c r="AE6" s="1032"/>
      <c r="AF6" s="1032"/>
      <c r="AG6" s="1032"/>
      <c r="AH6" s="1032"/>
      <c r="AI6" s="1032"/>
      <c r="AJ6" s="1032"/>
      <c r="AK6" s="1032"/>
      <c r="AL6" s="1033"/>
      <c r="AM6" s="297"/>
      <c r="AP6" s="29" t="str">
        <f t="shared" si="0"/>
        <v/>
      </c>
      <c r="AS6" s="3">
        <v>0</v>
      </c>
    </row>
    <row r="7" spans="5:45" ht="21" hidden="1" customHeight="1">
      <c r="E7" s="1001"/>
      <c r="F7" s="1001"/>
      <c r="G7" s="1001"/>
      <c r="H7" s="1001"/>
      <c r="I7" s="1003"/>
      <c r="J7" s="1002" t="e">
        <f>I6&amp;".1"</f>
        <v>#N/A</v>
      </c>
      <c r="L7" s="237" t="s">
        <v>329</v>
      </c>
      <c r="P7" s="885"/>
      <c r="Q7" s="1004">
        <v>1</v>
      </c>
      <c r="R7" s="240"/>
      <c r="S7" s="226" t="e">
        <f>$J7</f>
        <v>#N/A</v>
      </c>
      <c r="T7" s="241" t="s">
        <v>330</v>
      </c>
      <c r="U7" s="228"/>
      <c r="V7" s="989"/>
      <c r="W7" s="990"/>
      <c r="X7" s="990"/>
      <c r="Y7" s="990"/>
      <c r="Z7" s="990"/>
      <c r="AA7" s="990"/>
      <c r="AB7" s="990"/>
      <c r="AC7" s="991"/>
      <c r="AD7" s="989"/>
      <c r="AE7" s="990"/>
      <c r="AF7" s="990"/>
      <c r="AG7" s="990"/>
      <c r="AH7" s="990"/>
      <c r="AI7" s="990"/>
      <c r="AJ7" s="990"/>
      <c r="AK7" s="990"/>
      <c r="AL7" s="991"/>
      <c r="AM7" s="230" t="s">
        <v>331</v>
      </c>
      <c r="AP7" s="29" t="str">
        <f t="shared" si="0"/>
        <v>Группа потребителей</v>
      </c>
      <c r="AS7" s="3">
        <v>0</v>
      </c>
    </row>
    <row r="8" spans="5:45" ht="21" hidden="1" customHeight="1">
      <c r="E8" s="1001"/>
      <c r="F8" s="1001"/>
      <c r="G8" s="1001"/>
      <c r="H8" s="1001"/>
      <c r="I8" s="1003"/>
      <c r="J8" s="1003"/>
      <c r="K8" s="1002" t="e">
        <f>J7&amp;".1"</f>
        <v>#N/A</v>
      </c>
      <c r="L8" s="237" t="s">
        <v>332</v>
      </c>
      <c r="P8" s="885"/>
      <c r="Q8" s="885"/>
      <c r="R8" s="240">
        <v>1</v>
      </c>
      <c r="S8" s="226" t="e">
        <f>$K8</f>
        <v>#N/A</v>
      </c>
      <c r="T8" s="242"/>
      <c r="U8" s="228"/>
      <c r="V8" s="243"/>
      <c r="W8" s="244"/>
      <c r="X8" s="243"/>
      <c r="Y8" s="245"/>
      <c r="Z8" s="1005"/>
      <c r="AA8" s="895" t="s">
        <v>17</v>
      </c>
      <c r="AB8" s="1005"/>
      <c r="AC8" s="895" t="s">
        <v>17</v>
      </c>
      <c r="AD8" s="243"/>
      <c r="AE8" s="244"/>
      <c r="AF8" s="243"/>
      <c r="AG8" s="245"/>
      <c r="AH8" s="1005"/>
      <c r="AI8" s="895" t="s">
        <v>17</v>
      </c>
      <c r="AJ8" s="1005"/>
      <c r="AK8" s="895" t="s">
        <v>17</v>
      </c>
      <c r="AL8" s="244"/>
      <c r="AM8" s="1023" t="s">
        <v>333</v>
      </c>
      <c r="AN8" s="24" t="e">
        <f ca="1">STRCHECKDATE(V9:AL9)</f>
        <v>#NAME?</v>
      </c>
      <c r="AP8" s="29" t="str">
        <f t="shared" si="0"/>
        <v/>
      </c>
      <c r="AS8" s="3">
        <v>0</v>
      </c>
    </row>
    <row r="9" spans="5:45" ht="14.25" hidden="1" customHeight="1">
      <c r="E9" s="1001"/>
      <c r="F9" s="1001"/>
      <c r="G9" s="1001"/>
      <c r="H9" s="1001"/>
      <c r="I9" s="1003"/>
      <c r="J9" s="1003"/>
      <c r="K9" s="1002"/>
      <c r="P9" s="885"/>
      <c r="Q9" s="885"/>
      <c r="R9" s="240"/>
      <c r="S9" s="209"/>
      <c r="T9" s="228"/>
      <c r="U9" s="228"/>
      <c r="V9" s="244"/>
      <c r="W9" s="244"/>
      <c r="X9" s="244"/>
      <c r="Y9" s="247" t="str">
        <f>Z8&amp;"-"&amp;AB8</f>
        <v>-</v>
      </c>
      <c r="Z9" s="1006"/>
      <c r="AA9" s="895"/>
      <c r="AB9" s="1006"/>
      <c r="AC9" s="895"/>
      <c r="AD9" s="244"/>
      <c r="AE9" s="244"/>
      <c r="AF9" s="244"/>
      <c r="AG9" s="247" t="str">
        <f>AH8&amp;"-"&amp;AJ8</f>
        <v>-</v>
      </c>
      <c r="AH9" s="1006"/>
      <c r="AI9" s="895"/>
      <c r="AJ9" s="1006"/>
      <c r="AK9" s="895"/>
      <c r="AL9" s="244"/>
      <c r="AM9" s="1024"/>
      <c r="AP9" s="29" t="str">
        <f t="shared" si="0"/>
        <v/>
      </c>
      <c r="AS9" s="3">
        <v>0</v>
      </c>
    </row>
    <row r="10" spans="5:45" ht="15" hidden="1" customHeight="1">
      <c r="E10" s="1001"/>
      <c r="F10" s="1001"/>
      <c r="G10" s="1001"/>
      <c r="H10" s="1001"/>
      <c r="I10" s="1003"/>
      <c r="J10" s="1002"/>
      <c r="P10" s="885"/>
      <c r="Q10" s="885"/>
      <c r="R10" s="238"/>
      <c r="S10" s="249"/>
      <c r="T10" s="252" t="s">
        <v>334</v>
      </c>
      <c r="U10" s="54"/>
      <c r="V10" s="54"/>
      <c r="W10" s="54"/>
      <c r="X10" s="54"/>
      <c r="Y10" s="54"/>
      <c r="Z10" s="54"/>
      <c r="AA10" s="54"/>
      <c r="AB10" s="54"/>
      <c r="AC10" s="54"/>
      <c r="AD10" s="54"/>
      <c r="AE10" s="54"/>
      <c r="AF10" s="54"/>
      <c r="AG10" s="54"/>
      <c r="AH10" s="54"/>
      <c r="AI10" s="54"/>
      <c r="AJ10" s="54"/>
      <c r="AK10" s="54"/>
      <c r="AL10" s="251"/>
      <c r="AM10" s="1025"/>
      <c r="AP10" s="29" t="str">
        <f t="shared" si="0"/>
        <v>Добавить вид теплоносителя (параметры теплоносителя)</v>
      </c>
      <c r="AS10" s="3">
        <v>0</v>
      </c>
    </row>
    <row r="11" spans="5:45" ht="11.25" hidden="1" customHeight="1">
      <c r="E11" s="1001"/>
      <c r="F11" s="1001"/>
      <c r="G11" s="1001"/>
      <c r="H11" s="1001"/>
      <c r="I11" s="1002"/>
      <c r="P11" s="885"/>
      <c r="R11" s="238"/>
      <c r="S11" s="249"/>
      <c r="T11" s="255" t="s">
        <v>335</v>
      </c>
      <c r="U11" s="54"/>
      <c r="V11" s="54"/>
      <c r="W11" s="54"/>
      <c r="X11" s="54"/>
      <c r="Y11" s="54"/>
      <c r="Z11" s="54"/>
      <c r="AA11" s="54"/>
      <c r="AB11" s="54"/>
      <c r="AC11" s="253"/>
      <c r="AD11" s="54"/>
      <c r="AE11" s="54"/>
      <c r="AF11" s="54"/>
      <c r="AG11" s="54"/>
      <c r="AH11" s="54"/>
      <c r="AI11" s="54"/>
      <c r="AJ11" s="54"/>
      <c r="AK11" s="253"/>
      <c r="AL11" s="54"/>
      <c r="AM11" s="254"/>
      <c r="AP11" s="29" t="str">
        <f t="shared" si="0"/>
        <v>Добавить группу потребителей</v>
      </c>
      <c r="AS11" s="3">
        <v>0</v>
      </c>
    </row>
    <row r="12" spans="5:45" ht="14.25" hidden="1" customHeight="1">
      <c r="E12" s="1001"/>
      <c r="F12" s="1001"/>
      <c r="G12" s="1001"/>
      <c r="H12" s="1000"/>
      <c r="R12" s="225"/>
      <c r="S12" s="298"/>
      <c r="T12" s="299"/>
      <c r="U12" s="300"/>
      <c r="V12" s="300"/>
      <c r="W12" s="300"/>
      <c r="X12" s="300"/>
      <c r="Y12" s="300"/>
      <c r="Z12" s="300"/>
      <c r="AA12" s="300"/>
      <c r="AB12" s="300"/>
      <c r="AC12" s="300"/>
      <c r="AD12" s="300"/>
      <c r="AE12" s="300"/>
      <c r="AF12" s="300"/>
      <c r="AG12" s="300"/>
      <c r="AH12" s="300"/>
      <c r="AI12" s="300"/>
      <c r="AJ12" s="300"/>
      <c r="AK12" s="300"/>
      <c r="AL12" s="300"/>
      <c r="AM12" s="301"/>
      <c r="AP12" s="29" t="str">
        <f t="shared" si="0"/>
        <v/>
      </c>
      <c r="AS12" s="3">
        <v>0</v>
      </c>
    </row>
    <row r="13" spans="5:45" ht="14.25" hidden="1" customHeight="1">
      <c r="E13" s="1001"/>
      <c r="F13" s="1001"/>
      <c r="G13" s="1000"/>
      <c r="S13" s="256"/>
      <c r="T13" s="257" t="s">
        <v>337</v>
      </c>
      <c r="U13" s="258"/>
      <c r="V13" s="258"/>
      <c r="W13" s="258"/>
      <c r="X13" s="258"/>
      <c r="Y13" s="258"/>
      <c r="Z13" s="258"/>
      <c r="AA13" s="258"/>
      <c r="AB13" s="258"/>
      <c r="AC13" s="258"/>
      <c r="AD13" s="258"/>
      <c r="AE13" s="258"/>
      <c r="AF13" s="258"/>
      <c r="AG13" s="258"/>
      <c r="AH13" s="258"/>
      <c r="AI13" s="258"/>
      <c r="AJ13" s="258"/>
      <c r="AK13" s="258"/>
      <c r="AL13" s="258"/>
      <c r="AM13" s="258"/>
      <c r="AP13" s="29" t="str">
        <f t="shared" si="0"/>
        <v>Добавить источник для дифференциации</v>
      </c>
      <c r="AS13" s="24">
        <v>0</v>
      </c>
    </row>
    <row r="14" spans="5:45" ht="14.25" hidden="1" customHeight="1">
      <c r="E14" s="1001"/>
      <c r="F14" s="1000"/>
      <c r="T14" s="259" t="s">
        <v>338</v>
      </c>
      <c r="AP14" s="29" t="str">
        <f t="shared" si="0"/>
        <v>Добавить централизованную систему для дифференциации</v>
      </c>
      <c r="AS14" s="24">
        <v>0</v>
      </c>
    </row>
    <row r="15" spans="5:45" ht="14.25" hidden="1" customHeight="1">
      <c r="E15" s="1000"/>
      <c r="T15" s="260" t="s">
        <v>339</v>
      </c>
      <c r="AP15" s="29" t="str">
        <f t="shared" si="0"/>
        <v>Добавить территорию для дифференциации</v>
      </c>
      <c r="AS15" s="24">
        <v>0</v>
      </c>
    </row>
    <row r="16" spans="5:45" ht="14.25" hidden="1" customHeight="1">
      <c r="AS16" s="3">
        <v>0</v>
      </c>
    </row>
    <row r="17" spans="15:45" ht="14.25" hidden="1" customHeight="1">
      <c r="AD17" s="261"/>
      <c r="AE17" s="261"/>
      <c r="AF17" s="261"/>
      <c r="AG17" s="262"/>
      <c r="AH17" s="999"/>
      <c r="AI17" s="998" t="s">
        <v>17</v>
      </c>
      <c r="AJ17" s="999"/>
      <c r="AK17" s="998" t="s">
        <v>17</v>
      </c>
      <c r="AS17" s="3">
        <v>0</v>
      </c>
    </row>
    <row r="18" spans="15:45" ht="14.25" hidden="1" customHeight="1">
      <c r="AD18" s="261"/>
      <c r="AE18" s="261"/>
      <c r="AF18" s="261"/>
      <c r="AG18" s="247" t="str">
        <f>AH17&amp;"-"&amp;AJ17</f>
        <v>-</v>
      </c>
      <c r="AH18" s="998"/>
      <c r="AI18" s="998"/>
      <c r="AJ18" s="998"/>
      <c r="AK18" s="998"/>
      <c r="AS18" s="3">
        <v>0</v>
      </c>
    </row>
    <row r="19" spans="15:45" ht="14.25" hidden="1" customHeight="1">
      <c r="AS19" s="3">
        <v>0</v>
      </c>
    </row>
    <row r="20" spans="15:45" ht="22.5" hidden="1" customHeight="1">
      <c r="O20" s="263" t="s">
        <v>340</v>
      </c>
      <c r="Z20" s="263"/>
      <c r="AB20" s="263"/>
      <c r="AH20" s="263"/>
      <c r="AJ20" s="263"/>
      <c r="AS20" s="11">
        <v>0</v>
      </c>
    </row>
    <row r="21" spans="15:45" ht="14.25" hidden="1" customHeight="1">
      <c r="AS21" s="11">
        <v>0</v>
      </c>
    </row>
    <row r="22" spans="15:45" ht="14.25" hidden="1" customHeight="1">
      <c r="O22" s="237" t="s">
        <v>341</v>
      </c>
      <c r="T22" s="11" t="s">
        <v>342</v>
      </c>
      <c r="AA22" s="60" t="s">
        <v>343</v>
      </c>
      <c r="AC22" s="60" t="s">
        <v>344</v>
      </c>
      <c r="AD22" s="11" t="s">
        <v>342</v>
      </c>
      <c r="AI22" s="60" t="s">
        <v>345</v>
      </c>
      <c r="AK22" s="60" t="s">
        <v>344</v>
      </c>
      <c r="AS22" s="11">
        <v>0</v>
      </c>
    </row>
    <row r="23" spans="15:45" ht="14.25" hidden="1" customHeight="1">
      <c r="AS23" s="3">
        <v>0</v>
      </c>
    </row>
    <row r="24" spans="15:45" ht="14.25" hidden="1" customHeight="1">
      <c r="AS24" s="3">
        <v>0</v>
      </c>
    </row>
    <row r="25" spans="15:45" ht="14.65" customHeight="1">
      <c r="Q25" s="264"/>
      <c r="R25" s="264"/>
      <c r="S25" s="265"/>
      <c r="T25" s="12"/>
      <c r="U25" s="12"/>
      <c r="AS25" s="3">
        <v>14</v>
      </c>
    </row>
    <row r="26" spans="15:45" ht="53.45" customHeight="1">
      <c r="Q26" s="264"/>
      <c r="R26" s="264"/>
      <c r="S26" s="98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982"/>
      <c r="U26" s="982"/>
      <c r="V26" s="982"/>
      <c r="W26" s="982"/>
      <c r="X26" s="982"/>
      <c r="Y26" s="982"/>
      <c r="Z26" s="982"/>
      <c r="AA26" s="982"/>
      <c r="AB26" s="982"/>
      <c r="AC26" s="982"/>
      <c r="AD26" s="982"/>
      <c r="AE26" s="982"/>
      <c r="AF26" s="982"/>
      <c r="AG26" s="982"/>
      <c r="AH26" s="982"/>
      <c r="AI26" s="982"/>
      <c r="AJ26" s="982"/>
      <c r="AS26" s="3">
        <v>51</v>
      </c>
    </row>
    <row r="27" spans="15:45" ht="14.65" customHeight="1">
      <c r="Q27" s="264"/>
      <c r="R27" s="264"/>
      <c r="S27" s="955" t="e">
        <f>IF(org=0,"Не определено",org)</f>
        <v>#REF!</v>
      </c>
      <c r="T27" s="955"/>
      <c r="U27" s="955"/>
      <c r="V27" s="955"/>
      <c r="W27" s="955"/>
      <c r="X27" s="955"/>
      <c r="Y27" s="955"/>
      <c r="Z27" s="955"/>
      <c r="AA27" s="955"/>
      <c r="AB27" s="955"/>
      <c r="AC27" s="955"/>
      <c r="AD27" s="955"/>
      <c r="AE27" s="955"/>
      <c r="AF27" s="955"/>
      <c r="AG27" s="955"/>
      <c r="AH27" s="955"/>
      <c r="AI27" s="955"/>
      <c r="AJ27" s="955"/>
      <c r="AS27" s="3">
        <v>14</v>
      </c>
    </row>
    <row r="28" spans="15:45" ht="14.25" hidden="1" customHeight="1">
      <c r="Q28" s="264"/>
      <c r="R28" s="264"/>
      <c r="S28" s="265"/>
      <c r="T28" s="12"/>
      <c r="U28" s="12"/>
      <c r="V28" s="266"/>
      <c r="W28" s="266"/>
      <c r="X28" s="266"/>
      <c r="Y28" s="266"/>
      <c r="Z28" s="266"/>
      <c r="AA28" s="266"/>
      <c r="AB28" s="266"/>
      <c r="AC28" s="266"/>
      <c r="AD28" s="266"/>
      <c r="AE28" s="266"/>
      <c r="AF28" s="266"/>
      <c r="AG28" s="266"/>
      <c r="AH28" s="266"/>
      <c r="AI28" s="266"/>
      <c r="AJ28" s="266"/>
      <c r="AK28" s="266"/>
      <c r="AS28" s="3">
        <v>0</v>
      </c>
    </row>
    <row r="29" spans="15:45" ht="25.5" hidden="1" customHeight="1">
      <c r="S29" s="992" t="s">
        <v>9</v>
      </c>
      <c r="T29" s="992"/>
      <c r="U29" s="268"/>
      <c r="V29" s="994" t="e">
        <f>IF(TITLE_NAME_OR_PR_CHANGE="",IF(TITLE_NAME_OR_PR="","",TITLE_NAME_OR_PR),TITLE_NAME_OR_PR_CHANGE)</f>
        <v>#REF!</v>
      </c>
      <c r="W29" s="994"/>
      <c r="X29" s="994"/>
      <c r="Y29" s="994"/>
      <c r="Z29" s="994"/>
      <c r="AA29" s="994"/>
      <c r="AB29" s="994"/>
      <c r="AD29" s="994" t="e">
        <f>IF(TITLE_NAME_OR_PR_CHANGE="",IF(TITLE_NAME_OR_PR="","",TITLE_NAME_OR_PR),TITLE_NAME_OR_PR_CHANGE)</f>
        <v>#REF!</v>
      </c>
      <c r="AE29" s="994"/>
      <c r="AF29" s="994"/>
      <c r="AG29" s="994"/>
      <c r="AH29" s="994"/>
      <c r="AI29" s="994"/>
      <c r="AJ29" s="994"/>
      <c r="AS29" s="50">
        <v>0</v>
      </c>
    </row>
    <row r="30" spans="15:45" ht="18.75" hidden="1" customHeight="1">
      <c r="S30" s="992" t="s">
        <v>346</v>
      </c>
      <c r="T30" s="992"/>
      <c r="U30" s="268"/>
      <c r="V30" s="993" t="e">
        <f>IF(TITLE_DATE_PR_CHANGE="",IF(TITLE_DATE_PR="","",TITLE_DATE_PR),TITLE_DATE_PR_CHANGE)</f>
        <v>#REF!</v>
      </c>
      <c r="W30" s="993"/>
      <c r="X30" s="993"/>
      <c r="Y30" s="993"/>
      <c r="Z30" s="993"/>
      <c r="AA30" s="993"/>
      <c r="AB30" s="993"/>
      <c r="AD30" s="993" t="e">
        <f>IF(TITLE_DATE_PR_CHANGE="",IF(TITLE_DATE_PR="","",TITLE_DATE_PR),TITLE_DATE_PR_CHANGE)</f>
        <v>#REF!</v>
      </c>
      <c r="AE30" s="993"/>
      <c r="AF30" s="993"/>
      <c r="AG30" s="993"/>
      <c r="AH30" s="993"/>
      <c r="AI30" s="993"/>
      <c r="AJ30" s="993"/>
      <c r="AS30" s="50">
        <v>0</v>
      </c>
    </row>
    <row r="31" spans="15:45" ht="18.75" hidden="1" customHeight="1">
      <c r="S31" s="992" t="s">
        <v>347</v>
      </c>
      <c r="T31" s="992"/>
      <c r="U31" s="268"/>
      <c r="V31" s="994" t="e">
        <f>IF(TITLE_NUMBER_PR_CHANGE="",IF(TITLE_NUMBER_PR="","",TITLE_NUMBER_PR),TITLE_NUMBER_PR_CHANGE)</f>
        <v>#REF!</v>
      </c>
      <c r="W31" s="994"/>
      <c r="X31" s="994"/>
      <c r="Y31" s="994"/>
      <c r="Z31" s="994"/>
      <c r="AA31" s="994"/>
      <c r="AB31" s="994"/>
      <c r="AD31" s="994" t="e">
        <f>IF(TITLE_NUMBER_PR_CHANGE="",IF(TITLE_NUMBER_PR="","",TITLE_NUMBER_PR),TITLE_NUMBER_PR_CHANGE)</f>
        <v>#REF!</v>
      </c>
      <c r="AE31" s="994"/>
      <c r="AF31" s="994"/>
      <c r="AG31" s="994"/>
      <c r="AH31" s="994"/>
      <c r="AI31" s="994"/>
      <c r="AJ31" s="994"/>
      <c r="AS31" s="50">
        <v>0</v>
      </c>
    </row>
    <row r="32" spans="15:45" ht="18.75" hidden="1" customHeight="1">
      <c r="S32" s="992" t="s">
        <v>10</v>
      </c>
      <c r="T32" s="992"/>
      <c r="U32" s="268"/>
      <c r="V32" s="994" t="e">
        <f>IF(TITLE_IST_PUB_CHANGE="",IF(TITLE_IST_PUB="","",TITLE_IST_PUB),TITLE_IST_PUB_CHANGE)</f>
        <v>#REF!</v>
      </c>
      <c r="W32" s="994"/>
      <c r="X32" s="994"/>
      <c r="Y32" s="994"/>
      <c r="Z32" s="994"/>
      <c r="AA32" s="994"/>
      <c r="AB32" s="994"/>
      <c r="AD32" s="994" t="e">
        <f>IF(TITLE_IST_PUB_CHANGE="",IF(TITLE_IST_PUB="","",TITLE_IST_PUB),TITLE_IST_PUB_CHANGE)</f>
        <v>#REF!</v>
      </c>
      <c r="AE32" s="994"/>
      <c r="AF32" s="994"/>
      <c r="AG32" s="994"/>
      <c r="AH32" s="994"/>
      <c r="AI32" s="994"/>
      <c r="AJ32" s="994"/>
      <c r="AS32" s="50">
        <v>0</v>
      </c>
    </row>
    <row r="33" spans="1:45" ht="14.25" hidden="1" customHeight="1">
      <c r="Q33" s="264"/>
      <c r="R33" s="264"/>
      <c r="S33" s="265"/>
      <c r="T33" s="12"/>
      <c r="U33" s="12"/>
      <c r="V33" s="266"/>
      <c r="W33" s="266"/>
      <c r="X33" s="266"/>
      <c r="Y33" s="266"/>
      <c r="Z33" s="266"/>
      <c r="AA33" s="266"/>
      <c r="AB33" s="266"/>
      <c r="AC33" s="266"/>
      <c r="AD33" s="266"/>
      <c r="AE33" s="266"/>
      <c r="AF33" s="266"/>
      <c r="AG33" s="266"/>
      <c r="AH33" s="266"/>
      <c r="AI33" s="266"/>
      <c r="AJ33" s="266"/>
      <c r="AK33" s="266"/>
      <c r="AS33" s="3">
        <v>0</v>
      </c>
    </row>
    <row r="34" spans="1:45" ht="18.75" hidden="1" customHeight="1">
      <c r="S34" s="992" t="s">
        <v>348</v>
      </c>
      <c r="T34" s="992"/>
      <c r="U34" s="268"/>
      <c r="V34" s="993" t="e">
        <f>IF(TITLE_DATE_PR_CHANGE="",IF(TITLE_DATE_PR="","",TITLE_DATE_PR),TITLE_DATE_PR_CHANGE)</f>
        <v>#REF!</v>
      </c>
      <c r="W34" s="993"/>
      <c r="X34" s="993"/>
      <c r="Y34" s="993"/>
      <c r="Z34" s="993"/>
      <c r="AA34" s="993"/>
      <c r="AB34" s="993"/>
      <c r="AD34" s="993" t="e">
        <f>IF(TITLE_DATE_PR_CHANGE="",IF(TITLE_DATE_PR="","",TITLE_DATE_PR),TITLE_DATE_PR_CHANGE)</f>
        <v>#REF!</v>
      </c>
      <c r="AE34" s="993"/>
      <c r="AF34" s="993"/>
      <c r="AG34" s="993"/>
      <c r="AH34" s="993"/>
      <c r="AI34" s="993"/>
      <c r="AJ34" s="993"/>
      <c r="AS34" s="50">
        <v>0</v>
      </c>
    </row>
    <row r="35" spans="1:45" ht="25.5" hidden="1" customHeight="1">
      <c r="S35" s="992" t="s">
        <v>349</v>
      </c>
      <c r="T35" s="992"/>
      <c r="U35" s="268"/>
      <c r="V35" s="994" t="e">
        <f>IF(TITLE_NUMBER_PR_CHANGE="",IF(TITLE_NUMBER_PR="","",TITLE_NUMBER_PR),TITLE_NUMBER_PR_CHANGE)</f>
        <v>#REF!</v>
      </c>
      <c r="W35" s="994"/>
      <c r="X35" s="994"/>
      <c r="Y35" s="994"/>
      <c r="Z35" s="994"/>
      <c r="AA35" s="994"/>
      <c r="AB35" s="994"/>
      <c r="AD35" s="994" t="e">
        <f>IF(TITLE_NUMBER_PR_CHANGE="",IF(TITLE_NUMBER_PR="","",TITLE_NUMBER_PR),TITLE_NUMBER_PR_CHANGE)</f>
        <v>#REF!</v>
      </c>
      <c r="AE35" s="994"/>
      <c r="AF35" s="994"/>
      <c r="AG35" s="994"/>
      <c r="AH35" s="994"/>
      <c r="AI35" s="994"/>
      <c r="AJ35" s="994"/>
      <c r="AS35" s="50">
        <v>0</v>
      </c>
    </row>
    <row r="36" spans="1:45" ht="0" hidden="1" customHeight="1">
      <c r="AC36" s="24" t="s">
        <v>350</v>
      </c>
      <c r="AK36" s="24" t="s">
        <v>350</v>
      </c>
      <c r="AS36" s="50">
        <v>0</v>
      </c>
    </row>
    <row r="37" spans="1:45" ht="14.65" customHeight="1">
      <c r="Q37" s="264"/>
      <c r="R37" s="264"/>
      <c r="S37" s="265"/>
      <c r="T37" s="12"/>
      <c r="U37" s="270"/>
      <c r="V37" s="1012"/>
      <c r="W37" s="1012"/>
      <c r="X37" s="1012"/>
      <c r="Y37" s="1012"/>
      <c r="Z37" s="1012"/>
      <c r="AA37" s="1012"/>
      <c r="AB37" s="1012"/>
      <c r="AC37" s="1012"/>
      <c r="AD37" s="1012"/>
      <c r="AE37" s="1012"/>
      <c r="AF37" s="1012"/>
      <c r="AG37" s="1012"/>
      <c r="AH37" s="1012"/>
      <c r="AI37" s="1012"/>
      <c r="AJ37" s="1012"/>
      <c r="AK37" s="1012"/>
      <c r="AS37" s="3">
        <v>14</v>
      </c>
    </row>
    <row r="38" spans="1:45" ht="14.65" customHeight="1">
      <c r="Q38" s="264"/>
      <c r="R38" s="264"/>
      <c r="S38" s="894" t="s">
        <v>223</v>
      </c>
      <c r="T38" s="894"/>
      <c r="U38" s="894"/>
      <c r="V38" s="894"/>
      <c r="W38" s="894"/>
      <c r="X38" s="894"/>
      <c r="Y38" s="894"/>
      <c r="Z38" s="894"/>
      <c r="AA38" s="894"/>
      <c r="AB38" s="894"/>
      <c r="AC38" s="894"/>
      <c r="AD38" s="894"/>
      <c r="AE38" s="894"/>
      <c r="AF38" s="894"/>
      <c r="AG38" s="894"/>
      <c r="AH38" s="894"/>
      <c r="AI38" s="894"/>
      <c r="AJ38" s="894"/>
      <c r="AK38" s="894"/>
      <c r="AL38" s="894"/>
      <c r="AM38" s="894" t="s">
        <v>224</v>
      </c>
      <c r="AS38" s="3">
        <v>14</v>
      </c>
    </row>
    <row r="39" spans="1:45" ht="14.65" customHeight="1">
      <c r="Q39" s="264"/>
      <c r="R39" s="264"/>
      <c r="S39" s="1013" t="s">
        <v>24</v>
      </c>
      <c r="T39" s="962" t="s">
        <v>351</v>
      </c>
      <c r="U39" s="272"/>
      <c r="V39" s="1014" t="s">
        <v>352</v>
      </c>
      <c r="W39" s="1015"/>
      <c r="X39" s="1015"/>
      <c r="Y39" s="1015"/>
      <c r="Z39" s="1015"/>
      <c r="AA39" s="1015"/>
      <c r="AB39" s="1016"/>
      <c r="AC39" s="1017" t="s">
        <v>353</v>
      </c>
      <c r="AD39" s="1014" t="s">
        <v>352</v>
      </c>
      <c r="AE39" s="1015"/>
      <c r="AF39" s="1015"/>
      <c r="AG39" s="1015"/>
      <c r="AH39" s="1015"/>
      <c r="AI39" s="1015"/>
      <c r="AJ39" s="1016"/>
      <c r="AK39" s="1017" t="s">
        <v>354</v>
      </c>
      <c r="AL39" s="1020" t="s">
        <v>355</v>
      </c>
      <c r="AM39" s="894"/>
      <c r="AS39" s="3">
        <v>14</v>
      </c>
    </row>
    <row r="40" spans="1:45" ht="35.65" customHeight="1">
      <c r="Q40" s="264"/>
      <c r="R40" s="264"/>
      <c r="S40" s="1013"/>
      <c r="T40" s="962"/>
      <c r="U40" s="274"/>
      <c r="V40" s="935" t="s">
        <v>356</v>
      </c>
      <c r="W40" s="1009"/>
      <c r="X40" s="887" t="s">
        <v>358</v>
      </c>
      <c r="Y40" s="886"/>
      <c r="Z40" s="887" t="s">
        <v>359</v>
      </c>
      <c r="AA40" s="890"/>
      <c r="AB40" s="886"/>
      <c r="AC40" s="1018"/>
      <c r="AD40" s="935" t="s">
        <v>373</v>
      </c>
      <c r="AE40" s="1009"/>
      <c r="AF40" s="887" t="s">
        <v>358</v>
      </c>
      <c r="AG40" s="886"/>
      <c r="AH40" s="887" t="s">
        <v>359</v>
      </c>
      <c r="AI40" s="890"/>
      <c r="AJ40" s="886"/>
      <c r="AK40" s="1018"/>
      <c r="AL40" s="1021"/>
      <c r="AM40" s="894"/>
      <c r="AS40" s="3">
        <v>34</v>
      </c>
    </row>
    <row r="41" spans="1:45" ht="35.65" customHeight="1">
      <c r="B41" s="60" t="s">
        <v>60</v>
      </c>
      <c r="C41" s="60" t="s">
        <v>61</v>
      </c>
      <c r="D41" s="60" t="s">
        <v>62</v>
      </c>
      <c r="E41" s="237" t="s">
        <v>360</v>
      </c>
      <c r="F41" s="237" t="s">
        <v>361</v>
      </c>
      <c r="G41" s="237" t="s">
        <v>362</v>
      </c>
      <c r="H41" s="237" t="s">
        <v>363</v>
      </c>
      <c r="I41" s="237" t="s">
        <v>364</v>
      </c>
      <c r="J41" s="237" t="s">
        <v>365</v>
      </c>
      <c r="K41" s="237" t="s">
        <v>366</v>
      </c>
      <c r="L41" s="237" t="s">
        <v>341</v>
      </c>
      <c r="Q41" s="264"/>
      <c r="R41" s="264"/>
      <c r="S41" s="1013"/>
      <c r="T41" s="962"/>
      <c r="U41" s="275"/>
      <c r="V41" s="987"/>
      <c r="W41" s="1010"/>
      <c r="X41" s="65" t="s">
        <v>367</v>
      </c>
      <c r="Y41" s="65" t="s">
        <v>368</v>
      </c>
      <c r="Z41" s="65" t="s">
        <v>369</v>
      </c>
      <c r="AA41" s="967" t="s">
        <v>370</v>
      </c>
      <c r="AB41" s="981"/>
      <c r="AC41" s="1019"/>
      <c r="AD41" s="987"/>
      <c r="AE41" s="1010"/>
      <c r="AF41" s="65" t="s">
        <v>367</v>
      </c>
      <c r="AG41" s="65" t="s">
        <v>368</v>
      </c>
      <c r="AH41" s="65" t="s">
        <v>369</v>
      </c>
      <c r="AI41" s="967" t="s">
        <v>370</v>
      </c>
      <c r="AJ41" s="981"/>
      <c r="AK41" s="1019"/>
      <c r="AL41" s="1022"/>
      <c r="AM41" s="894"/>
      <c r="AS41" s="3">
        <v>34</v>
      </c>
    </row>
    <row r="42" spans="1:45" ht="11.25" hidden="1" customHeight="1">
      <c r="Q42" s="278"/>
      <c r="R42" s="279">
        <v>1</v>
      </c>
      <c r="S42" s="280" t="s">
        <v>31</v>
      </c>
      <c r="T42" s="281" t="s">
        <v>39</v>
      </c>
      <c r="U42" s="282" t="str">
        <f ca="1">OFFSET(U42,0,-1)</f>
        <v>2</v>
      </c>
      <c r="V42" s="283">
        <f ca="1">OFFSET(V42,0,-1)+1</f>
        <v>3</v>
      </c>
      <c r="W42" s="283"/>
      <c r="X42" s="283">
        <f ca="1">OFFSET(X42,0,-1)+1</f>
        <v>1</v>
      </c>
      <c r="Y42" s="283">
        <f ca="1">OFFSET(Y42,0,-1)+1</f>
        <v>2</v>
      </c>
      <c r="Z42" s="283">
        <f ca="1">OFFSET(Z42,0,-1)+1</f>
        <v>3</v>
      </c>
      <c r="AA42" s="1011">
        <f ca="1">OFFSET(AA42,0,-1)+1</f>
        <v>4</v>
      </c>
      <c r="AB42" s="1011"/>
      <c r="AC42" s="283">
        <f ca="1">OFFSET(AC42,0,-2)+1</f>
        <v>5</v>
      </c>
      <c r="AD42" s="283">
        <f ca="1">OFFSET(AD42,0,-1)+1</f>
        <v>6</v>
      </c>
      <c r="AE42" s="283"/>
      <c r="AF42" s="283">
        <f ca="1">OFFSET(AF42,0,-1)+1</f>
        <v>1</v>
      </c>
      <c r="AG42" s="283">
        <f ca="1">OFFSET(AG42,0,-1)+1</f>
        <v>2</v>
      </c>
      <c r="AH42" s="283">
        <f ca="1">OFFSET(AH42,0,-1)+1</f>
        <v>3</v>
      </c>
      <c r="AI42" s="1011">
        <f ca="1">OFFSET(AI42,0,-1)+1</f>
        <v>4</v>
      </c>
      <c r="AJ42" s="1011"/>
      <c r="AK42" s="283">
        <f ca="1">OFFSET(AK42,0,-2)+1</f>
        <v>5</v>
      </c>
      <c r="AL42" s="282">
        <f ca="1">OFFSET(AL42,0,-1)</f>
        <v>5</v>
      </c>
      <c r="AM42" s="283">
        <f ca="1">OFFSET(AM42,0,-1)+1</f>
        <v>6</v>
      </c>
      <c r="AS42" s="189">
        <v>0</v>
      </c>
    </row>
    <row r="43" spans="1:45" ht="21.95" customHeight="1">
      <c r="A43" s="284" t="s">
        <v>111</v>
      </c>
      <c r="E43" s="1000">
        <v>1</v>
      </c>
      <c r="R43" s="225"/>
      <c r="S43" s="226">
        <f>INDEX(PT_DIFFERENTIATION_NUM_NTAR,MATCH(A43,PT_DIFFERENTIATION_NTAR_ID,0))</f>
        <v>0</v>
      </c>
      <c r="T43" s="227" t="s">
        <v>48</v>
      </c>
      <c r="U43" s="228"/>
      <c r="V43" s="995"/>
      <c r="W43" s="996"/>
      <c r="X43" s="996"/>
      <c r="Y43" s="996"/>
      <c r="Z43" s="996"/>
      <c r="AA43" s="996"/>
      <c r="AB43" s="996"/>
      <c r="AC43" s="997"/>
      <c r="AD43" s="995" t="str">
        <f>INDEX(PT_DIFFERENTIATION_NTAR,MATCH(A43,PT_DIFFERENTIATION_NTAR_ID,0))</f>
        <v/>
      </c>
      <c r="AE43" s="996"/>
      <c r="AF43" s="996"/>
      <c r="AG43" s="996"/>
      <c r="AH43" s="996"/>
      <c r="AI43" s="996"/>
      <c r="AJ43" s="996"/>
      <c r="AK43" s="996"/>
      <c r="AL43" s="997"/>
      <c r="AM43" s="23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P43" s="29" t="str">
        <f t="shared" ref="AP43:AP57" si="1">IF(T43="","",T43)</f>
        <v>Наименование тарифа</v>
      </c>
      <c r="AS43" s="3">
        <v>21</v>
      </c>
    </row>
    <row r="44" spans="1:45" ht="21.95" customHeight="1">
      <c r="A44" s="284" t="s">
        <v>111</v>
      </c>
      <c r="B44" s="284" t="s">
        <v>112</v>
      </c>
      <c r="E44" s="1001"/>
      <c r="F44" s="1000">
        <v>1</v>
      </c>
      <c r="Q44" s="231"/>
      <c r="R44" s="232"/>
      <c r="S44" s="226" t="str">
        <f>INDEX(PT_DIFFERENTIATION_NUM_TER,MATCH(B44,PT_DIFFERENTIATION_TER_ID,0))</f>
        <v>.</v>
      </c>
      <c r="T44" s="233" t="s">
        <v>320</v>
      </c>
      <c r="U44" s="228"/>
      <c r="V44" s="995"/>
      <c r="W44" s="996"/>
      <c r="X44" s="996"/>
      <c r="Y44" s="996"/>
      <c r="Z44" s="996"/>
      <c r="AA44" s="996"/>
      <c r="AB44" s="996"/>
      <c r="AC44" s="997"/>
      <c r="AD44" s="995" t="str">
        <f>INDEX(PT_DIFFERENTIATION_TER,MATCH(B44,PT_DIFFERENTIATION_TER_ID,0))</f>
        <v/>
      </c>
      <c r="AE44" s="996"/>
      <c r="AF44" s="996"/>
      <c r="AG44" s="996"/>
      <c r="AH44" s="996"/>
      <c r="AI44" s="996"/>
      <c r="AJ44" s="996"/>
      <c r="AK44" s="996"/>
      <c r="AL44" s="997"/>
      <c r="AM44" s="230" t="s">
        <v>321</v>
      </c>
      <c r="AP44" s="29" t="str">
        <f t="shared" si="1"/>
        <v>Территория действия тарифа</v>
      </c>
      <c r="AS44" s="3">
        <v>21</v>
      </c>
    </row>
    <row r="45" spans="1:45" ht="24" customHeight="1">
      <c r="A45" s="284" t="s">
        <v>111</v>
      </c>
      <c r="B45" s="284" t="s">
        <v>112</v>
      </c>
      <c r="C45" s="284" t="s">
        <v>113</v>
      </c>
      <c r="E45" s="1001"/>
      <c r="F45" s="1001"/>
      <c r="G45" s="1000">
        <v>1</v>
      </c>
      <c r="Q45" s="231"/>
      <c r="R45" s="232"/>
      <c r="S45" s="226" t="str">
        <f>INDEX(PT_DIFFERENTIATION_NUM_CS,MATCH(C45,PT_DIFFERENTIATION_CS_ID,0))</f>
        <v>..</v>
      </c>
      <c r="T45" s="234" t="s">
        <v>322</v>
      </c>
      <c r="U45" s="228"/>
      <c r="V45" s="995"/>
      <c r="W45" s="996"/>
      <c r="X45" s="996"/>
      <c r="Y45" s="996"/>
      <c r="Z45" s="996"/>
      <c r="AA45" s="996"/>
      <c r="AB45" s="996"/>
      <c r="AC45" s="997"/>
      <c r="AD45" s="995" t="str">
        <f>INDEX(PT_DIFFERENTIATION_CS,MATCH(C45,PT_DIFFERENTIATION_CS_ID,0))</f>
        <v/>
      </c>
      <c r="AE45" s="996"/>
      <c r="AF45" s="996"/>
      <c r="AG45" s="996"/>
      <c r="AH45" s="996"/>
      <c r="AI45" s="996"/>
      <c r="AJ45" s="996"/>
      <c r="AK45" s="996"/>
      <c r="AL45" s="997"/>
      <c r="AM45" s="230" t="s">
        <v>323</v>
      </c>
      <c r="AP45" s="29" t="str">
        <f t="shared" si="1"/>
        <v xml:space="preserve">Наименование системы теплоснабжения </v>
      </c>
      <c r="AS45" s="3">
        <v>23</v>
      </c>
    </row>
    <row r="46" spans="1:45" ht="21.95" customHeight="1">
      <c r="A46" s="284" t="s">
        <v>111</v>
      </c>
      <c r="B46" s="284" t="s">
        <v>112</v>
      </c>
      <c r="C46" s="284" t="s">
        <v>113</v>
      </c>
      <c r="D46" s="284" t="s">
        <v>114</v>
      </c>
      <c r="E46" s="1001"/>
      <c r="F46" s="1001"/>
      <c r="G46" s="1001"/>
      <c r="H46" s="1000">
        <v>1</v>
      </c>
      <c r="Q46" s="231"/>
      <c r="R46" s="232"/>
      <c r="S46" s="226" t="str">
        <f>INDEX(PT_DIFFERENTIATION_NUM_IST_TE,MATCH(D46,PT_DIFFERENTIATION_IST_TE_ID,0))</f>
        <v>...</v>
      </c>
      <c r="T46" s="235" t="s">
        <v>324</v>
      </c>
      <c r="U46" s="228"/>
      <c r="V46" s="995"/>
      <c r="W46" s="996"/>
      <c r="X46" s="996"/>
      <c r="Y46" s="996"/>
      <c r="Z46" s="996"/>
      <c r="AA46" s="996"/>
      <c r="AB46" s="996"/>
      <c r="AC46" s="997"/>
      <c r="AD46" s="995" t="str">
        <f>INDEX(PT_DIFFERENTIATION_IST_TE,MATCH(D46,PT_DIFFERENTIATION_IST_TE_ID,0))</f>
        <v/>
      </c>
      <c r="AE46" s="996"/>
      <c r="AF46" s="996"/>
      <c r="AG46" s="996"/>
      <c r="AH46" s="996"/>
      <c r="AI46" s="996"/>
      <c r="AJ46" s="996"/>
      <c r="AK46" s="996"/>
      <c r="AL46" s="997"/>
      <c r="AM46" s="230" t="s">
        <v>325</v>
      </c>
      <c r="AP46" s="29" t="str">
        <f t="shared" si="1"/>
        <v xml:space="preserve">Источник тепловой энергии  </v>
      </c>
      <c r="AS46" s="3">
        <v>21</v>
      </c>
    </row>
    <row r="47" spans="1:45" ht="0" hidden="1" customHeight="1">
      <c r="A47" s="21" t="s">
        <v>111</v>
      </c>
      <c r="B47" s="21" t="s">
        <v>112</v>
      </c>
      <c r="C47" s="21" t="s">
        <v>113</v>
      </c>
      <c r="D47" s="21" t="s">
        <v>114</v>
      </c>
      <c r="E47" s="1001"/>
      <c r="F47" s="1001"/>
      <c r="G47" s="1001"/>
      <c r="H47" s="1001"/>
      <c r="I47" s="1002" t="str">
        <f>S46&amp;".1"</f>
        <v>....1</v>
      </c>
      <c r="L47" s="302" t="s">
        <v>326</v>
      </c>
      <c r="P47" s="1004">
        <v>1</v>
      </c>
      <c r="R47" s="238"/>
      <c r="S47" s="124"/>
      <c r="T47" s="294"/>
      <c r="U47" s="295"/>
      <c r="V47" s="1031"/>
      <c r="W47" s="1032"/>
      <c r="X47" s="1032"/>
      <c r="Y47" s="1032"/>
      <c r="Z47" s="1032"/>
      <c r="AA47" s="1032"/>
      <c r="AB47" s="1032"/>
      <c r="AC47" s="1033"/>
      <c r="AD47" s="1031"/>
      <c r="AE47" s="1032"/>
      <c r="AF47" s="1032"/>
      <c r="AG47" s="1032"/>
      <c r="AH47" s="1032"/>
      <c r="AI47" s="1032"/>
      <c r="AJ47" s="1032"/>
      <c r="AK47" s="1032"/>
      <c r="AL47" s="1033"/>
      <c r="AM47" s="297"/>
      <c r="AP47" s="29" t="str">
        <f t="shared" si="1"/>
        <v/>
      </c>
      <c r="AS47" s="24">
        <v>0</v>
      </c>
    </row>
    <row r="48" spans="1:45" ht="21.95" customHeight="1">
      <c r="A48" s="284" t="s">
        <v>111</v>
      </c>
      <c r="B48" s="284" t="s">
        <v>112</v>
      </c>
      <c r="C48" s="284" t="s">
        <v>113</v>
      </c>
      <c r="D48" s="284" t="s">
        <v>114</v>
      </c>
      <c r="E48" s="1001"/>
      <c r="F48" s="1001"/>
      <c r="G48" s="1001"/>
      <c r="H48" s="1001"/>
      <c r="I48" s="1003"/>
      <c r="J48" s="1002" t="str">
        <f>S46&amp;".1"</f>
        <v>....1</v>
      </c>
      <c r="L48" s="237" t="s">
        <v>329</v>
      </c>
      <c r="P48" s="885"/>
      <c r="Q48" s="1004">
        <v>1</v>
      </c>
      <c r="R48" s="240"/>
      <c r="S48" s="226" t="str">
        <f>$J48</f>
        <v>....1</v>
      </c>
      <c r="T48" s="241" t="s">
        <v>330</v>
      </c>
      <c r="U48" s="228"/>
      <c r="V48" s="989"/>
      <c r="W48" s="990"/>
      <c r="X48" s="990"/>
      <c r="Y48" s="990"/>
      <c r="Z48" s="990"/>
      <c r="AA48" s="990"/>
      <c r="AB48" s="990"/>
      <c r="AC48" s="991"/>
      <c r="AD48" s="989"/>
      <c r="AE48" s="990"/>
      <c r="AF48" s="990"/>
      <c r="AG48" s="990"/>
      <c r="AH48" s="990"/>
      <c r="AI48" s="990"/>
      <c r="AJ48" s="990"/>
      <c r="AK48" s="990"/>
      <c r="AL48" s="991"/>
      <c r="AM48" s="230" t="s">
        <v>331</v>
      </c>
      <c r="AP48" s="29" t="str">
        <f t="shared" si="1"/>
        <v>Группа потребителей</v>
      </c>
      <c r="AS48" s="3">
        <v>21</v>
      </c>
    </row>
    <row r="49" spans="1:45" ht="21.95" customHeight="1">
      <c r="A49" s="284" t="s">
        <v>111</v>
      </c>
      <c r="B49" s="284" t="s">
        <v>112</v>
      </c>
      <c r="C49" s="284" t="s">
        <v>113</v>
      </c>
      <c r="D49" s="284" t="s">
        <v>114</v>
      </c>
      <c r="E49" s="1001"/>
      <c r="F49" s="1001"/>
      <c r="G49" s="1001"/>
      <c r="H49" s="1001"/>
      <c r="I49" s="1003"/>
      <c r="J49" s="1003"/>
      <c r="K49" s="1002" t="str">
        <f>J48&amp;".1"</f>
        <v>....1.1</v>
      </c>
      <c r="L49" s="237" t="s">
        <v>332</v>
      </c>
      <c r="P49" s="885"/>
      <c r="Q49" s="885"/>
      <c r="R49" s="240">
        <v>1</v>
      </c>
      <c r="S49" s="226" t="str">
        <f>$K49</f>
        <v>....1.1</v>
      </c>
      <c r="T49" s="242"/>
      <c r="U49" s="228"/>
      <c r="V49" s="243"/>
      <c r="W49" s="244"/>
      <c r="X49" s="243"/>
      <c r="Y49" s="245"/>
      <c r="Z49" s="1005"/>
      <c r="AA49" s="895" t="s">
        <v>17</v>
      </c>
      <c r="AB49" s="1005"/>
      <c r="AC49" s="895" t="s">
        <v>17</v>
      </c>
      <c r="AD49" s="243"/>
      <c r="AE49" s="244"/>
      <c r="AF49" s="243"/>
      <c r="AG49" s="245"/>
      <c r="AH49" s="1005"/>
      <c r="AI49" s="895" t="s">
        <v>17</v>
      </c>
      <c r="AJ49" s="1007"/>
      <c r="AK49" s="895" t="s">
        <v>17</v>
      </c>
      <c r="AL49" s="285"/>
      <c r="AM49" s="1023" t="s">
        <v>374</v>
      </c>
      <c r="AN49" s="24" t="e">
        <f ca="1">STRCHECKDATE(V50:AL50)</f>
        <v>#NAME?</v>
      </c>
      <c r="AP49" s="29" t="str">
        <f t="shared" si="1"/>
        <v/>
      </c>
      <c r="AS49" s="3">
        <v>21</v>
      </c>
    </row>
    <row r="50" spans="1:45" ht="0" hidden="1" customHeight="1">
      <c r="A50" s="284" t="s">
        <v>111</v>
      </c>
      <c r="B50" s="284" t="s">
        <v>112</v>
      </c>
      <c r="C50" s="284" t="s">
        <v>113</v>
      </c>
      <c r="D50" s="284" t="s">
        <v>114</v>
      </c>
      <c r="E50" s="1001"/>
      <c r="F50" s="1001"/>
      <c r="G50" s="1001"/>
      <c r="H50" s="1001"/>
      <c r="I50" s="1003"/>
      <c r="J50" s="1003"/>
      <c r="K50" s="1002"/>
      <c r="P50" s="885"/>
      <c r="Q50" s="885"/>
      <c r="R50" s="240"/>
      <c r="S50" s="209"/>
      <c r="T50" s="228"/>
      <c r="U50" s="228"/>
      <c r="V50" s="244"/>
      <c r="W50" s="244"/>
      <c r="X50" s="244"/>
      <c r="Y50" s="247" t="str">
        <f>Z49&amp;"-"&amp;AB49</f>
        <v>-</v>
      </c>
      <c r="Z50" s="1006"/>
      <c r="AA50" s="895"/>
      <c r="AB50" s="1006"/>
      <c r="AC50" s="895"/>
      <c r="AD50" s="244"/>
      <c r="AE50" s="244"/>
      <c r="AF50" s="244"/>
      <c r="AG50" s="247" t="str">
        <f>AH49&amp;"-"&amp;AJ49</f>
        <v>-</v>
      </c>
      <c r="AH50" s="1006"/>
      <c r="AI50" s="895"/>
      <c r="AJ50" s="1008"/>
      <c r="AK50" s="895"/>
      <c r="AL50" s="286"/>
      <c r="AM50" s="1024"/>
      <c r="AP50" s="29" t="str">
        <f t="shared" si="1"/>
        <v/>
      </c>
      <c r="AS50" s="3">
        <v>0</v>
      </c>
    </row>
    <row r="51" spans="1:45" ht="11.45" customHeight="1">
      <c r="A51" s="284" t="s">
        <v>111</v>
      </c>
      <c r="B51" s="284" t="s">
        <v>112</v>
      </c>
      <c r="C51" s="284" t="s">
        <v>113</v>
      </c>
      <c r="D51" s="284" t="s">
        <v>114</v>
      </c>
      <c r="E51" s="1001"/>
      <c r="F51" s="1001"/>
      <c r="G51" s="1001"/>
      <c r="H51" s="1001"/>
      <c r="I51" s="1003"/>
      <c r="J51" s="1002"/>
      <c r="P51" s="885"/>
      <c r="Q51" s="885"/>
      <c r="R51" s="238"/>
      <c r="S51" s="249"/>
      <c r="T51" s="252" t="s">
        <v>334</v>
      </c>
      <c r="U51" s="54"/>
      <c r="V51" s="54"/>
      <c r="W51" s="54"/>
      <c r="X51" s="54"/>
      <c r="Y51" s="54"/>
      <c r="Z51" s="54"/>
      <c r="AA51" s="54"/>
      <c r="AB51" s="54"/>
      <c r="AC51" s="54"/>
      <c r="AD51" s="54"/>
      <c r="AE51" s="54"/>
      <c r="AF51" s="54"/>
      <c r="AG51" s="54"/>
      <c r="AH51" s="54"/>
      <c r="AI51" s="54"/>
      <c r="AJ51" s="54"/>
      <c r="AK51" s="54"/>
      <c r="AL51" s="251"/>
      <c r="AM51" s="1025"/>
      <c r="AP51" s="29" t="str">
        <f t="shared" si="1"/>
        <v>Добавить вид теплоносителя (параметры теплоносителя)</v>
      </c>
      <c r="AS51" s="3">
        <v>11</v>
      </c>
    </row>
    <row r="52" spans="1:45" ht="11.45" customHeight="1">
      <c r="A52" s="284" t="s">
        <v>111</v>
      </c>
      <c r="B52" s="284" t="s">
        <v>112</v>
      </c>
      <c r="C52" s="284" t="s">
        <v>113</v>
      </c>
      <c r="D52" s="284" t="s">
        <v>114</v>
      </c>
      <c r="E52" s="1001"/>
      <c r="F52" s="1001"/>
      <c r="G52" s="1001"/>
      <c r="H52" s="1001"/>
      <c r="I52" s="1002"/>
      <c r="P52" s="885"/>
      <c r="R52" s="238"/>
      <c r="S52" s="249"/>
      <c r="T52" s="255" t="s">
        <v>335</v>
      </c>
      <c r="U52" s="54"/>
      <c r="V52" s="54"/>
      <c r="W52" s="54"/>
      <c r="X52" s="54"/>
      <c r="Y52" s="54"/>
      <c r="Z52" s="54"/>
      <c r="AA52" s="54"/>
      <c r="AB52" s="54"/>
      <c r="AC52" s="253"/>
      <c r="AD52" s="54"/>
      <c r="AE52" s="54"/>
      <c r="AF52" s="54"/>
      <c r="AG52" s="54"/>
      <c r="AH52" s="54"/>
      <c r="AI52" s="54"/>
      <c r="AJ52" s="54"/>
      <c r="AK52" s="253"/>
      <c r="AL52" s="54"/>
      <c r="AM52" s="254"/>
      <c r="AP52" s="29" t="str">
        <f t="shared" si="1"/>
        <v>Добавить группу потребителей</v>
      </c>
      <c r="AS52" s="3">
        <v>11</v>
      </c>
    </row>
    <row r="53" spans="1:45" ht="0" hidden="1" customHeight="1">
      <c r="A53" s="284" t="s">
        <v>111</v>
      </c>
      <c r="B53" s="284" t="s">
        <v>112</v>
      </c>
      <c r="C53" s="284" t="s">
        <v>113</v>
      </c>
      <c r="D53" s="284" t="s">
        <v>114</v>
      </c>
      <c r="E53" s="1001"/>
      <c r="F53" s="1001"/>
      <c r="G53" s="1001"/>
      <c r="H53" s="1000"/>
      <c r="R53" s="225"/>
      <c r="S53" s="298"/>
      <c r="T53" s="299"/>
      <c r="U53" s="300"/>
      <c r="V53" s="300"/>
      <c r="W53" s="300"/>
      <c r="X53" s="300"/>
      <c r="Y53" s="300"/>
      <c r="Z53" s="300"/>
      <c r="AA53" s="300"/>
      <c r="AB53" s="300"/>
      <c r="AC53" s="300"/>
      <c r="AD53" s="300"/>
      <c r="AE53" s="300"/>
      <c r="AF53" s="300"/>
      <c r="AG53" s="300"/>
      <c r="AH53" s="300"/>
      <c r="AI53" s="300"/>
      <c r="AJ53" s="300"/>
      <c r="AK53" s="300"/>
      <c r="AL53" s="300"/>
      <c r="AM53" s="301"/>
      <c r="AP53" s="29" t="str">
        <f t="shared" si="1"/>
        <v/>
      </c>
      <c r="AS53" s="3">
        <v>0</v>
      </c>
    </row>
    <row r="54" spans="1:45" ht="0" hidden="1" customHeight="1">
      <c r="A54" s="21" t="s">
        <v>111</v>
      </c>
      <c r="B54" s="21" t="s">
        <v>112</v>
      </c>
      <c r="C54" s="21" t="s">
        <v>113</v>
      </c>
      <c r="E54" s="1001"/>
      <c r="F54" s="1001"/>
      <c r="G54" s="1000"/>
      <c r="T54" s="260" t="s">
        <v>337</v>
      </c>
      <c r="AP54" s="29" t="str">
        <f t="shared" si="1"/>
        <v>Добавить источник для дифференциации</v>
      </c>
      <c r="AS54" s="24">
        <v>0</v>
      </c>
    </row>
    <row r="55" spans="1:45" ht="0" hidden="1" customHeight="1">
      <c r="A55" s="21" t="s">
        <v>111</v>
      </c>
      <c r="B55" s="21" t="s">
        <v>112</v>
      </c>
      <c r="E55" s="1001"/>
      <c r="F55" s="1000"/>
      <c r="T55" s="260" t="s">
        <v>338</v>
      </c>
      <c r="AP55" s="29" t="str">
        <f t="shared" si="1"/>
        <v>Добавить централизованную систему для дифференциации</v>
      </c>
      <c r="AS55" s="24">
        <v>0</v>
      </c>
    </row>
    <row r="56" spans="1:45" ht="0" hidden="1" customHeight="1">
      <c r="A56" s="21" t="s">
        <v>111</v>
      </c>
      <c r="E56" s="1000"/>
      <c r="T56" s="260" t="s">
        <v>339</v>
      </c>
      <c r="AP56" s="29" t="str">
        <f t="shared" si="1"/>
        <v>Добавить территорию для дифференциации</v>
      </c>
      <c r="AS56" s="24">
        <v>0</v>
      </c>
    </row>
    <row r="57" spans="1:45" ht="4.1500000000000004" customHeight="1">
      <c r="T57" s="260" t="s">
        <v>371</v>
      </c>
      <c r="AP57" s="29" t="str">
        <f t="shared" si="1"/>
        <v>Добавить наименование тарифа</v>
      </c>
      <c r="AS57" s="24">
        <v>4</v>
      </c>
    </row>
    <row r="58" spans="1:45" ht="11.45" customHeight="1">
      <c r="AS58" s="3">
        <v>11</v>
      </c>
    </row>
    <row r="59" spans="1:45" ht="14.65" customHeight="1">
      <c r="T59" s="885"/>
      <c r="U59" s="885"/>
      <c r="V59" s="885"/>
      <c r="W59" s="885"/>
      <c r="X59" s="885"/>
      <c r="Y59" s="885"/>
      <c r="Z59" s="885"/>
      <c r="AA59" s="885"/>
      <c r="AB59" s="885"/>
      <c r="AC59" s="885"/>
      <c r="AD59" s="885"/>
      <c r="AE59" s="885"/>
      <c r="AF59" s="885"/>
      <c r="AG59" s="885"/>
      <c r="AH59" s="885"/>
      <c r="AI59" s="885"/>
      <c r="AJ59" s="885"/>
      <c r="AK59" s="885"/>
      <c r="AL59" s="885"/>
      <c r="AM59" s="885"/>
      <c r="AS59" s="3">
        <v>14</v>
      </c>
    </row>
    <row r="60" spans="1:45" ht="14.65" customHeight="1">
      <c r="T60" s="885"/>
      <c r="U60" s="885"/>
      <c r="V60" s="885"/>
      <c r="W60" s="885"/>
      <c r="X60" s="885"/>
      <c r="Y60" s="885"/>
      <c r="Z60" s="885"/>
      <c r="AA60" s="885"/>
      <c r="AB60" s="885"/>
      <c r="AC60" s="885"/>
      <c r="AD60" s="885"/>
      <c r="AE60" s="885"/>
      <c r="AF60" s="885"/>
      <c r="AG60" s="885"/>
      <c r="AH60" s="885"/>
      <c r="AI60" s="885"/>
      <c r="AJ60" s="885"/>
      <c r="AK60" s="885"/>
      <c r="AL60" s="885"/>
      <c r="AM60" s="885"/>
      <c r="AS60" s="3">
        <v>14</v>
      </c>
    </row>
    <row r="61" spans="1:45" ht="14.65" customHeight="1">
      <c r="T61" s="885"/>
      <c r="U61" s="885"/>
      <c r="V61" s="885"/>
      <c r="W61" s="885"/>
      <c r="X61" s="885"/>
      <c r="Y61" s="885"/>
      <c r="Z61" s="885"/>
      <c r="AA61" s="885"/>
      <c r="AB61" s="885"/>
      <c r="AC61" s="885"/>
      <c r="AD61" s="885"/>
      <c r="AE61" s="885"/>
      <c r="AF61" s="885"/>
      <c r="AG61" s="885"/>
      <c r="AH61" s="885"/>
      <c r="AI61" s="885"/>
      <c r="AJ61" s="885"/>
      <c r="AK61" s="885"/>
      <c r="AL61" s="885"/>
      <c r="AM61" s="885"/>
      <c r="AS61" s="3">
        <v>14</v>
      </c>
    </row>
    <row r="62" spans="1:45" ht="14.65" customHeight="1">
      <c r="AS62" s="3">
        <v>14</v>
      </c>
    </row>
    <row r="63" spans="1:45" ht="14.65" customHeight="1">
      <c r="T63" s="885"/>
      <c r="U63" s="885"/>
      <c r="V63" s="885"/>
      <c r="W63" s="885"/>
      <c r="X63" s="885"/>
      <c r="Y63" s="885"/>
      <c r="Z63" s="885"/>
      <c r="AA63" s="885"/>
      <c r="AB63" s="885"/>
      <c r="AC63" s="885"/>
      <c r="AD63" s="885"/>
      <c r="AE63" s="885"/>
      <c r="AF63" s="885"/>
      <c r="AG63" s="885"/>
      <c r="AH63" s="885"/>
      <c r="AI63" s="885"/>
      <c r="AJ63" s="885"/>
      <c r="AK63" s="885"/>
      <c r="AL63" s="885"/>
      <c r="AM63" s="885"/>
      <c r="AS63" s="3">
        <v>14</v>
      </c>
    </row>
    <row r="64" spans="1:45" ht="14.65" customHeight="1">
      <c r="T64" s="885"/>
      <c r="U64" s="885"/>
      <c r="V64" s="885"/>
      <c r="W64" s="885"/>
      <c r="X64" s="885"/>
      <c r="Y64" s="885"/>
      <c r="Z64" s="885"/>
      <c r="AA64" s="885"/>
      <c r="AB64" s="885"/>
      <c r="AC64" s="885"/>
      <c r="AD64" s="885"/>
      <c r="AE64" s="885"/>
      <c r="AF64" s="885"/>
      <c r="AG64" s="885"/>
      <c r="AH64" s="885"/>
      <c r="AI64" s="885"/>
      <c r="AJ64" s="885"/>
      <c r="AK64" s="885"/>
      <c r="AL64" s="885"/>
      <c r="AM64" s="885"/>
      <c r="AS64" s="3">
        <v>14</v>
      </c>
    </row>
    <row r="65" spans="1:45" ht="14.65" customHeight="1">
      <c r="T65" s="885"/>
      <c r="U65" s="885"/>
      <c r="V65" s="885"/>
      <c r="W65" s="885"/>
      <c r="X65" s="885"/>
      <c r="Y65" s="885"/>
      <c r="Z65" s="885"/>
      <c r="AA65" s="885"/>
      <c r="AB65" s="885"/>
      <c r="AC65" s="885"/>
      <c r="AD65" s="885"/>
      <c r="AE65" s="885"/>
      <c r="AF65" s="885"/>
      <c r="AG65" s="885"/>
      <c r="AH65" s="885"/>
      <c r="AI65" s="885"/>
      <c r="AJ65" s="885"/>
      <c r="AK65" s="885"/>
      <c r="AL65" s="885"/>
      <c r="AM65" s="885"/>
      <c r="AS65" s="3">
        <v>14</v>
      </c>
    </row>
    <row r="66" spans="1:45" ht="22.5" hidden="1" customHeight="1">
      <c r="A66" s="11" t="s">
        <v>18</v>
      </c>
      <c r="B66" s="11">
        <v>0</v>
      </c>
      <c r="C66" s="11">
        <v>0</v>
      </c>
      <c r="D66" s="11">
        <v>0</v>
      </c>
      <c r="E66" s="11">
        <v>0</v>
      </c>
      <c r="F66" s="11">
        <v>0</v>
      </c>
      <c r="G66" s="11">
        <v>0</v>
      </c>
      <c r="H66" s="11">
        <v>0</v>
      </c>
      <c r="I66" s="11">
        <v>0</v>
      </c>
      <c r="J66" s="11">
        <v>0</v>
      </c>
      <c r="K66" s="11">
        <v>0</v>
      </c>
      <c r="L66" s="171">
        <v>0</v>
      </c>
      <c r="M66" s="13">
        <v>0</v>
      </c>
      <c r="N66" s="13">
        <v>0</v>
      </c>
      <c r="O66" s="13">
        <v>0</v>
      </c>
      <c r="P66" s="287">
        <v>0</v>
      </c>
      <c r="Q66" s="288">
        <v>3</v>
      </c>
      <c r="R66" s="288">
        <v>3</v>
      </c>
      <c r="S66" s="9">
        <v>12</v>
      </c>
      <c r="T66" s="3">
        <v>31</v>
      </c>
      <c r="U66" s="3">
        <v>0</v>
      </c>
      <c r="V66" s="3">
        <v>0</v>
      </c>
      <c r="W66" s="3">
        <v>0</v>
      </c>
      <c r="X66" s="3">
        <v>0</v>
      </c>
      <c r="Y66" s="3">
        <v>0</v>
      </c>
      <c r="Z66" s="3">
        <v>0</v>
      </c>
      <c r="AA66" s="3">
        <v>0</v>
      </c>
      <c r="AB66" s="3">
        <v>0</v>
      </c>
      <c r="AC66" s="3">
        <v>0</v>
      </c>
      <c r="AD66" s="3">
        <v>24</v>
      </c>
      <c r="AE66" s="3">
        <v>0</v>
      </c>
      <c r="AF66" s="3">
        <v>24</v>
      </c>
      <c r="AG66" s="3">
        <v>24</v>
      </c>
      <c r="AH66" s="3">
        <v>11</v>
      </c>
      <c r="AI66" s="3">
        <v>3</v>
      </c>
      <c r="AJ66" s="3">
        <v>11</v>
      </c>
      <c r="AK66" s="3">
        <v>0</v>
      </c>
      <c r="AL66" s="3">
        <v>4</v>
      </c>
      <c r="AM66" s="3">
        <v>115</v>
      </c>
      <c r="AN66" s="24">
        <v>10</v>
      </c>
      <c r="AO66" s="24">
        <v>10</v>
      </c>
      <c r="AP66" s="24">
        <v>10</v>
      </c>
      <c r="AQ66" s="24">
        <v>10</v>
      </c>
      <c r="AR66" s="24">
        <v>10</v>
      </c>
      <c r="AS66" s="3">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2" width="11.42578125" hidden="1" customWidth="1"/>
    <col min="13" max="13" width="19.140625" hidden="1" customWidth="1"/>
    <col min="14" max="15" width="12.28515625" hidden="1" customWidth="1"/>
    <col min="16" max="16" width="23.42578125" hidden="1" customWidth="1"/>
    <col min="17" max="17" width="3.7109375" hidden="1" customWidth="1"/>
    <col min="18" max="20" width="3" customWidth="1"/>
    <col min="21" max="21" width="12" customWidth="1"/>
    <col min="22" max="22" width="31" customWidth="1"/>
    <col min="23" max="23" width="0.140625" customWidth="1"/>
    <col min="24" max="28" width="21.7109375" hidden="1" customWidth="1"/>
    <col min="29" max="29" width="11.7109375" hidden="1" customWidth="1"/>
    <col min="30" max="30" width="3.7109375" hidden="1" customWidth="1"/>
    <col min="31" max="31" width="11.7109375" hidden="1" customWidth="1"/>
    <col min="32" max="32" width="8.5703125" hidden="1" customWidth="1"/>
    <col min="33" max="33" width="21.7109375" customWidth="1"/>
    <col min="34" max="37" width="21" customWidth="1"/>
    <col min="38" max="38" width="11" customWidth="1"/>
    <col min="39" max="39" width="3.7109375" customWidth="1"/>
    <col min="40" max="40" width="11" customWidth="1"/>
    <col min="41" max="41" width="8.5703125" hidden="1" customWidth="1"/>
    <col min="42" max="42" width="4" customWidth="1"/>
    <col min="43" max="43" width="115" customWidth="1"/>
    <col min="44" max="48" width="10" customWidth="1"/>
    <col min="49" max="49" width="10.5703125" hidden="1"/>
  </cols>
  <sheetData>
    <row r="1" spans="5:49" ht="22.5" hidden="1" customHeight="1">
      <c r="AW1" s="3" t="s">
        <v>1</v>
      </c>
    </row>
    <row r="2" spans="5:49" ht="21" hidden="1" customHeight="1">
      <c r="E2" s="1026">
        <v>1</v>
      </c>
      <c r="T2" s="225"/>
      <c r="U2" s="226" t="e">
        <f>INDEX(PT_DIFFERENTIATION_NUM_NTAR,MATCH(A2,PT_DIFFERENTIATION_NTAR_ID,0))</f>
        <v>#N/A</v>
      </c>
      <c r="V2" s="227" t="s">
        <v>48</v>
      </c>
      <c r="W2" s="228"/>
      <c r="X2" s="995"/>
      <c r="Y2" s="996"/>
      <c r="Z2" s="996"/>
      <c r="AA2" s="996"/>
      <c r="AB2" s="996"/>
      <c r="AC2" s="996"/>
      <c r="AD2" s="996"/>
      <c r="AE2" s="996"/>
      <c r="AF2" s="997"/>
      <c r="AG2" s="995" t="e">
        <f>INDEX(PT_DIFFERENTIATION_NTAR,MATCH(A2,PT_DIFFERENTIATION_NTAR_ID,0))</f>
        <v>#N/A</v>
      </c>
      <c r="AH2" s="996"/>
      <c r="AI2" s="996"/>
      <c r="AJ2" s="996"/>
      <c r="AK2" s="996"/>
      <c r="AL2" s="996"/>
      <c r="AM2" s="996"/>
      <c r="AN2" s="996"/>
      <c r="AO2" s="996"/>
      <c r="AP2" s="997"/>
      <c r="AQ2" s="230" t="s">
        <v>319</v>
      </c>
      <c r="AT2" s="29" t="str">
        <f t="shared" ref="AT2:AT8" si="0">IF(V2="","",V2)</f>
        <v>Наименование тарифа</v>
      </c>
      <c r="AW2" s="3">
        <v>0</v>
      </c>
    </row>
    <row r="3" spans="5:49" ht="21" hidden="1" customHeight="1">
      <c r="E3" s="1027"/>
      <c r="F3" s="1026">
        <v>1</v>
      </c>
      <c r="R3" s="231"/>
      <c r="T3" s="232"/>
      <c r="U3" s="226" t="e">
        <f>INDEX(PT_DIFFERENTIATION_NUM_TER,MATCH(B3,PT_DIFFERENTIATION_TER_ID,0))</f>
        <v>#N/A</v>
      </c>
      <c r="V3" s="233" t="s">
        <v>320</v>
      </c>
      <c r="W3" s="228"/>
      <c r="X3" s="995"/>
      <c r="Y3" s="996"/>
      <c r="Z3" s="996"/>
      <c r="AA3" s="996"/>
      <c r="AB3" s="996"/>
      <c r="AC3" s="996"/>
      <c r="AD3" s="996"/>
      <c r="AE3" s="996"/>
      <c r="AF3" s="997"/>
      <c r="AG3" s="995" t="e">
        <f>INDEX(PT_DIFFERENTIATION_TER,MATCH(B3,PT_DIFFERENTIATION_TER_ID,0))</f>
        <v>#N/A</v>
      </c>
      <c r="AH3" s="996"/>
      <c r="AI3" s="996"/>
      <c r="AJ3" s="996"/>
      <c r="AK3" s="996"/>
      <c r="AL3" s="996"/>
      <c r="AM3" s="996"/>
      <c r="AN3" s="996"/>
      <c r="AO3" s="996"/>
      <c r="AP3" s="997"/>
      <c r="AQ3" s="230" t="s">
        <v>321</v>
      </c>
      <c r="AT3" s="29" t="str">
        <f t="shared" si="0"/>
        <v>Территория действия тарифа</v>
      </c>
      <c r="AW3" s="3">
        <v>0</v>
      </c>
    </row>
    <row r="4" spans="5:49" ht="22.5" hidden="1" customHeight="1">
      <c r="E4" s="1027"/>
      <c r="F4" s="1027"/>
      <c r="G4" s="1026">
        <v>1</v>
      </c>
      <c r="R4" s="231"/>
      <c r="T4" s="232"/>
      <c r="U4" s="226" t="e">
        <f>INDEX(PT_DIFFERENTIATION_NUM_CS,MATCH(C4,PT_DIFFERENTIATION_CS_ID,0))</f>
        <v>#N/A</v>
      </c>
      <c r="V4" s="234" t="s">
        <v>322</v>
      </c>
      <c r="W4" s="228"/>
      <c r="X4" s="995"/>
      <c r="Y4" s="996"/>
      <c r="Z4" s="996"/>
      <c r="AA4" s="996"/>
      <c r="AB4" s="996"/>
      <c r="AC4" s="996"/>
      <c r="AD4" s="996"/>
      <c r="AE4" s="996"/>
      <c r="AF4" s="997"/>
      <c r="AG4" s="995" t="e">
        <f>INDEX(PT_DIFFERENTIATION_CS,MATCH(C4,PT_DIFFERENTIATION_CS_ID,0))</f>
        <v>#N/A</v>
      </c>
      <c r="AH4" s="996"/>
      <c r="AI4" s="996"/>
      <c r="AJ4" s="996"/>
      <c r="AK4" s="996"/>
      <c r="AL4" s="996"/>
      <c r="AM4" s="996"/>
      <c r="AN4" s="996"/>
      <c r="AO4" s="996"/>
      <c r="AP4" s="997"/>
      <c r="AQ4" s="230" t="s">
        <v>323</v>
      </c>
      <c r="AT4" s="29" t="str">
        <f t="shared" si="0"/>
        <v xml:space="preserve">Наименование системы теплоснабжения </v>
      </c>
      <c r="AW4" s="3">
        <v>0</v>
      </c>
    </row>
    <row r="5" spans="5:49" ht="21" hidden="1" customHeight="1">
      <c r="E5" s="1027"/>
      <c r="F5" s="1027"/>
      <c r="G5" s="1027"/>
      <c r="H5" s="1026">
        <v>1</v>
      </c>
      <c r="R5" s="231"/>
      <c r="T5" s="232"/>
      <c r="U5" s="226" t="e">
        <f>INDEX(PT_DIFFERENTIATION_NUM_IST_TE,MATCH(D5,PT_DIFFERENTIATION_IST_TE_ID,0))</f>
        <v>#N/A</v>
      </c>
      <c r="V5" s="235" t="s">
        <v>324</v>
      </c>
      <c r="W5" s="228"/>
      <c r="X5" s="995"/>
      <c r="Y5" s="996"/>
      <c r="Z5" s="996"/>
      <c r="AA5" s="996"/>
      <c r="AB5" s="996"/>
      <c r="AC5" s="996"/>
      <c r="AD5" s="996"/>
      <c r="AE5" s="996"/>
      <c r="AF5" s="997"/>
      <c r="AG5" s="995" t="e">
        <f>INDEX(PT_DIFFERENTIATION_IST_TE,MATCH(D5,PT_DIFFERENTIATION_IST_TE_ID,0))</f>
        <v>#N/A</v>
      </c>
      <c r="AH5" s="996"/>
      <c r="AI5" s="996"/>
      <c r="AJ5" s="996"/>
      <c r="AK5" s="996"/>
      <c r="AL5" s="996"/>
      <c r="AM5" s="996"/>
      <c r="AN5" s="996"/>
      <c r="AO5" s="996"/>
      <c r="AP5" s="997"/>
      <c r="AQ5" s="230" t="s">
        <v>325</v>
      </c>
      <c r="AT5" s="29" t="str">
        <f t="shared" si="0"/>
        <v xml:space="preserve">Источник тепловой энергии  </v>
      </c>
      <c r="AW5" s="3">
        <v>0</v>
      </c>
    </row>
    <row r="6" spans="5:49" ht="14.25" hidden="1" customHeight="1">
      <c r="E6" s="1027"/>
      <c r="F6" s="1027"/>
      <c r="G6" s="1027"/>
      <c r="H6" s="1027"/>
      <c r="I6" s="894" t="e">
        <f>U5&amp;".1"</f>
        <v>#N/A</v>
      </c>
      <c r="M6" s="289" t="s">
        <v>326</v>
      </c>
      <c r="Q6" s="1004">
        <v>1</v>
      </c>
      <c r="T6" s="238"/>
      <c r="U6" s="124"/>
      <c r="V6" s="294"/>
      <c r="W6" s="295"/>
      <c r="X6" s="1031"/>
      <c r="Y6" s="1032"/>
      <c r="Z6" s="1032"/>
      <c r="AA6" s="1032"/>
      <c r="AB6" s="1032"/>
      <c r="AC6" s="1032"/>
      <c r="AD6" s="1032"/>
      <c r="AE6" s="1032"/>
      <c r="AF6" s="1033"/>
      <c r="AG6" s="1031"/>
      <c r="AH6" s="1032"/>
      <c r="AI6" s="1032"/>
      <c r="AJ6" s="1032"/>
      <c r="AK6" s="1032"/>
      <c r="AL6" s="1032"/>
      <c r="AM6" s="1032"/>
      <c r="AN6" s="1032"/>
      <c r="AO6" s="1032"/>
      <c r="AP6" s="1033"/>
      <c r="AQ6" s="297"/>
      <c r="AT6" s="29" t="str">
        <f t="shared" si="0"/>
        <v/>
      </c>
      <c r="AW6" s="3">
        <v>0</v>
      </c>
    </row>
    <row r="7" spans="5:49" ht="21" hidden="1" customHeight="1">
      <c r="E7" s="1027"/>
      <c r="F7" s="1027"/>
      <c r="G7" s="1027"/>
      <c r="H7" s="1027"/>
      <c r="I7" s="887"/>
      <c r="J7" s="894" t="e">
        <f>I6&amp;".1"</f>
        <v>#N/A</v>
      </c>
      <c r="M7" s="289" t="s">
        <v>329</v>
      </c>
      <c r="Q7" s="885"/>
      <c r="R7" s="1004">
        <v>1</v>
      </c>
      <c r="T7" s="240"/>
      <c r="U7" s="226" t="e">
        <f>$J7</f>
        <v>#N/A</v>
      </c>
      <c r="V7" s="241" t="s">
        <v>330</v>
      </c>
      <c r="W7" s="228"/>
      <c r="X7" s="989"/>
      <c r="Y7" s="990"/>
      <c r="Z7" s="990"/>
      <c r="AA7" s="990"/>
      <c r="AB7" s="990"/>
      <c r="AC7" s="985"/>
      <c r="AD7" s="985"/>
      <c r="AE7" s="985"/>
      <c r="AF7" s="1044"/>
      <c r="AG7" s="989"/>
      <c r="AH7" s="990"/>
      <c r="AI7" s="990"/>
      <c r="AJ7" s="990"/>
      <c r="AK7" s="990"/>
      <c r="AL7" s="990"/>
      <c r="AM7" s="990"/>
      <c r="AN7" s="990"/>
      <c r="AO7" s="990"/>
      <c r="AP7" s="991"/>
      <c r="AQ7" s="230" t="s">
        <v>331</v>
      </c>
      <c r="AT7" s="29" t="str">
        <f t="shared" si="0"/>
        <v>Группа потребителей</v>
      </c>
      <c r="AW7" s="3">
        <v>0</v>
      </c>
    </row>
    <row r="8" spans="5:49" ht="21" hidden="1" customHeight="1">
      <c r="E8" s="1027"/>
      <c r="F8" s="1027"/>
      <c r="G8" s="1027"/>
      <c r="H8" s="1027"/>
      <c r="I8" s="887"/>
      <c r="J8" s="887"/>
      <c r="K8" s="894" t="e">
        <f>J7&amp;".1"</f>
        <v>#N/A</v>
      </c>
      <c r="M8" s="289" t="s">
        <v>332</v>
      </c>
      <c r="Q8" s="885"/>
      <c r="R8" s="885"/>
      <c r="S8" s="1004">
        <v>1</v>
      </c>
      <c r="T8" s="240"/>
      <c r="U8" s="226" t="e">
        <f>$K8</f>
        <v>#N/A</v>
      </c>
      <c r="V8" s="242"/>
      <c r="W8" s="228"/>
      <c r="X8" s="243"/>
      <c r="Y8" s="243"/>
      <c r="Z8" s="243"/>
      <c r="AA8" s="243"/>
      <c r="AB8" s="315"/>
      <c r="AC8" s="1005"/>
      <c r="AD8" s="895" t="s">
        <v>17</v>
      </c>
      <c r="AE8" s="1005"/>
      <c r="AF8" s="895" t="s">
        <v>17</v>
      </c>
      <c r="AG8" s="316"/>
      <c r="AH8" s="243"/>
      <c r="AI8" s="243"/>
      <c r="AJ8" s="243"/>
      <c r="AK8" s="245"/>
      <c r="AL8" s="1005"/>
      <c r="AM8" s="895" t="s">
        <v>17</v>
      </c>
      <c r="AN8" s="1005"/>
      <c r="AO8" s="895" t="s">
        <v>17</v>
      </c>
      <c r="AP8" s="244"/>
      <c r="AQ8" s="317" t="s">
        <v>375</v>
      </c>
      <c r="AR8" s="24" t="e">
        <f ca="1">STRCHECKDATE(X10:AP10)</f>
        <v>#NAME?</v>
      </c>
      <c r="AT8" s="29" t="str">
        <f t="shared" si="0"/>
        <v/>
      </c>
      <c r="AW8" s="3">
        <v>0</v>
      </c>
    </row>
    <row r="9" spans="5:49" ht="21" hidden="1" customHeight="1">
      <c r="E9" s="1027"/>
      <c r="F9" s="1027"/>
      <c r="G9" s="1027"/>
      <c r="H9" s="1027"/>
      <c r="I9" s="887"/>
      <c r="J9" s="887"/>
      <c r="K9" s="887"/>
      <c r="L9" s="894" t="e">
        <f>K8&amp;".1"</f>
        <v>#N/A</v>
      </c>
      <c r="Q9" s="885"/>
      <c r="R9" s="885"/>
      <c r="S9" s="885"/>
      <c r="T9" s="240"/>
      <c r="U9" s="226" t="e">
        <f>$L9</f>
        <v>#N/A</v>
      </c>
      <c r="V9" s="318"/>
      <c r="W9" s="228"/>
      <c r="X9" s="244"/>
      <c r="Y9" s="243"/>
      <c r="Z9" s="243"/>
      <c r="AA9" s="243"/>
      <c r="AB9" s="315"/>
      <c r="AC9" s="1006"/>
      <c r="AD9" s="895"/>
      <c r="AE9" s="1006"/>
      <c r="AF9" s="895"/>
      <c r="AG9" s="316"/>
      <c r="AH9" s="243"/>
      <c r="AI9" s="243"/>
      <c r="AJ9" s="243"/>
      <c r="AK9" s="245"/>
      <c r="AL9" s="1006"/>
      <c r="AM9" s="895"/>
      <c r="AN9" s="1006"/>
      <c r="AO9" s="895"/>
      <c r="AP9" s="244"/>
      <c r="AQ9" s="1023" t="s">
        <v>376</v>
      </c>
      <c r="AW9" s="3">
        <v>0</v>
      </c>
    </row>
    <row r="10" spans="5:49" ht="14.25" hidden="1" customHeight="1">
      <c r="E10" s="1027"/>
      <c r="F10" s="1027"/>
      <c r="G10" s="1027"/>
      <c r="H10" s="1027"/>
      <c r="I10" s="887"/>
      <c r="J10" s="887"/>
      <c r="K10" s="887"/>
      <c r="L10" s="894"/>
      <c r="Q10" s="885"/>
      <c r="R10" s="885"/>
      <c r="S10" s="885"/>
      <c r="T10" s="240"/>
      <c r="U10" s="209"/>
      <c r="V10" s="228"/>
      <c r="W10" s="228"/>
      <c r="X10" s="244"/>
      <c r="Y10" s="244"/>
      <c r="Z10" s="244"/>
      <c r="AA10" s="244"/>
      <c r="AB10" s="319" t="str">
        <f>AC8&amp;"-"&amp;AE8</f>
        <v>-</v>
      </c>
      <c r="AC10" s="1006"/>
      <c r="AD10" s="895"/>
      <c r="AE10" s="1006"/>
      <c r="AF10" s="895"/>
      <c r="AG10" s="320"/>
      <c r="AH10" s="244"/>
      <c r="AI10" s="244"/>
      <c r="AJ10" s="244"/>
      <c r="AK10" s="247" t="str">
        <f>AL8&amp;"-"&amp;AN8</f>
        <v>-</v>
      </c>
      <c r="AL10" s="1006"/>
      <c r="AM10" s="895"/>
      <c r="AN10" s="1006"/>
      <c r="AO10" s="895"/>
      <c r="AP10" s="244"/>
      <c r="AQ10" s="1024"/>
      <c r="AT10" s="29" t="str">
        <f>IF(V10="","",V10)</f>
        <v/>
      </c>
      <c r="AW10" s="3">
        <v>0</v>
      </c>
    </row>
    <row r="11" spans="5:49" ht="11.25" hidden="1" customHeight="1">
      <c r="E11" s="1027"/>
      <c r="F11" s="1027"/>
      <c r="G11" s="1027"/>
      <c r="H11" s="1027"/>
      <c r="I11" s="887"/>
      <c r="J11" s="887"/>
      <c r="K11" s="894"/>
      <c r="Q11" s="885"/>
      <c r="R11" s="885"/>
      <c r="S11" s="885"/>
      <c r="T11" s="240"/>
      <c r="U11" s="249"/>
      <c r="V11" s="250" t="s">
        <v>377</v>
      </c>
      <c r="W11" s="321"/>
      <c r="X11" s="322"/>
      <c r="Y11" s="322"/>
      <c r="Z11" s="322"/>
      <c r="AA11" s="322"/>
      <c r="AB11" s="323"/>
      <c r="AC11" s="1006"/>
      <c r="AD11" s="895"/>
      <c r="AE11" s="1006"/>
      <c r="AF11" s="895"/>
      <c r="AG11" s="322"/>
      <c r="AH11" s="322"/>
      <c r="AI11" s="322"/>
      <c r="AJ11" s="322"/>
      <c r="AK11" s="323"/>
      <c r="AL11" s="1006"/>
      <c r="AM11" s="895"/>
      <c r="AN11" s="1006"/>
      <c r="AO11" s="895"/>
      <c r="AP11" s="324"/>
      <c r="AQ11" s="1024"/>
      <c r="AW11" s="3">
        <v>0</v>
      </c>
    </row>
    <row r="12" spans="5:49" ht="15" hidden="1" customHeight="1">
      <c r="E12" s="1027"/>
      <c r="F12" s="1027"/>
      <c r="G12" s="1027"/>
      <c r="H12" s="1027"/>
      <c r="I12" s="887"/>
      <c r="J12" s="894"/>
      <c r="Q12" s="885"/>
      <c r="R12" s="885"/>
      <c r="T12" s="238"/>
      <c r="U12" s="249"/>
      <c r="V12" s="252" t="s">
        <v>334</v>
      </c>
      <c r="W12" s="54"/>
      <c r="X12" s="54"/>
      <c r="Y12" s="54"/>
      <c r="Z12" s="54"/>
      <c r="AA12" s="54"/>
      <c r="AB12" s="54"/>
      <c r="AC12" s="325"/>
      <c r="AD12" s="325"/>
      <c r="AE12" s="325"/>
      <c r="AF12" s="325"/>
      <c r="AG12" s="54"/>
      <c r="AH12" s="54"/>
      <c r="AI12" s="54"/>
      <c r="AJ12" s="54"/>
      <c r="AK12" s="54"/>
      <c r="AL12" s="54"/>
      <c r="AM12" s="54"/>
      <c r="AN12" s="54"/>
      <c r="AO12" s="54"/>
      <c r="AP12" s="251"/>
      <c r="AQ12" s="1025"/>
      <c r="AT12" s="29" t="str">
        <f t="shared" ref="AT12:AT17" si="1">IF(V12="","",V12)</f>
        <v>Добавить вид теплоносителя (параметры теплоносителя)</v>
      </c>
      <c r="AW12" s="3">
        <v>0</v>
      </c>
    </row>
    <row r="13" spans="5:49" ht="11.25" hidden="1" customHeight="1">
      <c r="E13" s="1027"/>
      <c r="F13" s="1027"/>
      <c r="G13" s="1027"/>
      <c r="H13" s="1027"/>
      <c r="I13" s="894"/>
      <c r="Q13" s="885"/>
      <c r="T13" s="238"/>
      <c r="U13" s="249"/>
      <c r="V13" s="255" t="s">
        <v>335</v>
      </c>
      <c r="W13" s="54"/>
      <c r="X13" s="54"/>
      <c r="Y13" s="54"/>
      <c r="Z13" s="54"/>
      <c r="AA13" s="54"/>
      <c r="AB13" s="54"/>
      <c r="AC13" s="54"/>
      <c r="AD13" s="54"/>
      <c r="AE13" s="54"/>
      <c r="AF13" s="253"/>
      <c r="AG13" s="54"/>
      <c r="AH13" s="54"/>
      <c r="AI13" s="54"/>
      <c r="AJ13" s="54"/>
      <c r="AK13" s="54"/>
      <c r="AL13" s="54"/>
      <c r="AM13" s="54"/>
      <c r="AN13" s="54"/>
      <c r="AO13" s="253"/>
      <c r="AP13" s="54"/>
      <c r="AQ13" s="254"/>
      <c r="AT13" s="29" t="str">
        <f t="shared" si="1"/>
        <v>Добавить группу потребителей</v>
      </c>
      <c r="AW13" s="3">
        <v>0</v>
      </c>
    </row>
    <row r="14" spans="5:49" ht="14.25" hidden="1" customHeight="1">
      <c r="E14" s="1027"/>
      <c r="F14" s="1027"/>
      <c r="G14" s="1027"/>
      <c r="H14" s="1026"/>
      <c r="S14" s="225"/>
      <c r="U14" s="298"/>
      <c r="V14" s="299"/>
      <c r="W14" s="300"/>
      <c r="X14" s="300"/>
      <c r="Y14" s="300"/>
      <c r="Z14" s="300"/>
      <c r="AA14" s="300"/>
      <c r="AB14" s="300"/>
      <c r="AC14" s="300"/>
      <c r="AD14" s="300"/>
      <c r="AE14" s="300"/>
      <c r="AF14" s="300"/>
      <c r="AG14" s="300"/>
      <c r="AH14" s="300"/>
      <c r="AI14" s="300"/>
      <c r="AJ14" s="300"/>
      <c r="AK14" s="300"/>
      <c r="AL14" s="300"/>
      <c r="AM14" s="300"/>
      <c r="AN14" s="300"/>
      <c r="AO14" s="300"/>
      <c r="AP14" s="300"/>
      <c r="AQ14" s="301"/>
      <c r="AT14" s="29" t="str">
        <f t="shared" si="1"/>
        <v/>
      </c>
      <c r="AW14" s="3">
        <v>0</v>
      </c>
    </row>
    <row r="15" spans="5:49" ht="14.25" hidden="1" customHeight="1">
      <c r="E15" s="1027"/>
      <c r="F15" s="1027"/>
      <c r="G15" s="1026"/>
      <c r="U15" s="256"/>
      <c r="V15" s="257" t="s">
        <v>337</v>
      </c>
      <c r="W15" s="258"/>
      <c r="X15" s="258"/>
      <c r="Y15" s="258"/>
      <c r="Z15" s="258"/>
      <c r="AA15" s="258"/>
      <c r="AB15" s="258"/>
      <c r="AC15" s="258"/>
      <c r="AD15" s="258"/>
      <c r="AE15" s="258"/>
      <c r="AF15" s="258"/>
      <c r="AG15" s="258"/>
      <c r="AH15" s="258"/>
      <c r="AI15" s="258"/>
      <c r="AJ15" s="258"/>
      <c r="AK15" s="258"/>
      <c r="AL15" s="258"/>
      <c r="AM15" s="258"/>
      <c r="AN15" s="258"/>
      <c r="AO15" s="258"/>
      <c r="AP15" s="258"/>
      <c r="AQ15" s="258"/>
      <c r="AT15" s="29" t="str">
        <f t="shared" si="1"/>
        <v>Добавить источник для дифференциации</v>
      </c>
      <c r="AW15" s="24">
        <v>0</v>
      </c>
    </row>
    <row r="16" spans="5:49" ht="14.25" hidden="1" customHeight="1">
      <c r="E16" s="1027"/>
      <c r="F16" s="1026"/>
      <c r="V16" s="259" t="s">
        <v>338</v>
      </c>
      <c r="AT16" s="29" t="str">
        <f t="shared" si="1"/>
        <v>Добавить централизованную систему для дифференциации</v>
      </c>
      <c r="AW16" s="24">
        <v>0</v>
      </c>
    </row>
    <row r="17" spans="5:49" ht="14.25" hidden="1" customHeight="1">
      <c r="E17" s="1026"/>
      <c r="V17" s="260" t="s">
        <v>339</v>
      </c>
      <c r="AT17" s="29" t="str">
        <f t="shared" si="1"/>
        <v>Добавить территорию для дифференциации</v>
      </c>
      <c r="AW17" s="24">
        <v>0</v>
      </c>
    </row>
    <row r="18" spans="5:49" ht="14.25" hidden="1" customHeight="1">
      <c r="AW18" s="3">
        <v>0</v>
      </c>
    </row>
    <row r="19" spans="5:49" ht="14.25" hidden="1" customHeight="1">
      <c r="AG19" s="261"/>
      <c r="AH19" s="261"/>
      <c r="AI19" s="261"/>
      <c r="AJ19" s="261"/>
      <c r="AK19" s="262"/>
      <c r="AL19" s="999"/>
      <c r="AM19" s="998" t="s">
        <v>17</v>
      </c>
      <c r="AN19" s="999"/>
      <c r="AO19" s="998" t="s">
        <v>17</v>
      </c>
      <c r="AW19" s="3">
        <v>0</v>
      </c>
    </row>
    <row r="20" spans="5:49" ht="14.25" hidden="1" customHeight="1">
      <c r="AG20" s="261"/>
      <c r="AH20" s="261"/>
      <c r="AI20" s="261"/>
      <c r="AJ20" s="261"/>
      <c r="AK20" s="262"/>
      <c r="AL20" s="999"/>
      <c r="AM20" s="998"/>
      <c r="AN20" s="999"/>
      <c r="AO20" s="998"/>
      <c r="AW20" s="3">
        <v>0</v>
      </c>
    </row>
    <row r="21" spans="5:49" ht="14.25" hidden="1" customHeight="1">
      <c r="AG21" s="261"/>
      <c r="AH21" s="261"/>
      <c r="AI21" s="261"/>
      <c r="AJ21" s="261"/>
      <c r="AK21" s="262"/>
      <c r="AL21" s="999"/>
      <c r="AM21" s="998"/>
      <c r="AN21" s="999"/>
      <c r="AO21" s="998"/>
      <c r="AW21" s="3">
        <v>0</v>
      </c>
    </row>
    <row r="22" spans="5:49" ht="14.25" hidden="1" customHeight="1">
      <c r="AG22" s="261"/>
      <c r="AH22" s="261"/>
      <c r="AI22" s="261"/>
      <c r="AJ22" s="261"/>
      <c r="AK22" s="247" t="str">
        <f>AL19&amp;"-"&amp;AN19</f>
        <v>-</v>
      </c>
      <c r="AL22" s="998"/>
      <c r="AM22" s="998"/>
      <c r="AN22" s="998"/>
      <c r="AO22" s="998"/>
      <c r="AW22" s="3">
        <v>0</v>
      </c>
    </row>
    <row r="23" spans="5:49" ht="14.25" hidden="1" customHeight="1">
      <c r="AW23" s="3">
        <v>0</v>
      </c>
    </row>
    <row r="24" spans="5:49" ht="22.5" hidden="1" customHeight="1">
      <c r="P24" s="290" t="s">
        <v>340</v>
      </c>
      <c r="AC24" s="263"/>
      <c r="AE24" s="263"/>
      <c r="AL24" s="263"/>
      <c r="AN24" s="263"/>
      <c r="AW24" s="11">
        <v>0</v>
      </c>
    </row>
    <row r="25" spans="5:49" ht="14.25" hidden="1" customHeight="1">
      <c r="AW25" s="11">
        <v>0</v>
      </c>
    </row>
    <row r="26" spans="5:49" ht="14.25" hidden="1" customHeight="1">
      <c r="P26" s="289" t="s">
        <v>341</v>
      </c>
      <c r="V26" s="11" t="s">
        <v>342</v>
      </c>
      <c r="AD26" s="60" t="s">
        <v>343</v>
      </c>
      <c r="AF26" s="60" t="s">
        <v>344</v>
      </c>
      <c r="AG26" s="11" t="s">
        <v>342</v>
      </c>
      <c r="AM26" s="60" t="s">
        <v>345</v>
      </c>
      <c r="AO26" s="60" t="s">
        <v>344</v>
      </c>
      <c r="AW26" s="11">
        <v>0</v>
      </c>
    </row>
    <row r="27" spans="5:49" ht="14.25" hidden="1" customHeight="1">
      <c r="AW27" s="3">
        <v>0</v>
      </c>
    </row>
    <row r="28" spans="5:49" ht="14.25" hidden="1" customHeight="1">
      <c r="AW28" s="3">
        <v>0</v>
      </c>
    </row>
    <row r="29" spans="5:49" ht="14.65" customHeight="1">
      <c r="R29" s="264"/>
      <c r="S29" s="264"/>
      <c r="T29" s="264"/>
      <c r="U29" s="265"/>
      <c r="V29" s="12"/>
      <c r="W29" s="12"/>
      <c r="AW29" s="3">
        <v>14</v>
      </c>
    </row>
    <row r="30" spans="5:49" ht="56.65" customHeight="1">
      <c r="R30" s="264"/>
      <c r="S30" s="264"/>
      <c r="T30" s="264"/>
      <c r="U30" s="98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982"/>
      <c r="W30" s="982"/>
      <c r="X30" s="982"/>
      <c r="Y30" s="982"/>
      <c r="Z30" s="982"/>
      <c r="AA30" s="982"/>
      <c r="AB30" s="982"/>
      <c r="AC30" s="982"/>
      <c r="AD30" s="982"/>
      <c r="AE30" s="982"/>
      <c r="AF30" s="982"/>
      <c r="AG30" s="982"/>
      <c r="AH30" s="982"/>
      <c r="AI30" s="982"/>
      <c r="AJ30" s="982"/>
      <c r="AK30" s="982"/>
      <c r="AL30" s="982"/>
      <c r="AM30" s="982"/>
      <c r="AN30" s="982"/>
      <c r="AW30" s="3">
        <v>54</v>
      </c>
    </row>
    <row r="31" spans="5:49" ht="14.65" customHeight="1">
      <c r="R31" s="264"/>
      <c r="S31" s="264"/>
      <c r="T31" s="264"/>
      <c r="U31" s="955" t="e">
        <f>IF(org=0,"Не определено",org)</f>
        <v>#REF!</v>
      </c>
      <c r="V31" s="955"/>
      <c r="W31" s="955"/>
      <c r="X31" s="955"/>
      <c r="Y31" s="955"/>
      <c r="Z31" s="955"/>
      <c r="AA31" s="955"/>
      <c r="AB31" s="955"/>
      <c r="AC31" s="955"/>
      <c r="AD31" s="955"/>
      <c r="AE31" s="955"/>
      <c r="AF31" s="955"/>
      <c r="AG31" s="955"/>
      <c r="AH31" s="955"/>
      <c r="AI31" s="955"/>
      <c r="AJ31" s="955"/>
      <c r="AK31" s="955"/>
      <c r="AL31" s="955"/>
      <c r="AM31" s="955"/>
      <c r="AN31" s="955"/>
      <c r="AW31" s="3">
        <v>14</v>
      </c>
    </row>
    <row r="32" spans="5:49" ht="14.25" hidden="1" customHeight="1">
      <c r="R32" s="264"/>
      <c r="S32" s="264"/>
      <c r="T32" s="264"/>
      <c r="U32" s="265"/>
      <c r="V32" s="12"/>
      <c r="W32" s="12"/>
      <c r="X32" s="266"/>
      <c r="Y32" s="266"/>
      <c r="Z32" s="266"/>
      <c r="AA32" s="266"/>
      <c r="AB32" s="266"/>
      <c r="AC32" s="266"/>
      <c r="AD32" s="266"/>
      <c r="AE32" s="266"/>
      <c r="AF32" s="266"/>
      <c r="AG32" s="266"/>
      <c r="AH32" s="266"/>
      <c r="AI32" s="266"/>
      <c r="AJ32" s="266"/>
      <c r="AK32" s="266"/>
      <c r="AL32" s="266"/>
      <c r="AM32" s="266"/>
      <c r="AN32" s="266"/>
      <c r="AO32" s="266"/>
      <c r="AW32" s="3">
        <v>0</v>
      </c>
    </row>
    <row r="33" spans="2:49" ht="25.5" hidden="1" customHeight="1">
      <c r="U33" s="992" t="s">
        <v>9</v>
      </c>
      <c r="V33" s="992"/>
      <c r="W33" s="268"/>
      <c r="X33" s="994" t="e">
        <f>IF(TITLE_NAME_OR_PR_CHANGE="",IF(TITLE_NAME_OR_PR="","",TITLE_NAME_OR_PR),TITLE_NAME_OR_PR_CHANGE)</f>
        <v>#REF!</v>
      </c>
      <c r="Y33" s="994"/>
      <c r="Z33" s="994"/>
      <c r="AA33" s="994"/>
      <c r="AB33" s="994"/>
      <c r="AC33" s="994"/>
      <c r="AD33" s="994"/>
      <c r="AE33" s="994"/>
      <c r="AG33" s="994" t="e">
        <f>IF(TITLE_NAME_OR_PR_CHANGE="",IF(TITLE_NAME_OR_PR="","",TITLE_NAME_OR_PR),TITLE_NAME_OR_PR_CHANGE)</f>
        <v>#REF!</v>
      </c>
      <c r="AH33" s="994"/>
      <c r="AI33" s="994"/>
      <c r="AJ33" s="994"/>
      <c r="AK33" s="994"/>
      <c r="AL33" s="994"/>
      <c r="AM33" s="994"/>
      <c r="AN33" s="994"/>
      <c r="AW33" s="50">
        <v>0</v>
      </c>
    </row>
    <row r="34" spans="2:49" ht="18.75" hidden="1" customHeight="1">
      <c r="U34" s="992" t="s">
        <v>346</v>
      </c>
      <c r="V34" s="992"/>
      <c r="W34" s="268"/>
      <c r="X34" s="993" t="e">
        <f>IF(TITLE_DATE_PR_CHANGE="",IF(TITLE_DATE_PR="","",TITLE_DATE_PR),TITLE_DATE_PR_CHANGE)</f>
        <v>#REF!</v>
      </c>
      <c r="Y34" s="993"/>
      <c r="Z34" s="993"/>
      <c r="AA34" s="993"/>
      <c r="AB34" s="993"/>
      <c r="AC34" s="993"/>
      <c r="AD34" s="993"/>
      <c r="AE34" s="993"/>
      <c r="AG34" s="993" t="e">
        <f>IF(TITLE_DATE_PR_CHANGE="",IF(TITLE_DATE_PR="","",TITLE_DATE_PR),TITLE_DATE_PR_CHANGE)</f>
        <v>#REF!</v>
      </c>
      <c r="AH34" s="993"/>
      <c r="AI34" s="993"/>
      <c r="AJ34" s="993"/>
      <c r="AK34" s="993"/>
      <c r="AL34" s="993"/>
      <c r="AM34" s="993"/>
      <c r="AN34" s="993"/>
      <c r="AW34" s="50">
        <v>0</v>
      </c>
    </row>
    <row r="35" spans="2:49" ht="18.75" hidden="1" customHeight="1">
      <c r="U35" s="992" t="s">
        <v>347</v>
      </c>
      <c r="V35" s="992"/>
      <c r="W35" s="268"/>
      <c r="X35" s="994" t="e">
        <f>IF(TITLE_NUMBER_PR_CHANGE="",IF(TITLE_NUMBER_PR="","",TITLE_NUMBER_PR),TITLE_NUMBER_PR_CHANGE)</f>
        <v>#REF!</v>
      </c>
      <c r="Y35" s="994"/>
      <c r="Z35" s="994"/>
      <c r="AA35" s="994"/>
      <c r="AB35" s="994"/>
      <c r="AC35" s="994"/>
      <c r="AD35" s="994"/>
      <c r="AE35" s="994"/>
      <c r="AG35" s="994" t="e">
        <f>IF(TITLE_NUMBER_PR_CHANGE="",IF(TITLE_NUMBER_PR="","",TITLE_NUMBER_PR),TITLE_NUMBER_PR_CHANGE)</f>
        <v>#REF!</v>
      </c>
      <c r="AH35" s="994"/>
      <c r="AI35" s="994"/>
      <c r="AJ35" s="994"/>
      <c r="AK35" s="994"/>
      <c r="AL35" s="994"/>
      <c r="AM35" s="994"/>
      <c r="AN35" s="994"/>
      <c r="AW35" s="50">
        <v>0</v>
      </c>
    </row>
    <row r="36" spans="2:49" ht="18.75" hidden="1" customHeight="1">
      <c r="U36" s="992" t="s">
        <v>10</v>
      </c>
      <c r="V36" s="992"/>
      <c r="W36" s="268"/>
      <c r="X36" s="994" t="e">
        <f>IF(TITLE_IST_PUB_CHANGE="",IF(TITLE_IST_PUB="","",TITLE_IST_PUB),TITLE_IST_PUB_CHANGE)</f>
        <v>#REF!</v>
      </c>
      <c r="Y36" s="994"/>
      <c r="Z36" s="994"/>
      <c r="AA36" s="994"/>
      <c r="AB36" s="994"/>
      <c r="AC36" s="994"/>
      <c r="AD36" s="994"/>
      <c r="AE36" s="994"/>
      <c r="AG36" s="994" t="e">
        <f>IF(TITLE_IST_PUB_CHANGE="",IF(TITLE_IST_PUB="","",TITLE_IST_PUB),TITLE_IST_PUB_CHANGE)</f>
        <v>#REF!</v>
      </c>
      <c r="AH36" s="994"/>
      <c r="AI36" s="994"/>
      <c r="AJ36" s="994"/>
      <c r="AK36" s="994"/>
      <c r="AL36" s="994"/>
      <c r="AM36" s="994"/>
      <c r="AN36" s="994"/>
      <c r="AW36" s="50">
        <v>0</v>
      </c>
    </row>
    <row r="37" spans="2:49" ht="14.25" hidden="1" customHeight="1">
      <c r="R37" s="264"/>
      <c r="S37" s="264"/>
      <c r="T37" s="264"/>
      <c r="U37" s="265"/>
      <c r="V37" s="12"/>
      <c r="W37" s="12"/>
      <c r="X37" s="266"/>
      <c r="Y37" s="266"/>
      <c r="Z37" s="266"/>
      <c r="AA37" s="266"/>
      <c r="AB37" s="266"/>
      <c r="AC37" s="266"/>
      <c r="AD37" s="266"/>
      <c r="AE37" s="266"/>
      <c r="AF37" s="266"/>
      <c r="AG37" s="266"/>
      <c r="AH37" s="266"/>
      <c r="AI37" s="266"/>
      <c r="AJ37" s="266"/>
      <c r="AK37" s="266"/>
      <c r="AL37" s="266"/>
      <c r="AM37" s="266"/>
      <c r="AN37" s="266"/>
      <c r="AO37" s="266"/>
      <c r="AW37" s="3">
        <v>0</v>
      </c>
    </row>
    <row r="38" spans="2:49" ht="18.75" hidden="1" customHeight="1">
      <c r="U38" s="992" t="s">
        <v>348</v>
      </c>
      <c r="V38" s="992"/>
      <c r="W38" s="268"/>
      <c r="X38" s="993" t="e">
        <f>IF(TITLE_DATE_PR_CHANGE="",IF(TITLE_DATE_PR="","",TITLE_DATE_PR),TITLE_DATE_PR_CHANGE)</f>
        <v>#REF!</v>
      </c>
      <c r="Y38" s="993"/>
      <c r="Z38" s="993"/>
      <c r="AA38" s="993"/>
      <c r="AB38" s="993"/>
      <c r="AC38" s="993"/>
      <c r="AD38" s="993"/>
      <c r="AE38" s="993"/>
      <c r="AG38" s="993" t="e">
        <f>IF(TITLE_DATE_PR_CHANGE="",IF(TITLE_DATE_PR="","",TITLE_DATE_PR),TITLE_DATE_PR_CHANGE)</f>
        <v>#REF!</v>
      </c>
      <c r="AH38" s="993"/>
      <c r="AI38" s="993"/>
      <c r="AJ38" s="993"/>
      <c r="AK38" s="993"/>
      <c r="AL38" s="993"/>
      <c r="AM38" s="993"/>
      <c r="AN38" s="993"/>
      <c r="AW38" s="50">
        <v>0</v>
      </c>
    </row>
    <row r="39" spans="2:49" ht="18.75" hidden="1" customHeight="1">
      <c r="U39" s="992" t="s">
        <v>349</v>
      </c>
      <c r="V39" s="992"/>
      <c r="W39" s="268"/>
      <c r="X39" s="994" t="e">
        <f>IF(TITLE_NUMBER_PR_CHANGE="",IF(TITLE_NUMBER_PR="","",TITLE_NUMBER_PR),TITLE_NUMBER_PR_CHANGE)</f>
        <v>#REF!</v>
      </c>
      <c r="Y39" s="994"/>
      <c r="Z39" s="994"/>
      <c r="AA39" s="994"/>
      <c r="AB39" s="994"/>
      <c r="AC39" s="994"/>
      <c r="AD39" s="994"/>
      <c r="AE39" s="994"/>
      <c r="AG39" s="994" t="e">
        <f>IF(TITLE_NUMBER_PR_CHANGE="",IF(TITLE_NUMBER_PR="","",TITLE_NUMBER_PR),TITLE_NUMBER_PR_CHANGE)</f>
        <v>#REF!</v>
      </c>
      <c r="AH39" s="994"/>
      <c r="AI39" s="994"/>
      <c r="AJ39" s="994"/>
      <c r="AK39" s="994"/>
      <c r="AL39" s="994"/>
      <c r="AM39" s="994"/>
      <c r="AN39" s="994"/>
      <c r="AW39" s="50">
        <v>0</v>
      </c>
    </row>
    <row r="40" spans="2:49" ht="0" hidden="1" customHeight="1">
      <c r="AF40" s="24" t="s">
        <v>350</v>
      </c>
      <c r="AO40" s="24" t="s">
        <v>350</v>
      </c>
      <c r="AW40" s="50">
        <v>0</v>
      </c>
    </row>
    <row r="41" spans="2:49" ht="14.65" customHeight="1">
      <c r="R41" s="264"/>
      <c r="S41" s="264"/>
      <c r="T41" s="264"/>
      <c r="U41" s="265"/>
      <c r="V41" s="12"/>
      <c r="W41" s="270"/>
      <c r="X41" s="1012"/>
      <c r="Y41" s="1012"/>
      <c r="Z41" s="1012"/>
      <c r="AA41" s="1012"/>
      <c r="AB41" s="1012"/>
      <c r="AC41" s="1012"/>
      <c r="AD41" s="1012"/>
      <c r="AE41" s="1012"/>
      <c r="AF41" s="1012"/>
      <c r="AG41" s="1012"/>
      <c r="AH41" s="1012"/>
      <c r="AI41" s="1012"/>
      <c r="AJ41" s="1012"/>
      <c r="AK41" s="1012"/>
      <c r="AL41" s="1012"/>
      <c r="AM41" s="1012"/>
      <c r="AN41" s="1012"/>
      <c r="AO41" s="1012"/>
      <c r="AW41" s="3">
        <v>14</v>
      </c>
    </row>
    <row r="42" spans="2:49" ht="14.65" customHeight="1">
      <c r="R42" s="264"/>
      <c r="S42" s="264"/>
      <c r="T42" s="264"/>
      <c r="U42" s="894" t="s">
        <v>223</v>
      </c>
      <c r="V42" s="894"/>
      <c r="W42" s="894"/>
      <c r="X42" s="894"/>
      <c r="Y42" s="894"/>
      <c r="Z42" s="894"/>
      <c r="AA42" s="894"/>
      <c r="AB42" s="894"/>
      <c r="AC42" s="894"/>
      <c r="AD42" s="894"/>
      <c r="AE42" s="894"/>
      <c r="AF42" s="894"/>
      <c r="AG42" s="894"/>
      <c r="AH42" s="894"/>
      <c r="AI42" s="894"/>
      <c r="AJ42" s="894"/>
      <c r="AK42" s="894"/>
      <c r="AL42" s="894"/>
      <c r="AM42" s="894"/>
      <c r="AN42" s="894"/>
      <c r="AO42" s="894"/>
      <c r="AP42" s="894"/>
      <c r="AQ42" s="894" t="s">
        <v>224</v>
      </c>
      <c r="AW42" s="3">
        <v>14</v>
      </c>
    </row>
    <row r="43" spans="2:49" ht="14.65" customHeight="1">
      <c r="R43" s="264"/>
      <c r="S43" s="264"/>
      <c r="T43" s="264"/>
      <c r="U43" s="1013" t="s">
        <v>24</v>
      </c>
      <c r="V43" s="962" t="s">
        <v>351</v>
      </c>
      <c r="W43" s="272"/>
      <c r="X43" s="1014" t="s">
        <v>352</v>
      </c>
      <c r="Y43" s="1030"/>
      <c r="Z43" s="1030"/>
      <c r="AA43" s="1030"/>
      <c r="AB43" s="1030"/>
      <c r="AC43" s="1015"/>
      <c r="AD43" s="1015"/>
      <c r="AE43" s="1016"/>
      <c r="AF43" s="1017" t="s">
        <v>353</v>
      </c>
      <c r="AG43" s="1014" t="s">
        <v>352</v>
      </c>
      <c r="AH43" s="1030"/>
      <c r="AI43" s="1030"/>
      <c r="AJ43" s="1030"/>
      <c r="AK43" s="1030"/>
      <c r="AL43" s="1015"/>
      <c r="AM43" s="1015"/>
      <c r="AN43" s="1016"/>
      <c r="AO43" s="1017" t="s">
        <v>354</v>
      </c>
      <c r="AP43" s="1020" t="s">
        <v>355</v>
      </c>
      <c r="AQ43" s="894"/>
      <c r="AW43" s="3">
        <v>14</v>
      </c>
    </row>
    <row r="44" spans="2:49" ht="35.65" customHeight="1">
      <c r="R44" s="264"/>
      <c r="S44" s="264"/>
      <c r="T44" s="264"/>
      <c r="U44" s="1013"/>
      <c r="V44" s="962"/>
      <c r="W44" s="274"/>
      <c r="X44" s="936" t="s">
        <v>378</v>
      </c>
      <c r="Y44" s="894" t="s">
        <v>379</v>
      </c>
      <c r="Z44" s="894"/>
      <c r="AA44" s="894"/>
      <c r="AB44" s="894"/>
      <c r="AC44" s="936" t="s">
        <v>359</v>
      </c>
      <c r="AD44" s="1042"/>
      <c r="AE44" s="937"/>
      <c r="AF44" s="1018"/>
      <c r="AG44" s="936" t="s">
        <v>378</v>
      </c>
      <c r="AH44" s="894" t="s">
        <v>379</v>
      </c>
      <c r="AI44" s="894"/>
      <c r="AJ44" s="894"/>
      <c r="AK44" s="894"/>
      <c r="AL44" s="936" t="s">
        <v>359</v>
      </c>
      <c r="AM44" s="1042"/>
      <c r="AN44" s="937"/>
      <c r="AO44" s="1018"/>
      <c r="AP44" s="1021"/>
      <c r="AQ44" s="894"/>
      <c r="AW44" s="3">
        <v>34</v>
      </c>
    </row>
    <row r="45" spans="2:49" ht="14.65" customHeight="1">
      <c r="R45" s="264"/>
      <c r="S45" s="264"/>
      <c r="T45" s="264"/>
      <c r="U45" s="1013"/>
      <c r="V45" s="962"/>
      <c r="W45" s="274"/>
      <c r="X45" s="938"/>
      <c r="Y45" s="968" t="s">
        <v>380</v>
      </c>
      <c r="Z45" s="967" t="s">
        <v>381</v>
      </c>
      <c r="AA45" s="980"/>
      <c r="AB45" s="981"/>
      <c r="AC45" s="941"/>
      <c r="AD45" s="1043"/>
      <c r="AE45" s="942"/>
      <c r="AF45" s="1018"/>
      <c r="AG45" s="938"/>
      <c r="AH45" s="968" t="s">
        <v>380</v>
      </c>
      <c r="AI45" s="967" t="s">
        <v>381</v>
      </c>
      <c r="AJ45" s="980"/>
      <c r="AK45" s="981"/>
      <c r="AL45" s="941"/>
      <c r="AM45" s="1043"/>
      <c r="AN45" s="942"/>
      <c r="AO45" s="1018"/>
      <c r="AP45" s="1021"/>
      <c r="AQ45" s="894"/>
      <c r="AW45" s="3">
        <v>14</v>
      </c>
    </row>
    <row r="46" spans="2:49" ht="27.4" customHeight="1">
      <c r="R46" s="264"/>
      <c r="S46" s="264"/>
      <c r="T46" s="264"/>
      <c r="U46" s="1013"/>
      <c r="V46" s="962"/>
      <c r="W46" s="274"/>
      <c r="X46" s="938"/>
      <c r="Y46" s="1041"/>
      <c r="Z46" s="968" t="s">
        <v>382</v>
      </c>
      <c r="AA46" s="967" t="s">
        <v>383</v>
      </c>
      <c r="AB46" s="981"/>
      <c r="AC46" s="968" t="s">
        <v>369</v>
      </c>
      <c r="AD46" s="972" t="s">
        <v>370</v>
      </c>
      <c r="AE46" s="970"/>
      <c r="AF46" s="1018"/>
      <c r="AG46" s="938"/>
      <c r="AH46" s="1041"/>
      <c r="AI46" s="968" t="s">
        <v>382</v>
      </c>
      <c r="AJ46" s="967" t="s">
        <v>383</v>
      </c>
      <c r="AK46" s="981"/>
      <c r="AL46" s="968" t="s">
        <v>369</v>
      </c>
      <c r="AM46" s="972" t="s">
        <v>370</v>
      </c>
      <c r="AN46" s="970"/>
      <c r="AO46" s="1018"/>
      <c r="AP46" s="1021"/>
      <c r="AQ46" s="894"/>
      <c r="AW46" s="3">
        <v>26</v>
      </c>
    </row>
    <row r="47" spans="2:49" ht="65.25" customHeight="1">
      <c r="B47" s="59" t="s">
        <v>60</v>
      </c>
      <c r="C47" s="59" t="s">
        <v>61</v>
      </c>
      <c r="D47" s="59" t="s">
        <v>62</v>
      </c>
      <c r="E47" s="289" t="s">
        <v>360</v>
      </c>
      <c r="F47" s="289" t="s">
        <v>361</v>
      </c>
      <c r="G47" s="289" t="s">
        <v>362</v>
      </c>
      <c r="H47" s="289" t="s">
        <v>363</v>
      </c>
      <c r="I47" s="289" t="s">
        <v>364</v>
      </c>
      <c r="J47" s="289" t="s">
        <v>365</v>
      </c>
      <c r="K47" s="289" t="s">
        <v>366</v>
      </c>
      <c r="L47" s="289" t="s">
        <v>384</v>
      </c>
      <c r="M47" s="289" t="s">
        <v>341</v>
      </c>
      <c r="R47" s="264"/>
      <c r="S47" s="264"/>
      <c r="T47" s="264"/>
      <c r="U47" s="1013"/>
      <c r="V47" s="962"/>
      <c r="W47" s="275"/>
      <c r="X47" s="941"/>
      <c r="Y47" s="969"/>
      <c r="Z47" s="969"/>
      <c r="AA47" s="65" t="s">
        <v>385</v>
      </c>
      <c r="AB47" s="65" t="s">
        <v>386</v>
      </c>
      <c r="AC47" s="969"/>
      <c r="AD47" s="973"/>
      <c r="AE47" s="971"/>
      <c r="AF47" s="1019"/>
      <c r="AG47" s="941"/>
      <c r="AH47" s="969"/>
      <c r="AI47" s="969"/>
      <c r="AJ47" s="65" t="s">
        <v>385</v>
      </c>
      <c r="AK47" s="65" t="s">
        <v>386</v>
      </c>
      <c r="AL47" s="969"/>
      <c r="AM47" s="973"/>
      <c r="AN47" s="971"/>
      <c r="AO47" s="1019"/>
      <c r="AP47" s="1022"/>
      <c r="AQ47" s="894"/>
      <c r="AW47" s="3">
        <v>62</v>
      </c>
    </row>
    <row r="48" spans="2:49" ht="11.25" hidden="1" customHeight="1">
      <c r="R48" s="278"/>
      <c r="S48" s="279">
        <v>1</v>
      </c>
      <c r="T48" s="279"/>
      <c r="U48" s="280" t="s">
        <v>31</v>
      </c>
      <c r="V48" s="281" t="s">
        <v>39</v>
      </c>
      <c r="W48" s="282" t="str">
        <f ca="1">OFFSET(W48,0,-1)</f>
        <v>2</v>
      </c>
      <c r="X48" s="283">
        <f ca="1">OFFSET(X48,0,-1)+1</f>
        <v>3</v>
      </c>
      <c r="Y48" s="185"/>
      <c r="Z48" s="185"/>
      <c r="AA48" s="185">
        <f ca="1">OFFSET(AA48,0,-1)+1</f>
        <v>1</v>
      </c>
      <c r="AB48" s="185">
        <f ca="1">OFFSET(AB48,0,-1)+1</f>
        <v>2</v>
      </c>
      <c r="AC48" s="283">
        <f ca="1">OFFSET(AC48,0,-1)+1</f>
        <v>3</v>
      </c>
      <c r="AD48" s="1011">
        <f ca="1">OFFSET(AD48,0,-1)+1</f>
        <v>4</v>
      </c>
      <c r="AE48" s="1011"/>
      <c r="AF48" s="283">
        <f ca="1">OFFSET(AF48,0,-2)+1</f>
        <v>5</v>
      </c>
      <c r="AG48" s="283">
        <f ca="1">OFFSET(AG48,0,-1)+1</f>
        <v>6</v>
      </c>
      <c r="AH48" s="283"/>
      <c r="AI48" s="283"/>
      <c r="AJ48" s="283">
        <f ca="1">OFFSET(AJ48,0,-1)+1</f>
        <v>1</v>
      </c>
      <c r="AK48" s="283">
        <f ca="1">OFFSET(AK48,0,-1)+1</f>
        <v>2</v>
      </c>
      <c r="AL48" s="283">
        <f ca="1">OFFSET(AL48,0,-1)+1</f>
        <v>3</v>
      </c>
      <c r="AM48" s="1011">
        <f ca="1">OFFSET(AM48,0,-1)+1</f>
        <v>4</v>
      </c>
      <c r="AN48" s="1011"/>
      <c r="AO48" s="283">
        <f ca="1">OFFSET(AO48,0,-2)+1</f>
        <v>5</v>
      </c>
      <c r="AP48" s="282">
        <f ca="1">OFFSET(AP48,0,-1)</f>
        <v>5</v>
      </c>
      <c r="AQ48" s="283">
        <f ca="1">OFFSET(AQ48,0,-1)+1</f>
        <v>6</v>
      </c>
      <c r="AW48" s="189">
        <v>0</v>
      </c>
    </row>
    <row r="49" spans="1:49" ht="21.95" customHeight="1">
      <c r="A49" s="76" t="s">
        <v>99</v>
      </c>
      <c r="E49" s="1026">
        <v>1</v>
      </c>
      <c r="T49" s="225"/>
      <c r="U49" s="226">
        <f>INDEX(PT_DIFFERENTIATION_NUM_NTAR,MATCH(A49,PT_DIFFERENTIATION_NTAR_ID,0))</f>
        <v>0</v>
      </c>
      <c r="V49" s="227" t="s">
        <v>48</v>
      </c>
      <c r="W49" s="228"/>
      <c r="X49" s="995"/>
      <c r="Y49" s="996"/>
      <c r="Z49" s="996"/>
      <c r="AA49" s="996"/>
      <c r="AB49" s="996"/>
      <c r="AC49" s="996"/>
      <c r="AD49" s="996"/>
      <c r="AE49" s="996"/>
      <c r="AF49" s="997"/>
      <c r="AG49" s="995" t="str">
        <f>INDEX(PT_DIFFERENTIATION_NTAR,MATCH(A49,PT_DIFFERENTIATION_NTAR_ID,0))</f>
        <v/>
      </c>
      <c r="AH49" s="996"/>
      <c r="AI49" s="996"/>
      <c r="AJ49" s="996"/>
      <c r="AK49" s="996"/>
      <c r="AL49" s="996"/>
      <c r="AM49" s="996"/>
      <c r="AN49" s="996"/>
      <c r="AO49" s="996"/>
      <c r="AP49" s="997"/>
      <c r="AQ49" s="23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T49" s="29" t="str">
        <f t="shared" ref="AT49:AT65" si="2">IF(V49="","",V49)</f>
        <v>Наименование тарифа</v>
      </c>
      <c r="AW49" s="3">
        <v>21</v>
      </c>
    </row>
    <row r="50" spans="1:49" ht="21.95" customHeight="1">
      <c r="A50" s="76" t="s">
        <v>99</v>
      </c>
      <c r="B50" s="76" t="s">
        <v>100</v>
      </c>
      <c r="E50" s="1027"/>
      <c r="F50" s="1026">
        <v>1</v>
      </c>
      <c r="R50" s="231"/>
      <c r="T50" s="232"/>
      <c r="U50" s="226" t="str">
        <f>INDEX(PT_DIFFERENTIATION_NUM_TER,MATCH(B50,PT_DIFFERENTIATION_TER_ID,0))</f>
        <v>.</v>
      </c>
      <c r="V50" s="233" t="s">
        <v>320</v>
      </c>
      <c r="W50" s="228"/>
      <c r="X50" s="995"/>
      <c r="Y50" s="996"/>
      <c r="Z50" s="996"/>
      <c r="AA50" s="996"/>
      <c r="AB50" s="996"/>
      <c r="AC50" s="996"/>
      <c r="AD50" s="996"/>
      <c r="AE50" s="996"/>
      <c r="AF50" s="997"/>
      <c r="AG50" s="995" t="str">
        <f>INDEX(PT_DIFFERENTIATION_TER,MATCH(B50,PT_DIFFERENTIATION_TER_ID,0))</f>
        <v/>
      </c>
      <c r="AH50" s="996"/>
      <c r="AI50" s="996"/>
      <c r="AJ50" s="996"/>
      <c r="AK50" s="996"/>
      <c r="AL50" s="996"/>
      <c r="AM50" s="996"/>
      <c r="AN50" s="996"/>
      <c r="AO50" s="996"/>
      <c r="AP50" s="997"/>
      <c r="AQ50" s="230" t="s">
        <v>321</v>
      </c>
      <c r="AT50" s="29" t="str">
        <f t="shared" si="2"/>
        <v>Территория действия тарифа</v>
      </c>
      <c r="AW50" s="3">
        <v>21</v>
      </c>
    </row>
    <row r="51" spans="1:49" ht="24" customHeight="1">
      <c r="A51" s="76" t="s">
        <v>99</v>
      </c>
      <c r="B51" s="76" t="s">
        <v>100</v>
      </c>
      <c r="C51" s="76" t="s">
        <v>101</v>
      </c>
      <c r="E51" s="1027"/>
      <c r="F51" s="1027"/>
      <c r="G51" s="1026">
        <v>1</v>
      </c>
      <c r="R51" s="231"/>
      <c r="T51" s="232"/>
      <c r="U51" s="226" t="str">
        <f>INDEX(PT_DIFFERENTIATION_NUM_CS,MATCH(C51,PT_DIFFERENTIATION_CS_ID,0))</f>
        <v>..</v>
      </c>
      <c r="V51" s="234" t="s">
        <v>322</v>
      </c>
      <c r="W51" s="228"/>
      <c r="X51" s="995"/>
      <c r="Y51" s="996"/>
      <c r="Z51" s="996"/>
      <c r="AA51" s="996"/>
      <c r="AB51" s="996"/>
      <c r="AC51" s="996"/>
      <c r="AD51" s="996"/>
      <c r="AE51" s="996"/>
      <c r="AF51" s="997"/>
      <c r="AG51" s="995" t="str">
        <f>INDEX(PT_DIFFERENTIATION_CS,MATCH(C51,PT_DIFFERENTIATION_CS_ID,0))</f>
        <v/>
      </c>
      <c r="AH51" s="996"/>
      <c r="AI51" s="996"/>
      <c r="AJ51" s="996"/>
      <c r="AK51" s="996"/>
      <c r="AL51" s="996"/>
      <c r="AM51" s="996"/>
      <c r="AN51" s="996"/>
      <c r="AO51" s="996"/>
      <c r="AP51" s="997"/>
      <c r="AQ51" s="230" t="s">
        <v>323</v>
      </c>
      <c r="AT51" s="29" t="str">
        <f t="shared" si="2"/>
        <v xml:space="preserve">Наименование системы теплоснабжения </v>
      </c>
      <c r="AW51" s="3">
        <v>23</v>
      </c>
    </row>
    <row r="52" spans="1:49" ht="21.95" customHeight="1">
      <c r="A52" s="76" t="s">
        <v>99</v>
      </c>
      <c r="B52" s="76" t="s">
        <v>100</v>
      </c>
      <c r="C52" s="76" t="s">
        <v>101</v>
      </c>
      <c r="D52" s="76" t="s">
        <v>102</v>
      </c>
      <c r="E52" s="1027"/>
      <c r="F52" s="1027"/>
      <c r="G52" s="1027"/>
      <c r="H52" s="1026">
        <v>1</v>
      </c>
      <c r="R52" s="231"/>
      <c r="T52" s="232"/>
      <c r="U52" s="226" t="str">
        <f>INDEX(PT_DIFFERENTIATION_NUM_IST_TE,MATCH(D52,PT_DIFFERENTIATION_IST_TE_ID,0))</f>
        <v>...</v>
      </c>
      <c r="V52" s="235" t="s">
        <v>324</v>
      </c>
      <c r="W52" s="228"/>
      <c r="X52" s="995"/>
      <c r="Y52" s="996"/>
      <c r="Z52" s="996"/>
      <c r="AA52" s="996"/>
      <c r="AB52" s="996"/>
      <c r="AC52" s="996"/>
      <c r="AD52" s="996"/>
      <c r="AE52" s="996"/>
      <c r="AF52" s="997"/>
      <c r="AG52" s="995" t="str">
        <f>INDEX(PT_DIFFERENTIATION_IST_TE,MATCH(D52,PT_DIFFERENTIATION_IST_TE_ID,0))</f>
        <v/>
      </c>
      <c r="AH52" s="996"/>
      <c r="AI52" s="996"/>
      <c r="AJ52" s="996"/>
      <c r="AK52" s="996"/>
      <c r="AL52" s="996"/>
      <c r="AM52" s="996"/>
      <c r="AN52" s="996"/>
      <c r="AO52" s="996"/>
      <c r="AP52" s="997"/>
      <c r="AQ52" s="230" t="s">
        <v>325</v>
      </c>
      <c r="AT52" s="29" t="str">
        <f t="shared" si="2"/>
        <v xml:space="preserve">Источник тепловой энергии  </v>
      </c>
      <c r="AW52" s="3">
        <v>21</v>
      </c>
    </row>
    <row r="53" spans="1:49" ht="0" hidden="1" customHeight="1">
      <c r="A53" s="291" t="s">
        <v>99</v>
      </c>
      <c r="B53" s="291" t="s">
        <v>100</v>
      </c>
      <c r="C53" s="291" t="s">
        <v>101</v>
      </c>
      <c r="D53" s="291" t="s">
        <v>102</v>
      </c>
      <c r="E53" s="1027"/>
      <c r="F53" s="1027"/>
      <c r="G53" s="1027"/>
      <c r="H53" s="1027"/>
      <c r="I53" s="894" t="str">
        <f>U52&amp;".1"</f>
        <v>....1</v>
      </c>
      <c r="M53" s="327" t="s">
        <v>326</v>
      </c>
      <c r="Q53" s="1004">
        <v>1</v>
      </c>
      <c r="T53" s="238"/>
      <c r="U53" s="124"/>
      <c r="V53" s="294"/>
      <c r="W53" s="295"/>
      <c r="X53" s="1031"/>
      <c r="Y53" s="1032"/>
      <c r="Z53" s="1032"/>
      <c r="AA53" s="1032"/>
      <c r="AB53" s="1032"/>
      <c r="AC53" s="1032"/>
      <c r="AD53" s="1032"/>
      <c r="AE53" s="1032"/>
      <c r="AF53" s="1033"/>
      <c r="AG53" s="1031"/>
      <c r="AH53" s="1032"/>
      <c r="AI53" s="1032"/>
      <c r="AJ53" s="1032"/>
      <c r="AK53" s="1032"/>
      <c r="AL53" s="1032"/>
      <c r="AM53" s="1032"/>
      <c r="AN53" s="1032"/>
      <c r="AO53" s="1032"/>
      <c r="AP53" s="1033"/>
      <c r="AQ53" s="297"/>
      <c r="AT53" s="29" t="str">
        <f t="shared" si="2"/>
        <v/>
      </c>
      <c r="AW53" s="24">
        <v>0</v>
      </c>
    </row>
    <row r="54" spans="1:49" ht="21.95" customHeight="1">
      <c r="A54" s="76" t="s">
        <v>99</v>
      </c>
      <c r="B54" s="76" t="s">
        <v>100</v>
      </c>
      <c r="C54" s="76" t="s">
        <v>101</v>
      </c>
      <c r="D54" s="76" t="s">
        <v>102</v>
      </c>
      <c r="E54" s="1027"/>
      <c r="F54" s="1027"/>
      <c r="G54" s="1027"/>
      <c r="H54" s="1027"/>
      <c r="I54" s="887"/>
      <c r="J54" s="894" t="str">
        <f>I53&amp;".1"</f>
        <v>....1.1</v>
      </c>
      <c r="M54" s="289" t="s">
        <v>329</v>
      </c>
      <c r="Q54" s="885"/>
      <c r="R54" s="1004">
        <v>1</v>
      </c>
      <c r="T54" s="240"/>
      <c r="U54" s="226" t="str">
        <f>$J54</f>
        <v>....1.1</v>
      </c>
      <c r="V54" s="241" t="s">
        <v>330</v>
      </c>
      <c r="W54" s="228"/>
      <c r="X54" s="989"/>
      <c r="Y54" s="990"/>
      <c r="Z54" s="990"/>
      <c r="AA54" s="990"/>
      <c r="AB54" s="990"/>
      <c r="AC54" s="985"/>
      <c r="AD54" s="985"/>
      <c r="AE54" s="985"/>
      <c r="AF54" s="1044"/>
      <c r="AG54" s="989"/>
      <c r="AH54" s="990"/>
      <c r="AI54" s="990"/>
      <c r="AJ54" s="990"/>
      <c r="AK54" s="990"/>
      <c r="AL54" s="990"/>
      <c r="AM54" s="990"/>
      <c r="AN54" s="990"/>
      <c r="AO54" s="990"/>
      <c r="AP54" s="991"/>
      <c r="AQ54" s="230" t="s">
        <v>331</v>
      </c>
      <c r="AT54" s="29" t="str">
        <f t="shared" si="2"/>
        <v>Группа потребителей</v>
      </c>
      <c r="AW54" s="3">
        <v>21</v>
      </c>
    </row>
    <row r="55" spans="1:49" ht="21.95" customHeight="1">
      <c r="A55" s="76" t="s">
        <v>99</v>
      </c>
      <c r="B55" s="76" t="s">
        <v>100</v>
      </c>
      <c r="C55" s="76" t="s">
        <v>101</v>
      </c>
      <c r="D55" s="76" t="s">
        <v>102</v>
      </c>
      <c r="E55" s="1027"/>
      <c r="F55" s="1027"/>
      <c r="G55" s="1027"/>
      <c r="H55" s="1027"/>
      <c r="I55" s="887"/>
      <c r="J55" s="887"/>
      <c r="K55" s="894" t="str">
        <f>J54&amp;".1"</f>
        <v>....1.1.1</v>
      </c>
      <c r="M55" s="289" t="s">
        <v>332</v>
      </c>
      <c r="Q55" s="885"/>
      <c r="R55" s="885"/>
      <c r="S55" s="24">
        <v>1</v>
      </c>
      <c r="T55" s="240"/>
      <c r="U55" s="226" t="str">
        <f>$K55</f>
        <v>....1.1.1</v>
      </c>
      <c r="V55" s="242"/>
      <c r="W55" s="228"/>
      <c r="X55" s="243"/>
      <c r="Y55" s="243"/>
      <c r="Z55" s="243"/>
      <c r="AA55" s="243"/>
      <c r="AB55" s="315"/>
      <c r="AC55" s="1005"/>
      <c r="AD55" s="895" t="s">
        <v>17</v>
      </c>
      <c r="AE55" s="1005"/>
      <c r="AF55" s="895" t="s">
        <v>17</v>
      </c>
      <c r="AG55" s="316"/>
      <c r="AH55" s="243"/>
      <c r="AI55" s="243"/>
      <c r="AJ55" s="243"/>
      <c r="AK55" s="245"/>
      <c r="AL55" s="1005"/>
      <c r="AM55" s="895" t="s">
        <v>17</v>
      </c>
      <c r="AN55" s="1005"/>
      <c r="AO55" s="895" t="s">
        <v>17</v>
      </c>
      <c r="AP55" s="285"/>
      <c r="AQ55" s="317" t="s">
        <v>375</v>
      </c>
      <c r="AR55" s="24" t="e">
        <f ca="1">STRCHECKDATE(X57:AP57)</f>
        <v>#NAME?</v>
      </c>
      <c r="AT55" s="29" t="str">
        <f t="shared" si="2"/>
        <v/>
      </c>
      <c r="AW55" s="3">
        <v>21</v>
      </c>
    </row>
    <row r="56" spans="1:49" ht="11.45" customHeight="1">
      <c r="A56" s="76" t="s">
        <v>99</v>
      </c>
      <c r="B56" s="76" t="s">
        <v>100</v>
      </c>
      <c r="C56" s="76" t="s">
        <v>101</v>
      </c>
      <c r="D56" s="76" t="s">
        <v>102</v>
      </c>
      <c r="E56" s="1027"/>
      <c r="F56" s="1027"/>
      <c r="G56" s="1027"/>
      <c r="H56" s="1027"/>
      <c r="I56" s="887"/>
      <c r="J56" s="887"/>
      <c r="K56" s="887"/>
      <c r="L56" s="894" t="str">
        <f>K55&amp;".1"</f>
        <v>....1.1.1.1</v>
      </c>
      <c r="Q56" s="885"/>
      <c r="R56" s="885"/>
      <c r="S56" s="24">
        <v>1</v>
      </c>
      <c r="T56" s="240"/>
      <c r="U56" s="226" t="str">
        <f>$L56</f>
        <v>....1.1.1.1</v>
      </c>
      <c r="V56" s="318"/>
      <c r="W56" s="228"/>
      <c r="X56" s="244"/>
      <c r="Y56" s="243"/>
      <c r="Z56" s="243"/>
      <c r="AA56" s="243"/>
      <c r="AB56" s="315"/>
      <c r="AC56" s="1006"/>
      <c r="AD56" s="895"/>
      <c r="AE56" s="1006"/>
      <c r="AF56" s="895"/>
      <c r="AG56" s="316"/>
      <c r="AH56" s="243"/>
      <c r="AI56" s="243"/>
      <c r="AJ56" s="243"/>
      <c r="AK56" s="245"/>
      <c r="AL56" s="1006"/>
      <c r="AM56" s="895"/>
      <c r="AN56" s="1006"/>
      <c r="AO56" s="895"/>
      <c r="AP56" s="285"/>
      <c r="AQ56" s="1023" t="s">
        <v>376</v>
      </c>
      <c r="AR56" s="24" t="e">
        <f ca="1">STRCHECKDATE(X58:AP58)</f>
        <v>#NAME?</v>
      </c>
      <c r="AT56" s="29" t="str">
        <f t="shared" si="2"/>
        <v/>
      </c>
      <c r="AW56" s="3">
        <v>11</v>
      </c>
    </row>
    <row r="57" spans="1:49" ht="0" hidden="1" customHeight="1">
      <c r="A57" s="76" t="s">
        <v>99</v>
      </c>
      <c r="B57" s="76" t="s">
        <v>100</v>
      </c>
      <c r="C57" s="76" t="s">
        <v>101</v>
      </c>
      <c r="D57" s="76" t="s">
        <v>102</v>
      </c>
      <c r="E57" s="1027"/>
      <c r="F57" s="1027"/>
      <c r="G57" s="1027"/>
      <c r="H57" s="1027"/>
      <c r="I57" s="887"/>
      <c r="J57" s="887"/>
      <c r="K57" s="887"/>
      <c r="L57" s="894"/>
      <c r="Q57" s="885"/>
      <c r="R57" s="885"/>
      <c r="T57" s="240"/>
      <c r="U57" s="209"/>
      <c r="V57" s="228"/>
      <c r="W57" s="228"/>
      <c r="X57" s="244"/>
      <c r="Y57" s="244"/>
      <c r="Z57" s="244"/>
      <c r="AA57" s="244"/>
      <c r="AB57" s="319" t="str">
        <f>AC55&amp;"-"&amp;AE55</f>
        <v>-</v>
      </c>
      <c r="AC57" s="1006"/>
      <c r="AD57" s="895"/>
      <c r="AE57" s="1006"/>
      <c r="AF57" s="895"/>
      <c r="AG57" s="320"/>
      <c r="AH57" s="244"/>
      <c r="AI57" s="244"/>
      <c r="AJ57" s="244"/>
      <c r="AK57" s="247" t="str">
        <f>AL55&amp;"-"&amp;AN55</f>
        <v>-</v>
      </c>
      <c r="AL57" s="1006"/>
      <c r="AM57" s="895"/>
      <c r="AN57" s="1006"/>
      <c r="AO57" s="895"/>
      <c r="AP57" s="286"/>
      <c r="AQ57" s="1024"/>
      <c r="AT57" s="29" t="str">
        <f t="shared" si="2"/>
        <v/>
      </c>
      <c r="AW57" s="3">
        <v>0</v>
      </c>
    </row>
    <row r="58" spans="1:49" ht="11.45" customHeight="1">
      <c r="A58" s="76" t="s">
        <v>99</v>
      </c>
      <c r="B58" s="76" t="s">
        <v>100</v>
      </c>
      <c r="C58" s="76" t="s">
        <v>101</v>
      </c>
      <c r="D58" s="76" t="s">
        <v>102</v>
      </c>
      <c r="E58" s="1027"/>
      <c r="F58" s="1027"/>
      <c r="G58" s="1027"/>
      <c r="H58" s="1027"/>
      <c r="I58" s="887"/>
      <c r="J58" s="887"/>
      <c r="K58" s="894"/>
      <c r="Q58" s="885"/>
      <c r="R58" s="885"/>
      <c r="T58" s="238"/>
      <c r="U58" s="249"/>
      <c r="V58" s="250" t="s">
        <v>377</v>
      </c>
      <c r="W58" s="54"/>
      <c r="X58" s="54"/>
      <c r="Y58" s="54"/>
      <c r="Z58" s="54"/>
      <c r="AA58" s="54"/>
      <c r="AB58" s="54"/>
      <c r="AC58" s="1006"/>
      <c r="AD58" s="895"/>
      <c r="AE58" s="1006"/>
      <c r="AF58" s="895"/>
      <c r="AG58" s="54"/>
      <c r="AH58" s="54"/>
      <c r="AI58" s="54"/>
      <c r="AJ58" s="54"/>
      <c r="AK58" s="54"/>
      <c r="AL58" s="1006"/>
      <c r="AM58" s="895"/>
      <c r="AN58" s="1006"/>
      <c r="AO58" s="895"/>
      <c r="AP58" s="251"/>
      <c r="AQ58" s="1024"/>
      <c r="AT58" s="29" t="str">
        <f t="shared" si="2"/>
        <v>Добавить наименование поставщика</v>
      </c>
      <c r="AW58" s="3">
        <v>11</v>
      </c>
    </row>
    <row r="59" spans="1:49" ht="11.45" customHeight="1">
      <c r="A59" s="76" t="s">
        <v>99</v>
      </c>
      <c r="B59" s="76" t="s">
        <v>100</v>
      </c>
      <c r="C59" s="76" t="s">
        <v>101</v>
      </c>
      <c r="D59" s="76" t="s">
        <v>102</v>
      </c>
      <c r="E59" s="1027"/>
      <c r="F59" s="1027"/>
      <c r="G59" s="1027"/>
      <c r="H59" s="1027"/>
      <c r="I59" s="887"/>
      <c r="J59" s="894"/>
      <c r="Q59" s="885"/>
      <c r="R59" s="885"/>
      <c r="T59" s="238"/>
      <c r="U59" s="249"/>
      <c r="V59" s="252" t="s">
        <v>334</v>
      </c>
      <c r="W59" s="54"/>
      <c r="X59" s="54"/>
      <c r="Y59" s="54"/>
      <c r="Z59" s="54"/>
      <c r="AA59" s="54"/>
      <c r="AB59" s="54"/>
      <c r="AC59" s="325"/>
      <c r="AD59" s="325"/>
      <c r="AE59" s="325"/>
      <c r="AF59" s="325"/>
      <c r="AG59" s="54"/>
      <c r="AH59" s="54"/>
      <c r="AI59" s="54"/>
      <c r="AJ59" s="54"/>
      <c r="AK59" s="54"/>
      <c r="AL59" s="54"/>
      <c r="AM59" s="54"/>
      <c r="AN59" s="54"/>
      <c r="AO59" s="54"/>
      <c r="AP59" s="251"/>
      <c r="AQ59" s="1025"/>
      <c r="AT59" s="29" t="str">
        <f t="shared" si="2"/>
        <v>Добавить вид теплоносителя (параметры теплоносителя)</v>
      </c>
      <c r="AW59" s="3">
        <v>11</v>
      </c>
    </row>
    <row r="60" spans="1:49" ht="11.45" customHeight="1">
      <c r="A60" s="76" t="s">
        <v>99</v>
      </c>
      <c r="B60" s="76" t="s">
        <v>100</v>
      </c>
      <c r="C60" s="76" t="s">
        <v>101</v>
      </c>
      <c r="D60" s="76" t="s">
        <v>102</v>
      </c>
      <c r="E60" s="1027"/>
      <c r="F60" s="1027"/>
      <c r="G60" s="1027"/>
      <c r="H60" s="1027"/>
      <c r="I60" s="894"/>
      <c r="Q60" s="885"/>
      <c r="T60" s="238"/>
      <c r="U60" s="249"/>
      <c r="V60" s="255" t="s">
        <v>335</v>
      </c>
      <c r="W60" s="54"/>
      <c r="X60" s="54"/>
      <c r="Y60" s="54"/>
      <c r="Z60" s="54"/>
      <c r="AA60" s="54"/>
      <c r="AB60" s="54"/>
      <c r="AC60" s="54"/>
      <c r="AD60" s="54"/>
      <c r="AE60" s="54"/>
      <c r="AF60" s="253"/>
      <c r="AG60" s="54"/>
      <c r="AH60" s="54"/>
      <c r="AI60" s="54"/>
      <c r="AJ60" s="54"/>
      <c r="AK60" s="54"/>
      <c r="AL60" s="54"/>
      <c r="AM60" s="54"/>
      <c r="AN60" s="54"/>
      <c r="AO60" s="253"/>
      <c r="AP60" s="54"/>
      <c r="AQ60" s="254"/>
      <c r="AT60" s="29" t="str">
        <f t="shared" si="2"/>
        <v>Добавить группу потребителей</v>
      </c>
      <c r="AW60" s="3">
        <v>11</v>
      </c>
    </row>
    <row r="61" spans="1:49" ht="0" hidden="1" customHeight="1">
      <c r="A61" s="76" t="s">
        <v>99</v>
      </c>
      <c r="B61" s="76" t="s">
        <v>100</v>
      </c>
      <c r="C61" s="76" t="s">
        <v>101</v>
      </c>
      <c r="D61" s="76" t="s">
        <v>102</v>
      </c>
      <c r="E61" s="1027"/>
      <c r="F61" s="1027"/>
      <c r="G61" s="1027"/>
      <c r="H61" s="1026"/>
      <c r="S61" s="225"/>
      <c r="U61" s="298"/>
      <c r="V61" s="299"/>
      <c r="W61" s="300"/>
      <c r="X61" s="300"/>
      <c r="Y61" s="300"/>
      <c r="Z61" s="300"/>
      <c r="AA61" s="300"/>
      <c r="AB61" s="300"/>
      <c r="AC61" s="300"/>
      <c r="AD61" s="300"/>
      <c r="AE61" s="300"/>
      <c r="AF61" s="300"/>
      <c r="AG61" s="300"/>
      <c r="AH61" s="300"/>
      <c r="AI61" s="300"/>
      <c r="AJ61" s="300"/>
      <c r="AK61" s="300"/>
      <c r="AL61" s="300"/>
      <c r="AM61" s="300"/>
      <c r="AN61" s="300"/>
      <c r="AO61" s="300"/>
      <c r="AP61" s="300"/>
      <c r="AQ61" s="301"/>
      <c r="AT61" s="29" t="str">
        <f t="shared" si="2"/>
        <v/>
      </c>
      <c r="AW61" s="3">
        <v>0</v>
      </c>
    </row>
    <row r="62" spans="1:49" ht="0" hidden="1" customHeight="1">
      <c r="A62" s="291" t="s">
        <v>99</v>
      </c>
      <c r="B62" s="291" t="s">
        <v>100</v>
      </c>
      <c r="C62" s="291" t="s">
        <v>101</v>
      </c>
      <c r="E62" s="1027"/>
      <c r="F62" s="1027"/>
      <c r="G62" s="1026"/>
      <c r="V62" s="260" t="s">
        <v>337</v>
      </c>
      <c r="AT62" s="29" t="str">
        <f t="shared" si="2"/>
        <v>Добавить источник для дифференциации</v>
      </c>
      <c r="AW62" s="24">
        <v>0</v>
      </c>
    </row>
    <row r="63" spans="1:49" ht="0" hidden="1" customHeight="1">
      <c r="A63" s="291" t="s">
        <v>99</v>
      </c>
      <c r="B63" s="291" t="s">
        <v>100</v>
      </c>
      <c r="E63" s="1027"/>
      <c r="F63" s="1026"/>
      <c r="V63" s="260" t="s">
        <v>338</v>
      </c>
      <c r="AT63" s="29" t="str">
        <f t="shared" si="2"/>
        <v>Добавить централизованную систему для дифференциации</v>
      </c>
      <c r="AW63" s="24">
        <v>0</v>
      </c>
    </row>
    <row r="64" spans="1:49" ht="0" hidden="1" customHeight="1">
      <c r="A64" s="291" t="s">
        <v>99</v>
      </c>
      <c r="E64" s="1026"/>
      <c r="V64" s="260" t="s">
        <v>339</v>
      </c>
      <c r="AT64" s="29" t="str">
        <f t="shared" si="2"/>
        <v>Добавить территорию для дифференциации</v>
      </c>
      <c r="AW64" s="24">
        <v>0</v>
      </c>
    </row>
    <row r="65" spans="1:49" ht="4.1500000000000004" customHeight="1">
      <c r="V65" s="260" t="s">
        <v>371</v>
      </c>
      <c r="AT65" s="29" t="str">
        <f t="shared" si="2"/>
        <v>Добавить наименование тарифа</v>
      </c>
      <c r="AW65" s="24">
        <v>4</v>
      </c>
    </row>
    <row r="66" spans="1:49" ht="11.45" customHeight="1">
      <c r="AW66" s="3">
        <v>11</v>
      </c>
    </row>
    <row r="67" spans="1:49" ht="35.65" customHeight="1">
      <c r="V67" s="885"/>
      <c r="W67" s="885"/>
      <c r="X67" s="885"/>
      <c r="Y67" s="885"/>
      <c r="Z67" s="885"/>
      <c r="AA67" s="885"/>
      <c r="AB67" s="885"/>
      <c r="AC67" s="885"/>
      <c r="AD67" s="885"/>
      <c r="AE67" s="885"/>
      <c r="AF67" s="885"/>
      <c r="AG67" s="885"/>
      <c r="AH67" s="885"/>
      <c r="AI67" s="885"/>
      <c r="AJ67" s="885"/>
      <c r="AK67" s="885"/>
      <c r="AL67" s="885"/>
      <c r="AM67" s="885"/>
      <c r="AN67" s="885"/>
      <c r="AO67" s="885"/>
      <c r="AP67" s="885"/>
      <c r="AQ67" s="885"/>
      <c r="AW67" s="3">
        <v>34</v>
      </c>
    </row>
    <row r="68" spans="1:49" ht="21" customHeight="1">
      <c r="V68" s="885"/>
      <c r="W68" s="885"/>
      <c r="X68" s="885"/>
      <c r="Y68" s="885"/>
      <c r="Z68" s="885"/>
      <c r="AA68" s="885"/>
      <c r="AB68" s="885"/>
      <c r="AC68" s="885"/>
      <c r="AD68" s="885"/>
      <c r="AE68" s="885"/>
      <c r="AF68" s="885"/>
      <c r="AG68" s="885"/>
      <c r="AH68" s="885"/>
      <c r="AI68" s="885"/>
      <c r="AJ68" s="885"/>
      <c r="AK68" s="885"/>
      <c r="AL68" s="885"/>
      <c r="AM68" s="885"/>
      <c r="AN68" s="885"/>
      <c r="AO68" s="885"/>
      <c r="AP68" s="885"/>
      <c r="AQ68" s="885"/>
      <c r="AW68" s="3">
        <v>20</v>
      </c>
    </row>
    <row r="69" spans="1:49" ht="14.65" customHeight="1">
      <c r="AW69" s="3">
        <v>14</v>
      </c>
    </row>
    <row r="70" spans="1:49" ht="28.5" customHeight="1">
      <c r="V70" s="885"/>
      <c r="W70" s="885"/>
      <c r="X70" s="885"/>
      <c r="Y70" s="885"/>
      <c r="Z70" s="885"/>
      <c r="AA70" s="885"/>
      <c r="AB70" s="885"/>
      <c r="AC70" s="885"/>
      <c r="AD70" s="885"/>
      <c r="AE70" s="885"/>
      <c r="AF70" s="885"/>
      <c r="AG70" s="885"/>
      <c r="AH70" s="885"/>
      <c r="AI70" s="885"/>
      <c r="AJ70" s="885"/>
      <c r="AK70" s="885"/>
      <c r="AL70" s="885"/>
      <c r="AM70" s="885"/>
      <c r="AN70" s="885"/>
      <c r="AO70" s="885"/>
      <c r="AP70" s="885"/>
      <c r="AQ70" s="885"/>
      <c r="AW70" s="3">
        <v>27</v>
      </c>
    </row>
    <row r="71" spans="1:49" ht="18.75" customHeight="1">
      <c r="V71" s="885"/>
      <c r="W71" s="885"/>
      <c r="X71" s="885"/>
      <c r="Y71" s="885"/>
      <c r="Z71" s="885"/>
      <c r="AA71" s="885"/>
      <c r="AB71" s="885"/>
      <c r="AC71" s="885"/>
      <c r="AD71" s="885"/>
      <c r="AE71" s="885"/>
      <c r="AF71" s="885"/>
      <c r="AG71" s="885"/>
      <c r="AH71" s="885"/>
      <c r="AI71" s="885"/>
      <c r="AJ71" s="885"/>
      <c r="AK71" s="885"/>
      <c r="AL71" s="885"/>
      <c r="AM71" s="885"/>
      <c r="AN71" s="885"/>
      <c r="AO71" s="885"/>
      <c r="AP71" s="885"/>
      <c r="AQ71" s="885"/>
      <c r="AW71" s="3">
        <v>18</v>
      </c>
    </row>
    <row r="72" spans="1:49" ht="22.5" hidden="1" customHeight="1">
      <c r="A72" s="3" t="s">
        <v>18</v>
      </c>
      <c r="B72" s="3">
        <v>0</v>
      </c>
      <c r="C72" s="3">
        <v>0</v>
      </c>
      <c r="D72" s="3">
        <v>0</v>
      </c>
      <c r="E72" s="3">
        <v>0</v>
      </c>
      <c r="F72" s="3">
        <v>0</v>
      </c>
      <c r="G72" s="3">
        <v>0</v>
      </c>
      <c r="H72" s="3">
        <v>0</v>
      </c>
      <c r="I72" s="3">
        <v>0</v>
      </c>
      <c r="J72" s="3">
        <v>0</v>
      </c>
      <c r="K72" s="3">
        <v>0</v>
      </c>
      <c r="L72" s="3">
        <v>0</v>
      </c>
      <c r="M72" s="17">
        <v>0</v>
      </c>
      <c r="N72" s="287">
        <v>0</v>
      </c>
      <c r="O72" s="287">
        <v>0</v>
      </c>
      <c r="P72" s="287">
        <v>0</v>
      </c>
      <c r="Q72" s="287">
        <v>0</v>
      </c>
      <c r="R72" s="288">
        <v>3</v>
      </c>
      <c r="S72" s="288">
        <v>3</v>
      </c>
      <c r="T72" s="288">
        <v>3</v>
      </c>
      <c r="U72" s="9">
        <v>12</v>
      </c>
      <c r="V72" s="3">
        <v>31</v>
      </c>
      <c r="W72" s="3">
        <v>0</v>
      </c>
      <c r="X72" s="3">
        <v>0</v>
      </c>
      <c r="Y72" s="3">
        <v>0</v>
      </c>
      <c r="Z72" s="3">
        <v>0</v>
      </c>
      <c r="AA72" s="3">
        <v>0</v>
      </c>
      <c r="AB72" s="3">
        <v>0</v>
      </c>
      <c r="AC72" s="3">
        <v>0</v>
      </c>
      <c r="AD72" s="3">
        <v>0</v>
      </c>
      <c r="AE72" s="3">
        <v>0</v>
      </c>
      <c r="AF72" s="3">
        <v>0</v>
      </c>
      <c r="AG72" s="3">
        <v>21</v>
      </c>
      <c r="AH72" s="3">
        <v>21</v>
      </c>
      <c r="AI72" s="3">
        <v>21</v>
      </c>
      <c r="AJ72" s="3">
        <v>21</v>
      </c>
      <c r="AK72" s="3">
        <v>21</v>
      </c>
      <c r="AL72" s="3">
        <v>11</v>
      </c>
      <c r="AM72" s="3">
        <v>3</v>
      </c>
      <c r="AN72" s="3">
        <v>11</v>
      </c>
      <c r="AO72" s="3">
        <v>8</v>
      </c>
      <c r="AP72" s="3">
        <v>4</v>
      </c>
      <c r="AQ72" s="3">
        <v>115</v>
      </c>
      <c r="AR72" s="24">
        <v>10</v>
      </c>
      <c r="AS72" s="24">
        <v>10</v>
      </c>
      <c r="AT72" s="24">
        <v>10</v>
      </c>
      <c r="AU72" s="24">
        <v>10</v>
      </c>
      <c r="AV72" s="24">
        <v>10</v>
      </c>
      <c r="AW72" s="3">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8" width="3" customWidth="1"/>
    <col min="19" max="19" width="12" customWidth="1"/>
    <col min="20" max="20" width="31" customWidth="1"/>
    <col min="21" max="21" width="0.140625" customWidth="1"/>
    <col min="22" max="23" width="21.7109375" hidden="1" customWidth="1"/>
    <col min="24" max="24" width="11.7109375" hidden="1" customWidth="1"/>
    <col min="25" max="25" width="3.7109375" hidden="1" customWidth="1"/>
    <col min="26" max="26" width="11.7109375" hidden="1" customWidth="1"/>
    <col min="27" max="27" width="8.5703125" hidden="1" customWidth="1"/>
    <col min="28" max="28" width="5.42578125" customWidth="1"/>
    <col min="29" max="30" width="3" customWidth="1"/>
    <col min="31" max="31" width="24" customWidth="1"/>
    <col min="32" max="32" width="3.7109375" customWidth="1"/>
    <col min="33" max="34" width="3" customWidth="1"/>
    <col min="35" max="35" width="24" customWidth="1"/>
    <col min="36" max="36" width="3.7109375" customWidth="1"/>
    <col min="37" max="38" width="3" customWidth="1"/>
    <col min="39" max="39" width="18" customWidth="1"/>
    <col min="40" max="41" width="21" customWidth="1"/>
    <col min="42" max="42" width="11" customWidth="1"/>
    <col min="43" max="43" width="3.7109375" customWidth="1"/>
    <col min="44" max="44" width="11" customWidth="1"/>
    <col min="45" max="45" width="8.5703125" hidden="1" customWidth="1"/>
    <col min="46" max="46" width="4" customWidth="1"/>
    <col min="47" max="47" width="115" customWidth="1"/>
    <col min="48" max="52" width="10" customWidth="1"/>
    <col min="53" max="53" width="10.5703125" hidden="1"/>
  </cols>
  <sheetData>
    <row r="1" spans="5:53" ht="22.5" hidden="1" customHeight="1">
      <c r="BA1" s="3" t="s">
        <v>1</v>
      </c>
    </row>
    <row r="2" spans="5:53" ht="21" hidden="1" customHeight="1">
      <c r="E2" s="1000">
        <v>1</v>
      </c>
      <c r="R2" s="225"/>
      <c r="S2" s="226" t="e">
        <f>INDEX(PT_DIFFERENTIATION_NUM_NTAR,MATCH(A2,PT_DIFFERENTIATION_NTAR_ID,0))</f>
        <v>#N/A</v>
      </c>
      <c r="T2" s="227" t="s">
        <v>48</v>
      </c>
      <c r="U2" s="228"/>
      <c r="V2" s="996"/>
      <c r="W2" s="996"/>
      <c r="X2" s="996"/>
      <c r="Y2" s="996"/>
      <c r="Z2" s="996"/>
      <c r="AA2" s="997"/>
      <c r="AB2" s="995" t="e">
        <f>INDEX(PT_DIFFERENTIATION_NTAR,MATCH(A2,PT_DIFFERENTIATION_NTAR_ID,0))</f>
        <v>#N/A</v>
      </c>
      <c r="AC2" s="996"/>
      <c r="AD2" s="996"/>
      <c r="AE2" s="996"/>
      <c r="AF2" s="996"/>
      <c r="AG2" s="996"/>
      <c r="AH2" s="996"/>
      <c r="AI2" s="996"/>
      <c r="AJ2" s="996"/>
      <c r="AK2" s="996"/>
      <c r="AL2" s="996"/>
      <c r="AM2" s="996"/>
      <c r="AN2" s="996"/>
      <c r="AO2" s="996"/>
      <c r="AP2" s="996"/>
      <c r="AQ2" s="996"/>
      <c r="AR2" s="996"/>
      <c r="AS2" s="996"/>
      <c r="AT2" s="997"/>
      <c r="AU2" s="230" t="s">
        <v>319</v>
      </c>
      <c r="AX2" s="29" t="str">
        <f t="shared" ref="AX2:AX8" si="0">IF(T2="","",T2)</f>
        <v>Наименование тарифа</v>
      </c>
      <c r="BA2" s="3">
        <v>0</v>
      </c>
    </row>
    <row r="3" spans="5:53" ht="21" hidden="1" customHeight="1">
      <c r="E3" s="1001"/>
      <c r="F3" s="1000">
        <v>1</v>
      </c>
      <c r="Q3" s="328"/>
      <c r="R3" s="232"/>
      <c r="S3" s="226" t="e">
        <f>INDEX(PT_DIFFERENTIATION_NUM_TER,MATCH(B3,PT_DIFFERENTIATION_TER_ID,0))</f>
        <v>#N/A</v>
      </c>
      <c r="T3" s="233" t="s">
        <v>320</v>
      </c>
      <c r="U3" s="228"/>
      <c r="V3" s="996"/>
      <c r="W3" s="996"/>
      <c r="X3" s="996"/>
      <c r="Y3" s="996"/>
      <c r="Z3" s="996"/>
      <c r="AA3" s="997"/>
      <c r="AB3" s="995" t="e">
        <f>INDEX(PT_DIFFERENTIATION_TER,MATCH(B3,PT_DIFFERENTIATION_TER_ID,0))</f>
        <v>#N/A</v>
      </c>
      <c r="AC3" s="996"/>
      <c r="AD3" s="996"/>
      <c r="AE3" s="996"/>
      <c r="AF3" s="996"/>
      <c r="AG3" s="996"/>
      <c r="AH3" s="996"/>
      <c r="AI3" s="996"/>
      <c r="AJ3" s="996"/>
      <c r="AK3" s="996"/>
      <c r="AL3" s="996"/>
      <c r="AM3" s="996"/>
      <c r="AN3" s="996"/>
      <c r="AO3" s="996"/>
      <c r="AP3" s="996"/>
      <c r="AQ3" s="996"/>
      <c r="AR3" s="996"/>
      <c r="AS3" s="996"/>
      <c r="AT3" s="997"/>
      <c r="AU3" s="230" t="s">
        <v>321</v>
      </c>
      <c r="AX3" s="29" t="str">
        <f t="shared" si="0"/>
        <v>Территория действия тарифа</v>
      </c>
      <c r="BA3" s="3">
        <v>0</v>
      </c>
    </row>
    <row r="4" spans="5:53" ht="22.5" hidden="1" customHeight="1">
      <c r="E4" s="1001"/>
      <c r="F4" s="1001"/>
      <c r="G4" s="1000">
        <v>1</v>
      </c>
      <c r="Q4" s="328"/>
      <c r="R4" s="232"/>
      <c r="S4" s="226" t="e">
        <f>INDEX(PT_DIFFERENTIATION_NUM_CS,MATCH(C4,PT_DIFFERENTIATION_CS_ID,0))</f>
        <v>#N/A</v>
      </c>
      <c r="T4" s="234" t="s">
        <v>322</v>
      </c>
      <c r="U4" s="228"/>
      <c r="V4" s="996"/>
      <c r="W4" s="996"/>
      <c r="X4" s="996"/>
      <c r="Y4" s="996"/>
      <c r="Z4" s="996"/>
      <c r="AA4" s="997"/>
      <c r="AB4" s="995" t="e">
        <f>INDEX(PT_DIFFERENTIATION_CS,MATCH(C4,PT_DIFFERENTIATION_CS_ID,0))</f>
        <v>#N/A</v>
      </c>
      <c r="AC4" s="996"/>
      <c r="AD4" s="996"/>
      <c r="AE4" s="996"/>
      <c r="AF4" s="996"/>
      <c r="AG4" s="996"/>
      <c r="AH4" s="996"/>
      <c r="AI4" s="996"/>
      <c r="AJ4" s="996"/>
      <c r="AK4" s="996"/>
      <c r="AL4" s="996"/>
      <c r="AM4" s="996"/>
      <c r="AN4" s="996"/>
      <c r="AO4" s="996"/>
      <c r="AP4" s="996"/>
      <c r="AQ4" s="996"/>
      <c r="AR4" s="996"/>
      <c r="AS4" s="996"/>
      <c r="AT4" s="997"/>
      <c r="AU4" s="230" t="s">
        <v>323</v>
      </c>
      <c r="AX4" s="29" t="str">
        <f t="shared" si="0"/>
        <v xml:space="preserve">Наименование системы теплоснабжения </v>
      </c>
      <c r="BA4" s="3">
        <v>0</v>
      </c>
    </row>
    <row r="5" spans="5:53" ht="21" hidden="1" customHeight="1">
      <c r="E5" s="1001"/>
      <c r="F5" s="1001"/>
      <c r="G5" s="1001"/>
      <c r="H5" s="1000">
        <v>1</v>
      </c>
      <c r="Q5" s="328"/>
      <c r="R5" s="232"/>
      <c r="S5" s="226" t="e">
        <f>INDEX(PT_DIFFERENTIATION_NUM_IST_TE,MATCH(D5,PT_DIFFERENTIATION_IST_TE_ID,0))</f>
        <v>#N/A</v>
      </c>
      <c r="T5" s="235" t="s">
        <v>324</v>
      </c>
      <c r="U5" s="228"/>
      <c r="V5" s="996"/>
      <c r="W5" s="996"/>
      <c r="X5" s="996"/>
      <c r="Y5" s="996"/>
      <c r="Z5" s="996"/>
      <c r="AA5" s="997"/>
      <c r="AB5" s="995" t="e">
        <f>INDEX(PT_DIFFERENTIATION_IST_TE,MATCH(D5,PT_DIFFERENTIATION_IST_TE_ID,0))</f>
        <v>#N/A</v>
      </c>
      <c r="AC5" s="996"/>
      <c r="AD5" s="996"/>
      <c r="AE5" s="996"/>
      <c r="AF5" s="996"/>
      <c r="AG5" s="996"/>
      <c r="AH5" s="996"/>
      <c r="AI5" s="996"/>
      <c r="AJ5" s="996"/>
      <c r="AK5" s="996"/>
      <c r="AL5" s="996"/>
      <c r="AM5" s="996"/>
      <c r="AN5" s="996"/>
      <c r="AO5" s="996"/>
      <c r="AP5" s="996"/>
      <c r="AQ5" s="996"/>
      <c r="AR5" s="996"/>
      <c r="AS5" s="996"/>
      <c r="AT5" s="997"/>
      <c r="AU5" s="230" t="s">
        <v>325</v>
      </c>
      <c r="AX5" s="29" t="str">
        <f t="shared" si="0"/>
        <v xml:space="preserve">Источник тепловой энергии  </v>
      </c>
      <c r="BA5" s="3">
        <v>0</v>
      </c>
    </row>
    <row r="6" spans="5:53" ht="0.75" hidden="1" customHeight="1">
      <c r="E6" s="1001"/>
      <c r="F6" s="1001"/>
      <c r="G6" s="1001"/>
      <c r="H6" s="1001"/>
      <c r="I6" s="1002" t="e">
        <f>S5&amp;".1"</f>
        <v>#N/A</v>
      </c>
      <c r="L6" s="302" t="s">
        <v>326</v>
      </c>
      <c r="P6" s="1004">
        <v>1</v>
      </c>
      <c r="R6" s="238"/>
      <c r="S6" s="124"/>
      <c r="T6" s="294"/>
      <c r="U6" s="295"/>
      <c r="V6" s="1032"/>
      <c r="W6" s="1032"/>
      <c r="X6" s="1032"/>
      <c r="Y6" s="1032"/>
      <c r="Z6" s="1032"/>
      <c r="AA6" s="1033"/>
      <c r="AB6" s="1031"/>
      <c r="AC6" s="1032"/>
      <c r="AD6" s="1032"/>
      <c r="AE6" s="1032"/>
      <c r="AF6" s="1032"/>
      <c r="AG6" s="1032"/>
      <c r="AH6" s="1032"/>
      <c r="AI6" s="1032"/>
      <c r="AJ6" s="1032"/>
      <c r="AK6" s="1032"/>
      <c r="AL6" s="1032"/>
      <c r="AM6" s="1032"/>
      <c r="AN6" s="1032"/>
      <c r="AO6" s="1032"/>
      <c r="AP6" s="1032"/>
      <c r="AQ6" s="1032"/>
      <c r="AR6" s="1032"/>
      <c r="AS6" s="1032"/>
      <c r="AT6" s="1033"/>
      <c r="AU6" s="297"/>
      <c r="AX6" s="29" t="str">
        <f t="shared" si="0"/>
        <v/>
      </c>
      <c r="BA6" s="24">
        <v>0</v>
      </c>
    </row>
    <row r="7" spans="5:53" ht="0.75" hidden="1" customHeight="1">
      <c r="E7" s="1001"/>
      <c r="F7" s="1001"/>
      <c r="G7" s="1001"/>
      <c r="H7" s="1001"/>
      <c r="I7" s="1003"/>
      <c r="J7" s="1002" t="e">
        <f>S5&amp;".1"</f>
        <v>#N/A</v>
      </c>
      <c r="P7" s="885"/>
      <c r="Q7" s="1004">
        <v>1</v>
      </c>
      <c r="R7" s="240"/>
      <c r="S7" s="124"/>
      <c r="T7" s="329"/>
      <c r="U7" s="295"/>
      <c r="V7" s="1032"/>
      <c r="W7" s="1032"/>
      <c r="X7" s="1032"/>
      <c r="Y7" s="1032"/>
      <c r="Z7" s="1032"/>
      <c r="AA7" s="1033"/>
      <c r="AB7" s="1031"/>
      <c r="AC7" s="1032"/>
      <c r="AD7" s="1032"/>
      <c r="AE7" s="1032"/>
      <c r="AF7" s="1032"/>
      <c r="AG7" s="1032"/>
      <c r="AH7" s="1032"/>
      <c r="AI7" s="1032"/>
      <c r="AJ7" s="1032"/>
      <c r="AK7" s="1032"/>
      <c r="AL7" s="1032"/>
      <c r="AM7" s="1032"/>
      <c r="AN7" s="1032"/>
      <c r="AO7" s="1032"/>
      <c r="AP7" s="1032"/>
      <c r="AQ7" s="1032"/>
      <c r="AR7" s="1032"/>
      <c r="AS7" s="1032"/>
      <c r="AT7" s="1033"/>
      <c r="AU7" s="297"/>
      <c r="AX7" s="29" t="str">
        <f t="shared" si="0"/>
        <v/>
      </c>
      <c r="BA7" s="24">
        <v>0</v>
      </c>
    </row>
    <row r="8" spans="5:53" ht="21" hidden="1" customHeight="1">
      <c r="E8" s="1001"/>
      <c r="F8" s="1001"/>
      <c r="G8" s="1001"/>
      <c r="H8" s="1001"/>
      <c r="I8" s="1003"/>
      <c r="J8" s="1003"/>
      <c r="K8" s="1002" t="e">
        <f>S5&amp;".1"</f>
        <v>#N/A</v>
      </c>
      <c r="P8" s="885"/>
      <c r="Q8" s="885"/>
      <c r="R8" s="1060">
        <v>1</v>
      </c>
      <c r="S8" s="1057" t="e">
        <f>$K8</f>
        <v>#N/A</v>
      </c>
      <c r="T8" s="1054"/>
      <c r="U8" s="228"/>
      <c r="V8" s="243"/>
      <c r="W8" s="245"/>
      <c r="X8" s="1005"/>
      <c r="Y8" s="895" t="s">
        <v>17</v>
      </c>
      <c r="Z8" s="1005"/>
      <c r="AA8" s="895" t="s">
        <v>17</v>
      </c>
      <c r="AB8" s="895" t="s">
        <v>3</v>
      </c>
      <c r="AC8" s="1053"/>
      <c r="AD8" s="958">
        <v>1</v>
      </c>
      <c r="AE8" s="1067"/>
      <c r="AF8" s="895" t="s">
        <v>3</v>
      </c>
      <c r="AG8" s="1053"/>
      <c r="AH8" s="958">
        <v>1</v>
      </c>
      <c r="AI8" s="1067"/>
      <c r="AJ8" s="895" t="s">
        <v>3</v>
      </c>
      <c r="AK8" s="332"/>
      <c r="AL8" s="118">
        <v>1</v>
      </c>
      <c r="AM8" s="19"/>
      <c r="AN8" s="243"/>
      <c r="AO8" s="245"/>
      <c r="AP8" s="246"/>
      <c r="AQ8" s="56" t="s">
        <v>17</v>
      </c>
      <c r="AR8" s="246"/>
      <c r="AS8" s="56" t="s">
        <v>17</v>
      </c>
      <c r="AT8" s="285"/>
      <c r="AU8" s="1023" t="s">
        <v>387</v>
      </c>
      <c r="AV8" s="24" t="e">
        <f ca="1">STRCHECKDATE(V11:AT11)</f>
        <v>#NAME?</v>
      </c>
      <c r="AX8" s="29" t="str">
        <f t="shared" si="0"/>
        <v/>
      </c>
      <c r="BA8" s="3">
        <v>0</v>
      </c>
    </row>
    <row r="9" spans="5:53" ht="11.25" hidden="1" customHeight="1">
      <c r="E9" s="1001"/>
      <c r="F9" s="1001"/>
      <c r="G9" s="1001"/>
      <c r="H9" s="1001"/>
      <c r="I9" s="1003"/>
      <c r="J9" s="1003"/>
      <c r="K9" s="1002"/>
      <c r="P9" s="885"/>
      <c r="Q9" s="885"/>
      <c r="R9" s="1060"/>
      <c r="S9" s="1058"/>
      <c r="T9" s="1055"/>
      <c r="U9" s="228"/>
      <c r="V9" s="322"/>
      <c r="W9" s="333"/>
      <c r="X9" s="1005"/>
      <c r="Y9" s="895"/>
      <c r="Z9" s="1005"/>
      <c r="AA9" s="895"/>
      <c r="AB9" s="895"/>
      <c r="AC9" s="1053"/>
      <c r="AD9" s="958"/>
      <c r="AE9" s="1067"/>
      <c r="AF9" s="895"/>
      <c r="AG9" s="1053"/>
      <c r="AH9" s="958"/>
      <c r="AI9" s="1067"/>
      <c r="AJ9" s="895"/>
      <c r="AK9" s="334"/>
      <c r="AL9" s="45"/>
      <c r="AM9" s="42" t="s">
        <v>388</v>
      </c>
      <c r="AN9" s="322"/>
      <c r="AO9" s="335"/>
      <c r="AP9" s="322"/>
      <c r="AQ9" s="322"/>
      <c r="AR9" s="322"/>
      <c r="AS9" s="322"/>
      <c r="AT9" s="336"/>
      <c r="AU9" s="1024"/>
      <c r="BA9" s="3">
        <v>0</v>
      </c>
    </row>
    <row r="10" spans="5:53" ht="11.25" hidden="1" customHeight="1">
      <c r="E10" s="1001"/>
      <c r="F10" s="1001"/>
      <c r="G10" s="1001"/>
      <c r="H10" s="1001"/>
      <c r="I10" s="1003"/>
      <c r="J10" s="1003"/>
      <c r="K10" s="1002"/>
      <c r="P10" s="885"/>
      <c r="Q10" s="885"/>
      <c r="R10" s="1060"/>
      <c r="S10" s="1058"/>
      <c r="T10" s="1055"/>
      <c r="U10" s="228"/>
      <c r="V10" s="322"/>
      <c r="W10" s="333"/>
      <c r="X10" s="1005"/>
      <c r="Y10" s="895"/>
      <c r="Z10" s="1005"/>
      <c r="AA10" s="895"/>
      <c r="AB10" s="895"/>
      <c r="AC10" s="1053"/>
      <c r="AD10" s="958"/>
      <c r="AE10" s="1067"/>
      <c r="AF10" s="895"/>
      <c r="AG10" s="337"/>
      <c r="AH10" s="42"/>
      <c r="AI10" s="42" t="s">
        <v>389</v>
      </c>
      <c r="AJ10" s="322"/>
      <c r="AK10" s="322"/>
      <c r="AL10" s="322"/>
      <c r="AM10" s="322"/>
      <c r="AN10" s="322"/>
      <c r="AO10" s="335"/>
      <c r="AP10" s="322"/>
      <c r="AQ10" s="322"/>
      <c r="AR10" s="322"/>
      <c r="AS10" s="322"/>
      <c r="AT10" s="336"/>
      <c r="AU10" s="1024"/>
      <c r="BA10" s="3">
        <v>0</v>
      </c>
    </row>
    <row r="11" spans="5:53" ht="11.25" hidden="1" customHeight="1">
      <c r="E11" s="1001"/>
      <c r="F11" s="1001"/>
      <c r="G11" s="1001"/>
      <c r="H11" s="1001"/>
      <c r="I11" s="1003"/>
      <c r="J11" s="1003"/>
      <c r="K11" s="1002"/>
      <c r="P11" s="885"/>
      <c r="Q11" s="885"/>
      <c r="R11" s="1060"/>
      <c r="S11" s="1059"/>
      <c r="T11" s="1056"/>
      <c r="U11" s="228"/>
      <c r="V11" s="322"/>
      <c r="W11" s="338" t="str">
        <f>X8&amp;"-"&amp;Z8</f>
        <v>-</v>
      </c>
      <c r="X11" s="1006"/>
      <c r="Y11" s="895"/>
      <c r="Z11" s="1006"/>
      <c r="AA11" s="895"/>
      <c r="AB11" s="895"/>
      <c r="AC11" s="339"/>
      <c r="AD11" s="340"/>
      <c r="AE11" s="42" t="s">
        <v>390</v>
      </c>
      <c r="AF11" s="322"/>
      <c r="AG11" s="322"/>
      <c r="AH11" s="322"/>
      <c r="AI11" s="322"/>
      <c r="AJ11" s="322"/>
      <c r="AK11" s="322"/>
      <c r="AL11" s="322"/>
      <c r="AM11" s="322"/>
      <c r="AN11" s="322"/>
      <c r="AO11" s="323" t="str">
        <f>AP8&amp;"-"&amp;AR8</f>
        <v>-</v>
      </c>
      <c r="AP11" s="322"/>
      <c r="AQ11" s="322"/>
      <c r="AR11" s="322"/>
      <c r="AS11" s="322"/>
      <c r="AT11" s="286"/>
      <c r="AU11" s="1024"/>
      <c r="AX11" s="29" t="str">
        <f t="shared" ref="AX11:AX17" si="1">IF(T11="","",T11)</f>
        <v/>
      </c>
      <c r="BA11" s="3">
        <v>0</v>
      </c>
    </row>
    <row r="12" spans="5:53" ht="11.25" hidden="1" customHeight="1">
      <c r="E12" s="1001"/>
      <c r="F12" s="1001"/>
      <c r="G12" s="1001"/>
      <c r="H12" s="1001"/>
      <c r="I12" s="1003"/>
      <c r="J12" s="1002"/>
      <c r="P12" s="885"/>
      <c r="Q12" s="885"/>
      <c r="R12" s="238"/>
      <c r="S12" s="249"/>
      <c r="T12" s="252" t="s">
        <v>391</v>
      </c>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251"/>
      <c r="AU12" s="1025"/>
      <c r="AX12" s="29" t="str">
        <f t="shared" si="1"/>
        <v>Добавить строку</v>
      </c>
      <c r="BA12" s="3">
        <v>0</v>
      </c>
    </row>
    <row r="13" spans="5:53" ht="0.75" hidden="1" customHeight="1">
      <c r="E13" s="1001"/>
      <c r="F13" s="1001"/>
      <c r="G13" s="1001"/>
      <c r="H13" s="1001"/>
      <c r="I13" s="1002"/>
      <c r="P13" s="885"/>
      <c r="R13" s="238"/>
      <c r="S13" s="298"/>
      <c r="T13" s="299"/>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1"/>
      <c r="AX13" s="29" t="str">
        <f t="shared" si="1"/>
        <v/>
      </c>
      <c r="BA13" s="24">
        <v>0</v>
      </c>
    </row>
    <row r="14" spans="5:53" ht="0.75" hidden="1" customHeight="1">
      <c r="E14" s="1001"/>
      <c r="F14" s="1001"/>
      <c r="G14" s="1001"/>
      <c r="H14" s="1000"/>
      <c r="R14" s="341"/>
      <c r="S14" s="298"/>
      <c r="T14" s="299"/>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1"/>
      <c r="AX14" s="29" t="str">
        <f t="shared" si="1"/>
        <v/>
      </c>
      <c r="BA14" s="24">
        <v>0</v>
      </c>
    </row>
    <row r="15" spans="5:53" ht="0.75" hidden="1" customHeight="1">
      <c r="E15" s="1001"/>
      <c r="F15" s="1001"/>
      <c r="G15" s="1000"/>
      <c r="T15" s="260" t="s">
        <v>337</v>
      </c>
      <c r="AX15" s="29" t="str">
        <f t="shared" si="1"/>
        <v>Добавить источник для дифференциации</v>
      </c>
      <c r="BA15" s="24">
        <v>0</v>
      </c>
    </row>
    <row r="16" spans="5:53" ht="0.75" hidden="1" customHeight="1">
      <c r="E16" s="1001"/>
      <c r="F16" s="1000"/>
      <c r="T16" s="260" t="s">
        <v>338</v>
      </c>
      <c r="AX16" s="29" t="str">
        <f t="shared" si="1"/>
        <v>Добавить централизованную систему для дифференциации</v>
      </c>
      <c r="BA16" s="24">
        <v>0</v>
      </c>
    </row>
    <row r="17" spans="5:53" ht="0.75" hidden="1" customHeight="1">
      <c r="E17" s="1000"/>
      <c r="T17" s="260" t="s">
        <v>339</v>
      </c>
      <c r="AX17" s="29" t="str">
        <f t="shared" si="1"/>
        <v>Добавить территорию для дифференциации</v>
      </c>
      <c r="BA17" s="24">
        <v>0</v>
      </c>
    </row>
    <row r="18" spans="5:53" ht="14.25" hidden="1" customHeight="1">
      <c r="BA18" s="3">
        <v>0</v>
      </c>
    </row>
    <row r="19" spans="5:53" ht="14.25" hidden="1" customHeight="1">
      <c r="AB19" s="342" t="s">
        <v>3</v>
      </c>
      <c r="AD19" s="342">
        <v>1</v>
      </c>
      <c r="AF19" s="342" t="s">
        <v>3</v>
      </c>
      <c r="AH19" s="342">
        <v>1</v>
      </c>
      <c r="AJ19" s="342" t="s">
        <v>3</v>
      </c>
      <c r="AL19" s="342">
        <v>1</v>
      </c>
      <c r="AM19" s="343"/>
      <c r="AN19" s="344"/>
      <c r="AO19" s="345"/>
      <c r="AP19" s="346"/>
      <c r="AQ19" s="347" t="s">
        <v>17</v>
      </c>
      <c r="AR19" s="346"/>
      <c r="AS19" s="347" t="s">
        <v>17</v>
      </c>
      <c r="BA19" s="3">
        <v>0</v>
      </c>
    </row>
    <row r="20" spans="5:53" ht="14.25" hidden="1" customHeight="1">
      <c r="BA20" s="3">
        <v>0</v>
      </c>
    </row>
    <row r="21" spans="5:53" ht="14.25" hidden="1" customHeight="1">
      <c r="O21" s="263" t="s">
        <v>340</v>
      </c>
      <c r="X21" s="290"/>
      <c r="Z21" s="290"/>
      <c r="AP21" s="290"/>
      <c r="AR21" s="290"/>
      <c r="BA21" s="3">
        <v>0</v>
      </c>
    </row>
    <row r="22" spans="5:53" ht="14.25" hidden="1" customHeight="1">
      <c r="BA22" s="3">
        <v>0</v>
      </c>
    </row>
    <row r="23" spans="5:53" ht="14.25" hidden="1" customHeight="1">
      <c r="O23" s="348" t="s">
        <v>341</v>
      </c>
      <c r="Y23" s="348" t="s">
        <v>343</v>
      </c>
      <c r="AA23" s="348" t="s">
        <v>344</v>
      </c>
      <c r="AB23" s="348" t="s">
        <v>392</v>
      </c>
      <c r="AE23" s="348" t="s">
        <v>393</v>
      </c>
      <c r="AF23" s="348" t="s">
        <v>392</v>
      </c>
      <c r="AI23" s="348" t="s">
        <v>394</v>
      </c>
      <c r="AJ23" s="348" t="s">
        <v>392</v>
      </c>
      <c r="AM23" s="348" t="s">
        <v>395</v>
      </c>
      <c r="AQ23" s="348" t="s">
        <v>343</v>
      </c>
      <c r="AS23" s="348" t="s">
        <v>344</v>
      </c>
      <c r="BA23" s="348">
        <v>0</v>
      </c>
    </row>
    <row r="24" spans="5:53" ht="14.25" hidden="1" customHeight="1">
      <c r="BA24" s="3">
        <v>0</v>
      </c>
    </row>
    <row r="25" spans="5:53" ht="14.25" hidden="1" customHeight="1">
      <c r="BA25" s="3">
        <v>0</v>
      </c>
    </row>
    <row r="26" spans="5:53" ht="14.65" customHeight="1">
      <c r="Q26" s="349"/>
      <c r="R26" s="264"/>
      <c r="S26" s="265"/>
      <c r="T26" s="12"/>
      <c r="U26" s="12"/>
      <c r="BA26" s="3">
        <v>14</v>
      </c>
    </row>
    <row r="27" spans="5:53" ht="27.4" customHeight="1">
      <c r="Q27" s="349"/>
      <c r="R27" s="264"/>
      <c r="S27" s="98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982"/>
      <c r="U27" s="982"/>
      <c r="V27" s="982"/>
      <c r="W27" s="982"/>
      <c r="X27" s="982"/>
      <c r="Y27" s="982"/>
      <c r="Z27" s="982"/>
      <c r="AA27" s="982"/>
      <c r="AB27" s="982"/>
      <c r="AC27" s="982"/>
      <c r="AD27" s="982"/>
      <c r="AE27" s="982"/>
      <c r="AF27" s="982"/>
      <c r="AG27" s="982"/>
      <c r="AH27" s="982"/>
      <c r="AI27" s="982"/>
      <c r="AJ27" s="982"/>
      <c r="AK27" s="982"/>
      <c r="AL27" s="982"/>
      <c r="AM27" s="982"/>
      <c r="AN27" s="982"/>
      <c r="AO27" s="982"/>
      <c r="AP27" s="982"/>
      <c r="AQ27" s="982"/>
      <c r="AR27" s="982"/>
      <c r="BA27" s="3">
        <v>26</v>
      </c>
    </row>
    <row r="28" spans="5:53" ht="14.65" customHeight="1">
      <c r="Q28" s="349"/>
      <c r="R28" s="264"/>
      <c r="S28" s="955" t="e">
        <f>IF(org=0,"Не определено",org)</f>
        <v>#REF!</v>
      </c>
      <c r="T28" s="955"/>
      <c r="U28" s="955"/>
      <c r="V28" s="955"/>
      <c r="W28" s="955"/>
      <c r="X28" s="955"/>
      <c r="Y28" s="955"/>
      <c r="Z28" s="955"/>
      <c r="AA28" s="955"/>
      <c r="AB28" s="955"/>
      <c r="AC28" s="955"/>
      <c r="AD28" s="955"/>
      <c r="AE28" s="955"/>
      <c r="AF28" s="955"/>
      <c r="AG28" s="955"/>
      <c r="AH28" s="955"/>
      <c r="AI28" s="955"/>
      <c r="AJ28" s="955"/>
      <c r="AK28" s="955"/>
      <c r="AL28" s="955"/>
      <c r="AM28" s="955"/>
      <c r="AN28" s="955"/>
      <c r="AO28" s="955"/>
      <c r="AP28" s="955"/>
      <c r="AQ28" s="955"/>
      <c r="AR28" s="955"/>
      <c r="BA28" s="3">
        <v>14</v>
      </c>
    </row>
    <row r="29" spans="5:53" ht="14.25" hidden="1" customHeight="1">
      <c r="Q29" s="349"/>
      <c r="R29" s="264"/>
      <c r="S29" s="265"/>
      <c r="T29" s="12"/>
      <c r="U29" s="12"/>
      <c r="V29" s="266"/>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BA29" s="3">
        <v>0</v>
      </c>
    </row>
    <row r="30" spans="5:53" ht="25.5" hidden="1" customHeight="1">
      <c r="S30" s="992" t="s">
        <v>9</v>
      </c>
      <c r="T30" s="992"/>
      <c r="U30" s="268"/>
      <c r="V30" s="994" t="e">
        <f>IF(TITLE_NAME_OR_PR_CHANGE="",IF(TITLE_NAME_OR_PR="","",TITLE_NAME_OR_PR),TITLE_NAME_OR_PR_CHANGE)</f>
        <v>#REF!</v>
      </c>
      <c r="W30" s="994"/>
      <c r="X30" s="994"/>
      <c r="Y30" s="994"/>
      <c r="Z30" s="994"/>
      <c r="AB30" s="994" t="e">
        <f>IF(TITLE_NAME_OR_PR_CHANGE="",IF(TITLE_NAME_OR_PR="","",TITLE_NAME_OR_PR),TITLE_NAME_OR_PR_CHANGE)</f>
        <v>#REF!</v>
      </c>
      <c r="AC30" s="994"/>
      <c r="AD30" s="994"/>
      <c r="AE30" s="994"/>
      <c r="AF30" s="994"/>
      <c r="AG30" s="994"/>
      <c r="AH30" s="994"/>
      <c r="AI30" s="994"/>
      <c r="AJ30" s="994"/>
      <c r="AK30" s="994"/>
      <c r="AL30" s="994"/>
      <c r="AM30" s="994"/>
      <c r="AN30" s="994"/>
      <c r="AO30" s="994"/>
      <c r="AP30" s="994"/>
      <c r="AQ30" s="994"/>
      <c r="AR30" s="994"/>
      <c r="BA30" s="50">
        <v>0</v>
      </c>
    </row>
    <row r="31" spans="5:53" ht="18.75" hidden="1" customHeight="1">
      <c r="S31" s="992" t="s">
        <v>346</v>
      </c>
      <c r="T31" s="992"/>
      <c r="U31" s="268"/>
      <c r="V31" s="993" t="e">
        <f>IF(TITLE_DATE_PR_CHANGE="",IF(TITLE_DATE_PR="","",TITLE_DATE_PR),TITLE_DATE_PR_CHANGE)</f>
        <v>#REF!</v>
      </c>
      <c r="W31" s="993"/>
      <c r="X31" s="993"/>
      <c r="Y31" s="993"/>
      <c r="Z31" s="993"/>
      <c r="AB31" s="993" t="e">
        <f>IF(TITLE_DATE_PR_CHANGE="",IF(TITLE_DATE_PR="","",TITLE_DATE_PR),TITLE_DATE_PR_CHANGE)</f>
        <v>#REF!</v>
      </c>
      <c r="AC31" s="993"/>
      <c r="AD31" s="993"/>
      <c r="AE31" s="993"/>
      <c r="AF31" s="993"/>
      <c r="AG31" s="993"/>
      <c r="AH31" s="993"/>
      <c r="AI31" s="993"/>
      <c r="AJ31" s="993"/>
      <c r="AK31" s="993"/>
      <c r="AL31" s="993"/>
      <c r="AM31" s="993"/>
      <c r="AN31" s="993"/>
      <c r="AO31" s="993"/>
      <c r="AP31" s="993"/>
      <c r="AQ31" s="993"/>
      <c r="AR31" s="993"/>
      <c r="BA31" s="50">
        <v>0</v>
      </c>
    </row>
    <row r="32" spans="5:53" ht="18.75" hidden="1" customHeight="1">
      <c r="S32" s="992" t="s">
        <v>347</v>
      </c>
      <c r="T32" s="992"/>
      <c r="U32" s="268"/>
      <c r="V32" s="994" t="e">
        <f>IF(TITLE_NUMBER_PR_CHANGE="",IF(TITLE_NUMBER_PR="","",TITLE_NUMBER_PR),TITLE_NUMBER_PR_CHANGE)</f>
        <v>#REF!</v>
      </c>
      <c r="W32" s="994"/>
      <c r="X32" s="994"/>
      <c r="Y32" s="994"/>
      <c r="Z32" s="994"/>
      <c r="AB32" s="994" t="e">
        <f>IF(TITLE_NUMBER_PR_CHANGE="",IF(TITLE_NUMBER_PR="","",TITLE_NUMBER_PR),TITLE_NUMBER_PR_CHANGE)</f>
        <v>#REF!</v>
      </c>
      <c r="AC32" s="994"/>
      <c r="AD32" s="994"/>
      <c r="AE32" s="994"/>
      <c r="AF32" s="994"/>
      <c r="AG32" s="994"/>
      <c r="AH32" s="994"/>
      <c r="AI32" s="994"/>
      <c r="AJ32" s="994"/>
      <c r="AK32" s="994"/>
      <c r="AL32" s="994"/>
      <c r="AM32" s="994"/>
      <c r="AN32" s="994"/>
      <c r="AO32" s="994"/>
      <c r="AP32" s="994"/>
      <c r="AQ32" s="994"/>
      <c r="AR32" s="994"/>
      <c r="BA32" s="50">
        <v>0</v>
      </c>
    </row>
    <row r="33" spans="1:53" ht="18.75" hidden="1" customHeight="1">
      <c r="S33" s="992" t="s">
        <v>10</v>
      </c>
      <c r="T33" s="992"/>
      <c r="U33" s="268"/>
      <c r="V33" s="994" t="e">
        <f>IF(TITLE_IST_PUB_CHANGE="",IF(TITLE_IST_PUB="","",TITLE_IST_PUB),TITLE_IST_PUB_CHANGE)</f>
        <v>#REF!</v>
      </c>
      <c r="W33" s="994"/>
      <c r="X33" s="994"/>
      <c r="Y33" s="994"/>
      <c r="Z33" s="994"/>
      <c r="AB33" s="994" t="e">
        <f>IF(TITLE_IST_PUB_CHANGE="",IF(TITLE_IST_PUB="","",TITLE_IST_PUB),TITLE_IST_PUB_CHANGE)</f>
        <v>#REF!</v>
      </c>
      <c r="AC33" s="994"/>
      <c r="AD33" s="994"/>
      <c r="AE33" s="994"/>
      <c r="AF33" s="994"/>
      <c r="AG33" s="994"/>
      <c r="AH33" s="994"/>
      <c r="AI33" s="994"/>
      <c r="AJ33" s="994"/>
      <c r="AK33" s="994"/>
      <c r="AL33" s="994"/>
      <c r="AM33" s="994"/>
      <c r="AN33" s="994"/>
      <c r="AO33" s="994"/>
      <c r="AP33" s="994"/>
      <c r="AQ33" s="994"/>
      <c r="AR33" s="994"/>
      <c r="BA33" s="50">
        <v>0</v>
      </c>
    </row>
    <row r="34" spans="1:53" ht="14.25" hidden="1" customHeight="1">
      <c r="Q34" s="349"/>
      <c r="R34" s="264"/>
      <c r="S34" s="265"/>
      <c r="T34" s="12"/>
      <c r="U34" s="12"/>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BA34" s="3">
        <v>0</v>
      </c>
    </row>
    <row r="35" spans="1:53" ht="18.75" hidden="1" customHeight="1">
      <c r="S35" s="992" t="s">
        <v>346</v>
      </c>
      <c r="T35" s="992"/>
      <c r="U35" s="268"/>
      <c r="V35" s="993" t="e">
        <f>IF(TITLE_DATE_PR_CHANGE="",IF(TITLE_DATE_PR="","",TITLE_DATE_PR),TITLE_DATE_PR_CHANGE)</f>
        <v>#REF!</v>
      </c>
      <c r="W35" s="993"/>
      <c r="X35" s="993"/>
      <c r="Y35" s="993"/>
      <c r="Z35" s="993"/>
      <c r="AB35" s="993" t="e">
        <f>IF(TITLE_DATE_PR_CHANGE="",IF(TITLE_DATE_PR="","",TITLE_DATE_PR),TITLE_DATE_PR_CHANGE)</f>
        <v>#REF!</v>
      </c>
      <c r="AC35" s="993"/>
      <c r="AD35" s="993"/>
      <c r="AE35" s="993"/>
      <c r="AF35" s="993"/>
      <c r="AG35" s="993"/>
      <c r="AH35" s="993"/>
      <c r="AI35" s="993"/>
      <c r="AJ35" s="993"/>
      <c r="AK35" s="993"/>
      <c r="AL35" s="993"/>
      <c r="AM35" s="993"/>
      <c r="AN35" s="993"/>
      <c r="AO35" s="993"/>
      <c r="AP35" s="993"/>
      <c r="AQ35" s="993"/>
      <c r="AR35" s="993"/>
      <c r="BA35" s="50">
        <v>0</v>
      </c>
    </row>
    <row r="36" spans="1:53" ht="18" hidden="1" customHeight="1">
      <c r="S36" s="992" t="s">
        <v>347</v>
      </c>
      <c r="T36" s="992"/>
      <c r="U36" s="268"/>
      <c r="V36" s="994" t="e">
        <f>IF(TITLE_NUMBER_PR_CHANGE="",IF(TITLE_NUMBER_PR="","",TITLE_NUMBER_PR),TITLE_NUMBER_PR_CHANGE)</f>
        <v>#REF!</v>
      </c>
      <c r="W36" s="994"/>
      <c r="X36" s="994"/>
      <c r="Y36" s="994"/>
      <c r="Z36" s="994"/>
      <c r="AB36" s="994" t="e">
        <f>IF(TITLE_NUMBER_PR_CHANGE="",IF(TITLE_NUMBER_PR="","",TITLE_NUMBER_PR),TITLE_NUMBER_PR_CHANGE)</f>
        <v>#REF!</v>
      </c>
      <c r="AC36" s="994"/>
      <c r="AD36" s="994"/>
      <c r="AE36" s="994"/>
      <c r="AF36" s="994"/>
      <c r="AG36" s="994"/>
      <c r="AH36" s="994"/>
      <c r="AI36" s="994"/>
      <c r="AJ36" s="994"/>
      <c r="AK36" s="994"/>
      <c r="AL36" s="994"/>
      <c r="AM36" s="994"/>
      <c r="AN36" s="994"/>
      <c r="AO36" s="994"/>
      <c r="AP36" s="994"/>
      <c r="AQ36" s="994"/>
      <c r="AR36" s="994"/>
      <c r="BA36" s="50">
        <v>0</v>
      </c>
    </row>
    <row r="37" spans="1:53" ht="1.1499999999999999" customHeight="1">
      <c r="AA37" s="24" t="s">
        <v>350</v>
      </c>
      <c r="AS37" s="24" t="s">
        <v>350</v>
      </c>
      <c r="BA37" s="50">
        <v>1</v>
      </c>
    </row>
    <row r="38" spans="1:53" ht="14.65" customHeight="1">
      <c r="Q38" s="349"/>
      <c r="R38" s="264"/>
      <c r="S38" s="265"/>
      <c r="T38" s="12"/>
      <c r="U38" s="270"/>
      <c r="V38" s="1012"/>
      <c r="W38" s="1012"/>
      <c r="X38" s="1012"/>
      <c r="Y38" s="1012"/>
      <c r="Z38" s="1012"/>
      <c r="AA38" s="1012"/>
      <c r="AB38" s="1012"/>
      <c r="AC38" s="1012"/>
      <c r="AD38" s="1012"/>
      <c r="AE38" s="1012"/>
      <c r="AF38" s="1012"/>
      <c r="AG38" s="1012"/>
      <c r="AH38" s="1012"/>
      <c r="AI38" s="1012"/>
      <c r="AJ38" s="1012"/>
      <c r="AK38" s="1012"/>
      <c r="AL38" s="1012"/>
      <c r="AM38" s="1012"/>
      <c r="AN38" s="1012"/>
      <c r="AO38" s="1012"/>
      <c r="AP38" s="1012"/>
      <c r="AQ38" s="1012"/>
      <c r="AR38" s="1012"/>
      <c r="AS38" s="1012"/>
      <c r="BA38" s="3">
        <v>14</v>
      </c>
    </row>
    <row r="39" spans="1:53" ht="14.65" customHeight="1">
      <c r="Q39" s="349"/>
      <c r="R39" s="264"/>
      <c r="S39" s="894" t="s">
        <v>223</v>
      </c>
      <c r="T39" s="894"/>
      <c r="U39" s="894"/>
      <c r="V39" s="894"/>
      <c r="W39" s="894"/>
      <c r="X39" s="894"/>
      <c r="Y39" s="894"/>
      <c r="Z39" s="894"/>
      <c r="AA39" s="894"/>
      <c r="AB39" s="935"/>
      <c r="AC39" s="935"/>
      <c r="AD39" s="935"/>
      <c r="AE39" s="935"/>
      <c r="AF39" s="894"/>
      <c r="AG39" s="894"/>
      <c r="AH39" s="894"/>
      <c r="AI39" s="894"/>
      <c r="AJ39" s="894"/>
      <c r="AK39" s="894"/>
      <c r="AL39" s="894"/>
      <c r="AM39" s="894"/>
      <c r="AN39" s="894"/>
      <c r="AO39" s="894"/>
      <c r="AP39" s="894"/>
      <c r="AQ39" s="894"/>
      <c r="AR39" s="894"/>
      <c r="AS39" s="894"/>
      <c r="AT39" s="894"/>
      <c r="AU39" s="894" t="s">
        <v>224</v>
      </c>
      <c r="BA39" s="3">
        <v>14</v>
      </c>
    </row>
    <row r="40" spans="1:53" ht="14.65" customHeight="1">
      <c r="Q40" s="349"/>
      <c r="R40" s="264"/>
      <c r="S40" s="1013" t="s">
        <v>24</v>
      </c>
      <c r="T40" s="962" t="s">
        <v>396</v>
      </c>
      <c r="U40" s="272"/>
      <c r="V40" s="1015"/>
      <c r="W40" s="1015"/>
      <c r="X40" s="1015"/>
      <c r="Y40" s="1015"/>
      <c r="Z40" s="1016"/>
      <c r="AA40" s="1062" t="s">
        <v>353</v>
      </c>
      <c r="AB40" s="1046" t="s">
        <v>397</v>
      </c>
      <c r="AC40" s="1030"/>
      <c r="AD40" s="1030"/>
      <c r="AE40" s="1047"/>
      <c r="AF40" s="1030" t="s">
        <v>398</v>
      </c>
      <c r="AG40" s="1030"/>
      <c r="AH40" s="1030"/>
      <c r="AI40" s="1047"/>
      <c r="AJ40" s="1046" t="s">
        <v>399</v>
      </c>
      <c r="AK40" s="1030"/>
      <c r="AL40" s="1030"/>
      <c r="AM40" s="1047"/>
      <c r="AN40" s="1046" t="s">
        <v>352</v>
      </c>
      <c r="AO40" s="1030"/>
      <c r="AP40" s="1015"/>
      <c r="AQ40" s="1015"/>
      <c r="AR40" s="1016"/>
      <c r="AS40" s="1017" t="s">
        <v>353</v>
      </c>
      <c r="AT40" s="1020" t="s">
        <v>355</v>
      </c>
      <c r="AU40" s="894"/>
      <c r="BA40" s="3">
        <v>14</v>
      </c>
    </row>
    <row r="41" spans="1:53" ht="35.65" customHeight="1">
      <c r="Q41" s="349"/>
      <c r="R41" s="264"/>
      <c r="S41" s="1013"/>
      <c r="T41" s="962"/>
      <c r="U41" s="274"/>
      <c r="V41" s="894" t="s">
        <v>400</v>
      </c>
      <c r="W41" s="894"/>
      <c r="X41" s="936" t="s">
        <v>359</v>
      </c>
      <c r="Y41" s="1042"/>
      <c r="Z41" s="937"/>
      <c r="AA41" s="1063"/>
      <c r="AB41" s="1048"/>
      <c r="AC41" s="1049"/>
      <c r="AD41" s="1049"/>
      <c r="AE41" s="1061"/>
      <c r="AF41" s="1049"/>
      <c r="AG41" s="1049"/>
      <c r="AH41" s="1049"/>
      <c r="AI41" s="1061"/>
      <c r="AJ41" s="1048"/>
      <c r="AK41" s="1049"/>
      <c r="AL41" s="1049"/>
      <c r="AM41" s="1049"/>
      <c r="AN41" s="894" t="s">
        <v>400</v>
      </c>
      <c r="AO41" s="894"/>
      <c r="AP41" s="1042" t="s">
        <v>359</v>
      </c>
      <c r="AQ41" s="1042"/>
      <c r="AR41" s="937"/>
      <c r="AS41" s="1018"/>
      <c r="AT41" s="1021"/>
      <c r="AU41" s="894"/>
      <c r="BA41" s="3">
        <v>34</v>
      </c>
    </row>
    <row r="42" spans="1:53" ht="14.65" customHeight="1">
      <c r="Q42" s="349"/>
      <c r="R42" s="264"/>
      <c r="S42" s="1013"/>
      <c r="T42" s="962"/>
      <c r="U42" s="274"/>
      <c r="V42" s="1066" t="str">
        <f>IF($AN$42&lt;&gt;"",$AN$42,"")</f>
        <v/>
      </c>
      <c r="W42" s="1066"/>
      <c r="X42" s="941"/>
      <c r="Y42" s="1043"/>
      <c r="Z42" s="942"/>
      <c r="AA42" s="1063"/>
      <c r="AB42" s="1048"/>
      <c r="AC42" s="1049"/>
      <c r="AD42" s="1049"/>
      <c r="AE42" s="1061"/>
      <c r="AF42" s="1049"/>
      <c r="AG42" s="1049"/>
      <c r="AH42" s="1049"/>
      <c r="AI42" s="1061"/>
      <c r="AJ42" s="1048"/>
      <c r="AK42" s="1049"/>
      <c r="AL42" s="1049"/>
      <c r="AM42" s="1049"/>
      <c r="AN42" s="1065"/>
      <c r="AO42" s="1065"/>
      <c r="AP42" s="1043"/>
      <c r="AQ42" s="1043"/>
      <c r="AR42" s="942"/>
      <c r="AS42" s="1018"/>
      <c r="AT42" s="1021"/>
      <c r="AU42" s="894"/>
      <c r="BA42" s="3">
        <v>14</v>
      </c>
    </row>
    <row r="43" spans="1:53" ht="14.65" customHeight="1">
      <c r="B43" s="60" t="s">
        <v>60</v>
      </c>
      <c r="C43" s="60" t="s">
        <v>61</v>
      </c>
      <c r="D43" s="60" t="s">
        <v>62</v>
      </c>
      <c r="E43" s="237" t="s">
        <v>360</v>
      </c>
      <c r="F43" s="237" t="s">
        <v>361</v>
      </c>
      <c r="G43" s="237" t="s">
        <v>362</v>
      </c>
      <c r="H43" s="237" t="s">
        <v>363</v>
      </c>
      <c r="I43" s="237" t="s">
        <v>364</v>
      </c>
      <c r="J43" s="237" t="s">
        <v>365</v>
      </c>
      <c r="K43" s="237" t="s">
        <v>366</v>
      </c>
      <c r="L43" s="237" t="s">
        <v>341</v>
      </c>
      <c r="Q43" s="349"/>
      <c r="R43" s="264"/>
      <c r="S43" s="1013"/>
      <c r="T43" s="962"/>
      <c r="U43" s="275"/>
      <c r="V43" s="120" t="s">
        <v>401</v>
      </c>
      <c r="W43" s="120" t="s">
        <v>402</v>
      </c>
      <c r="X43" s="65" t="s">
        <v>369</v>
      </c>
      <c r="Y43" s="967" t="s">
        <v>370</v>
      </c>
      <c r="Z43" s="981"/>
      <c r="AA43" s="1064"/>
      <c r="AB43" s="1050"/>
      <c r="AC43" s="1051"/>
      <c r="AD43" s="1051"/>
      <c r="AE43" s="1052"/>
      <c r="AF43" s="1051"/>
      <c r="AG43" s="1051"/>
      <c r="AH43" s="1051"/>
      <c r="AI43" s="1052"/>
      <c r="AJ43" s="1050"/>
      <c r="AK43" s="1051"/>
      <c r="AL43" s="1051"/>
      <c r="AM43" s="1052"/>
      <c r="AN43" s="277" t="s">
        <v>401</v>
      </c>
      <c r="AO43" s="277" t="s">
        <v>402</v>
      </c>
      <c r="AP43" s="65" t="s">
        <v>369</v>
      </c>
      <c r="AQ43" s="967" t="s">
        <v>370</v>
      </c>
      <c r="AR43" s="981"/>
      <c r="AS43" s="1019"/>
      <c r="AT43" s="1022"/>
      <c r="AU43" s="894"/>
      <c r="BA43" s="3">
        <v>14</v>
      </c>
    </row>
    <row r="44" spans="1:53" ht="11.25" hidden="1" customHeight="1">
      <c r="Q44" s="279"/>
      <c r="R44" s="279">
        <v>1</v>
      </c>
      <c r="S44" s="280" t="s">
        <v>31</v>
      </c>
      <c r="T44" s="281" t="s">
        <v>39</v>
      </c>
      <c r="U44" s="282" t="str">
        <f ca="1">OFFSET(U44,0,-1)</f>
        <v>2</v>
      </c>
      <c r="V44" s="283">
        <f ca="1">OFFSET(V44,0,-1)+1</f>
        <v>3</v>
      </c>
      <c r="W44" s="283">
        <f ca="1">OFFSET(W44,0,-1)+1</f>
        <v>4</v>
      </c>
      <c r="X44" s="283">
        <f ca="1">OFFSET(X44,0,-1)+1</f>
        <v>5</v>
      </c>
      <c r="Y44" s="1011">
        <f ca="1">OFFSET(Y44,0,-1)+1</f>
        <v>6</v>
      </c>
      <c r="Z44" s="1011"/>
      <c r="AA44" s="283">
        <f ca="1">OFFSET(AA44,0,-2)+1</f>
        <v>7</v>
      </c>
      <c r="AB44" s="185">
        <f ca="1">OFFSET(AB44,0,-1)+1</f>
        <v>8</v>
      </c>
      <c r="AC44" s="185"/>
      <c r="AD44" s="185"/>
      <c r="AE44" s="185"/>
      <c r="AF44" s="283"/>
      <c r="AG44" s="283"/>
      <c r="AH44" s="283"/>
      <c r="AI44" s="283"/>
      <c r="AJ44" s="283"/>
      <c r="AK44" s="283"/>
      <c r="AL44" s="283"/>
      <c r="AM44" s="283"/>
      <c r="AN44" s="283">
        <f ca="1">OFFSET(AN44,0,-1)+1</f>
        <v>1</v>
      </c>
      <c r="AO44" s="283">
        <f ca="1">OFFSET(AO44,0,-1)+1</f>
        <v>2</v>
      </c>
      <c r="AP44" s="283">
        <f ca="1">OFFSET(AP44,0,-1)+1</f>
        <v>3</v>
      </c>
      <c r="AQ44" s="1011">
        <f ca="1">OFFSET(AQ44,0,-1)+1</f>
        <v>4</v>
      </c>
      <c r="AR44" s="1011"/>
      <c r="AS44" s="283">
        <f ca="1">OFFSET(AS44,0,-2)+1</f>
        <v>5</v>
      </c>
      <c r="AT44" s="282">
        <f ca="1">OFFSET(AT44,0,-1)</f>
        <v>5</v>
      </c>
      <c r="AU44" s="283">
        <f ca="1">OFFSET(AU44,0,-1)+1</f>
        <v>6</v>
      </c>
      <c r="BA44" s="189">
        <v>0</v>
      </c>
    </row>
    <row r="45" spans="1:53" ht="107.25" customHeight="1">
      <c r="A45" s="284" t="s">
        <v>123</v>
      </c>
      <c r="E45" s="1000">
        <v>1</v>
      </c>
      <c r="R45" s="225"/>
      <c r="S45" s="226">
        <f>INDEX(PT_DIFFERENTIATION_NUM_NTAR,MATCH(A45,PT_DIFFERENTIATION_NTAR_ID,0))</f>
        <v>0</v>
      </c>
      <c r="T45" s="227" t="s">
        <v>48</v>
      </c>
      <c r="U45" s="228"/>
      <c r="V45" s="996"/>
      <c r="W45" s="996"/>
      <c r="X45" s="996"/>
      <c r="Y45" s="996"/>
      <c r="Z45" s="996"/>
      <c r="AA45" s="997"/>
      <c r="AB45" s="995" t="str">
        <f>INDEX(PT_DIFFERENTIATION_NTAR,MATCH(A45,PT_DIFFERENTIATION_NTAR_ID,0))</f>
        <v/>
      </c>
      <c r="AC45" s="996"/>
      <c r="AD45" s="996"/>
      <c r="AE45" s="996"/>
      <c r="AF45" s="996"/>
      <c r="AG45" s="996"/>
      <c r="AH45" s="996"/>
      <c r="AI45" s="996"/>
      <c r="AJ45" s="996"/>
      <c r="AK45" s="996"/>
      <c r="AL45" s="996"/>
      <c r="AM45" s="996"/>
      <c r="AN45" s="996"/>
      <c r="AO45" s="996"/>
      <c r="AP45" s="996"/>
      <c r="AQ45" s="996"/>
      <c r="AR45" s="996"/>
      <c r="AS45" s="996"/>
      <c r="AT45" s="997"/>
      <c r="AU45" s="23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X45" s="29" t="str">
        <f t="shared" ref="AX45:AX51" si="2">IF(T45="","",T45)</f>
        <v>Наименование тарифа</v>
      </c>
      <c r="BA45" s="3">
        <v>102</v>
      </c>
    </row>
    <row r="46" spans="1:53" ht="21.95" customHeight="1">
      <c r="A46" s="284" t="s">
        <v>123</v>
      </c>
      <c r="B46" s="284" t="s">
        <v>124</v>
      </c>
      <c r="E46" s="1001"/>
      <c r="F46" s="1000">
        <v>1</v>
      </c>
      <c r="Q46" s="328"/>
      <c r="R46" s="232"/>
      <c r="S46" s="226" t="str">
        <f>INDEX(PT_DIFFERENTIATION_NUM_TER,MATCH(B46,PT_DIFFERENTIATION_TER_ID,0))</f>
        <v>.</v>
      </c>
      <c r="T46" s="233" t="s">
        <v>320</v>
      </c>
      <c r="U46" s="228"/>
      <c r="V46" s="996"/>
      <c r="W46" s="996"/>
      <c r="X46" s="996"/>
      <c r="Y46" s="996"/>
      <c r="Z46" s="996"/>
      <c r="AA46" s="997"/>
      <c r="AB46" s="995" t="str">
        <f>INDEX(PT_DIFFERENTIATION_TER,MATCH(B46,PT_DIFFERENTIATION_TER_ID,0))</f>
        <v/>
      </c>
      <c r="AC46" s="996"/>
      <c r="AD46" s="996"/>
      <c r="AE46" s="996"/>
      <c r="AF46" s="996"/>
      <c r="AG46" s="996"/>
      <c r="AH46" s="996"/>
      <c r="AI46" s="996"/>
      <c r="AJ46" s="996"/>
      <c r="AK46" s="996"/>
      <c r="AL46" s="996"/>
      <c r="AM46" s="996"/>
      <c r="AN46" s="996"/>
      <c r="AO46" s="996"/>
      <c r="AP46" s="996"/>
      <c r="AQ46" s="996"/>
      <c r="AR46" s="996"/>
      <c r="AS46" s="996"/>
      <c r="AT46" s="997"/>
      <c r="AU46" s="230" t="s">
        <v>321</v>
      </c>
      <c r="AX46" s="29" t="str">
        <f t="shared" si="2"/>
        <v>Территория действия тарифа</v>
      </c>
      <c r="BA46" s="3">
        <v>21</v>
      </c>
    </row>
    <row r="47" spans="1:53" ht="24" customHeight="1">
      <c r="A47" s="284" t="s">
        <v>123</v>
      </c>
      <c r="B47" s="284" t="s">
        <v>124</v>
      </c>
      <c r="C47" s="284" t="s">
        <v>125</v>
      </c>
      <c r="E47" s="1001"/>
      <c r="F47" s="1001"/>
      <c r="G47" s="1000">
        <v>1</v>
      </c>
      <c r="Q47" s="328"/>
      <c r="R47" s="232"/>
      <c r="S47" s="226" t="str">
        <f>INDEX(PT_DIFFERENTIATION_NUM_CS,MATCH(C47,PT_DIFFERENTIATION_CS_ID,0))</f>
        <v>..</v>
      </c>
      <c r="T47" s="234" t="s">
        <v>322</v>
      </c>
      <c r="U47" s="228"/>
      <c r="V47" s="996"/>
      <c r="W47" s="996"/>
      <c r="X47" s="996"/>
      <c r="Y47" s="996"/>
      <c r="Z47" s="996"/>
      <c r="AA47" s="997"/>
      <c r="AB47" s="995" t="str">
        <f>INDEX(PT_DIFFERENTIATION_CS,MATCH(C47,PT_DIFFERENTIATION_CS_ID,0))</f>
        <v/>
      </c>
      <c r="AC47" s="996"/>
      <c r="AD47" s="996"/>
      <c r="AE47" s="996"/>
      <c r="AF47" s="996"/>
      <c r="AG47" s="996"/>
      <c r="AH47" s="996"/>
      <c r="AI47" s="996"/>
      <c r="AJ47" s="996"/>
      <c r="AK47" s="996"/>
      <c r="AL47" s="996"/>
      <c r="AM47" s="996"/>
      <c r="AN47" s="996"/>
      <c r="AO47" s="996"/>
      <c r="AP47" s="996"/>
      <c r="AQ47" s="996"/>
      <c r="AR47" s="996"/>
      <c r="AS47" s="996"/>
      <c r="AT47" s="997"/>
      <c r="AU47" s="230" t="s">
        <v>323</v>
      </c>
      <c r="AX47" s="29" t="str">
        <f t="shared" si="2"/>
        <v xml:space="preserve">Наименование системы теплоснабжения </v>
      </c>
      <c r="BA47" s="3">
        <v>23</v>
      </c>
    </row>
    <row r="48" spans="1:53" ht="21" customHeight="1">
      <c r="A48" s="284" t="s">
        <v>123</v>
      </c>
      <c r="B48" s="284" t="s">
        <v>124</v>
      </c>
      <c r="C48" s="284" t="s">
        <v>125</v>
      </c>
      <c r="D48" s="284" t="s">
        <v>126</v>
      </c>
      <c r="E48" s="1001"/>
      <c r="F48" s="1001"/>
      <c r="G48" s="1001"/>
      <c r="H48" s="1000">
        <v>1</v>
      </c>
      <c r="Q48" s="328"/>
      <c r="R48" s="232"/>
      <c r="S48" s="226" t="str">
        <f>INDEX(PT_DIFFERENTIATION_NUM_IST_TE,MATCH(D48,PT_DIFFERENTIATION_IST_TE_ID,0))</f>
        <v>...</v>
      </c>
      <c r="T48" s="235" t="s">
        <v>324</v>
      </c>
      <c r="U48" s="228"/>
      <c r="V48" s="996"/>
      <c r="W48" s="996"/>
      <c r="X48" s="996"/>
      <c r="Y48" s="996"/>
      <c r="Z48" s="996"/>
      <c r="AA48" s="997"/>
      <c r="AB48" s="995" t="str">
        <f>INDEX(PT_DIFFERENTIATION_IST_TE,MATCH(D48,PT_DIFFERENTIATION_IST_TE_ID,0))</f>
        <v/>
      </c>
      <c r="AC48" s="996"/>
      <c r="AD48" s="996"/>
      <c r="AE48" s="996"/>
      <c r="AF48" s="996"/>
      <c r="AG48" s="996"/>
      <c r="AH48" s="996"/>
      <c r="AI48" s="996"/>
      <c r="AJ48" s="996"/>
      <c r="AK48" s="996"/>
      <c r="AL48" s="996"/>
      <c r="AM48" s="996"/>
      <c r="AN48" s="996"/>
      <c r="AO48" s="996"/>
      <c r="AP48" s="996"/>
      <c r="AQ48" s="996"/>
      <c r="AR48" s="996"/>
      <c r="AS48" s="996"/>
      <c r="AT48" s="997"/>
      <c r="AU48" s="230" t="s">
        <v>325</v>
      </c>
      <c r="AX48" s="29" t="str">
        <f t="shared" si="2"/>
        <v xml:space="preserve">Источник тепловой энергии  </v>
      </c>
      <c r="BA48" s="3">
        <v>20</v>
      </c>
    </row>
    <row r="49" spans="1:53" ht="1.1499999999999999" customHeight="1">
      <c r="A49" s="21" t="s">
        <v>123</v>
      </c>
      <c r="B49" s="21" t="s">
        <v>124</v>
      </c>
      <c r="C49" s="21" t="s">
        <v>125</v>
      </c>
      <c r="D49" s="21" t="s">
        <v>126</v>
      </c>
      <c r="E49" s="1001"/>
      <c r="F49" s="1001"/>
      <c r="G49" s="1001"/>
      <c r="H49" s="1001"/>
      <c r="I49" s="1002" t="str">
        <f>S48&amp;".1"</f>
        <v>....1</v>
      </c>
      <c r="L49" s="302" t="s">
        <v>326</v>
      </c>
      <c r="P49" s="1004">
        <v>1</v>
      </c>
      <c r="R49" s="238"/>
      <c r="S49" s="124"/>
      <c r="T49" s="294"/>
      <c r="U49" s="295"/>
      <c r="V49" s="1032"/>
      <c r="W49" s="1032"/>
      <c r="X49" s="1032"/>
      <c r="Y49" s="1032"/>
      <c r="Z49" s="1032"/>
      <c r="AA49" s="1033"/>
      <c r="AB49" s="1031"/>
      <c r="AC49" s="1032"/>
      <c r="AD49" s="1032"/>
      <c r="AE49" s="1032"/>
      <c r="AF49" s="1032"/>
      <c r="AG49" s="1032"/>
      <c r="AH49" s="1032"/>
      <c r="AI49" s="1032"/>
      <c r="AJ49" s="1032"/>
      <c r="AK49" s="1032"/>
      <c r="AL49" s="1032"/>
      <c r="AM49" s="1032"/>
      <c r="AN49" s="1032"/>
      <c r="AO49" s="1032"/>
      <c r="AP49" s="1032"/>
      <c r="AQ49" s="1032"/>
      <c r="AR49" s="1032"/>
      <c r="AS49" s="1032"/>
      <c r="AT49" s="1033"/>
      <c r="AU49" s="297"/>
      <c r="AX49" s="29" t="str">
        <f t="shared" si="2"/>
        <v/>
      </c>
      <c r="BA49" s="24">
        <v>1</v>
      </c>
    </row>
    <row r="50" spans="1:53" ht="1.1499999999999999" customHeight="1">
      <c r="A50" s="21" t="s">
        <v>123</v>
      </c>
      <c r="B50" s="21" t="s">
        <v>124</v>
      </c>
      <c r="C50" s="21" t="s">
        <v>125</v>
      </c>
      <c r="D50" s="21" t="s">
        <v>126</v>
      </c>
      <c r="E50" s="1001"/>
      <c r="F50" s="1001"/>
      <c r="G50" s="1001"/>
      <c r="H50" s="1001"/>
      <c r="I50" s="1003"/>
      <c r="J50" s="1002" t="str">
        <f>S48&amp;".1"</f>
        <v>....1</v>
      </c>
      <c r="P50" s="885"/>
      <c r="Q50" s="1004">
        <v>1</v>
      </c>
      <c r="R50" s="240"/>
      <c r="S50" s="124"/>
      <c r="T50" s="329"/>
      <c r="U50" s="295"/>
      <c r="V50" s="1032"/>
      <c r="W50" s="1032"/>
      <c r="X50" s="1032"/>
      <c r="Y50" s="1032"/>
      <c r="Z50" s="1032"/>
      <c r="AA50" s="1033"/>
      <c r="AB50" s="1031"/>
      <c r="AC50" s="1032"/>
      <c r="AD50" s="1032"/>
      <c r="AE50" s="1032"/>
      <c r="AF50" s="1032"/>
      <c r="AG50" s="1032"/>
      <c r="AH50" s="1032"/>
      <c r="AI50" s="1032"/>
      <c r="AJ50" s="1032"/>
      <c r="AK50" s="1032"/>
      <c r="AL50" s="1032"/>
      <c r="AM50" s="1032"/>
      <c r="AN50" s="1032"/>
      <c r="AO50" s="1032"/>
      <c r="AP50" s="1032"/>
      <c r="AQ50" s="1032"/>
      <c r="AR50" s="1032"/>
      <c r="AS50" s="1032"/>
      <c r="AT50" s="1033"/>
      <c r="AU50" s="297"/>
      <c r="AX50" s="29" t="str">
        <f t="shared" si="2"/>
        <v/>
      </c>
      <c r="BA50" s="24">
        <v>1</v>
      </c>
    </row>
    <row r="51" spans="1:53" ht="21.95" customHeight="1">
      <c r="A51" s="284" t="s">
        <v>123</v>
      </c>
      <c r="B51" s="284" t="s">
        <v>124</v>
      </c>
      <c r="C51" s="284" t="s">
        <v>125</v>
      </c>
      <c r="D51" s="284" t="s">
        <v>126</v>
      </c>
      <c r="E51" s="1001"/>
      <c r="F51" s="1001"/>
      <c r="G51" s="1001"/>
      <c r="H51" s="1001"/>
      <c r="I51" s="1003"/>
      <c r="J51" s="1003"/>
      <c r="K51" s="1002" t="str">
        <f>S48&amp;".1"</f>
        <v>....1</v>
      </c>
      <c r="P51" s="885"/>
      <c r="Q51" s="885"/>
      <c r="R51" s="240">
        <v>1</v>
      </c>
      <c r="S51" s="1057" t="str">
        <f>$K51</f>
        <v>....1</v>
      </c>
      <c r="T51" s="1054"/>
      <c r="U51" s="228"/>
      <c r="V51" s="243"/>
      <c r="W51" s="245"/>
      <c r="X51" s="246"/>
      <c r="Y51" s="56" t="s">
        <v>17</v>
      </c>
      <c r="Z51" s="246"/>
      <c r="AA51" s="56" t="s">
        <v>17</v>
      </c>
      <c r="AB51" s="895" t="s">
        <v>3</v>
      </c>
      <c r="AC51" s="1053"/>
      <c r="AD51" s="958">
        <v>1</v>
      </c>
      <c r="AE51" s="1045" t="s">
        <v>4</v>
      </c>
      <c r="AF51" s="895" t="s">
        <v>3</v>
      </c>
      <c r="AG51" s="1053"/>
      <c r="AH51" s="958">
        <v>1</v>
      </c>
      <c r="AI51" s="1045" t="s">
        <v>4</v>
      </c>
      <c r="AJ51" s="895" t="s">
        <v>3</v>
      </c>
      <c r="AK51" s="332"/>
      <c r="AL51" s="118">
        <v>1</v>
      </c>
      <c r="AM51" s="352"/>
      <c r="AN51" s="243"/>
      <c r="AO51" s="245"/>
      <c r="AP51" s="246"/>
      <c r="AQ51" s="56" t="s">
        <v>17</v>
      </c>
      <c r="AR51" s="246"/>
      <c r="AS51" s="56" t="s">
        <v>17</v>
      </c>
      <c r="AT51" s="285"/>
      <c r="AU51" s="1023" t="s">
        <v>403</v>
      </c>
      <c r="AV51" s="24" t="e">
        <f ca="1">STRCHECKDATE(V54:AT54)</f>
        <v>#NAME?</v>
      </c>
      <c r="AX51" s="29" t="str">
        <f t="shared" si="2"/>
        <v/>
      </c>
      <c r="BA51" s="3">
        <v>21</v>
      </c>
    </row>
    <row r="52" spans="1:53" ht="11.45" customHeight="1">
      <c r="A52" s="284" t="s">
        <v>123</v>
      </c>
      <c r="E52" s="1001"/>
      <c r="F52" s="1001"/>
      <c r="G52" s="1001"/>
      <c r="H52" s="1001"/>
      <c r="I52" s="1003"/>
      <c r="J52" s="1003"/>
      <c r="K52" s="1002"/>
      <c r="P52" s="885"/>
      <c r="Q52" s="885"/>
      <c r="R52" s="240"/>
      <c r="S52" s="1058"/>
      <c r="T52" s="1055"/>
      <c r="U52" s="228"/>
      <c r="V52" s="322"/>
      <c r="W52" s="335"/>
      <c r="X52" s="322"/>
      <c r="Y52" s="322"/>
      <c r="Z52" s="322"/>
      <c r="AA52" s="322"/>
      <c r="AB52" s="895"/>
      <c r="AC52" s="1053"/>
      <c r="AD52" s="958"/>
      <c r="AE52" s="1045"/>
      <c r="AF52" s="895"/>
      <c r="AG52" s="1053"/>
      <c r="AH52" s="958"/>
      <c r="AI52" s="1045"/>
      <c r="AJ52" s="895"/>
      <c r="AK52" s="334"/>
      <c r="AL52" s="45"/>
      <c r="AM52" s="42" t="s">
        <v>388</v>
      </c>
      <c r="AN52" s="322"/>
      <c r="AO52" s="335"/>
      <c r="AP52" s="322"/>
      <c r="AQ52" s="322"/>
      <c r="AR52" s="322"/>
      <c r="AS52" s="322"/>
      <c r="AT52" s="336"/>
      <c r="AU52" s="1024"/>
      <c r="BA52" s="3">
        <v>11</v>
      </c>
    </row>
    <row r="53" spans="1:53" ht="11.45" customHeight="1">
      <c r="A53" s="284" t="s">
        <v>123</v>
      </c>
      <c r="E53" s="1001"/>
      <c r="F53" s="1001"/>
      <c r="G53" s="1001"/>
      <c r="H53" s="1001"/>
      <c r="I53" s="1003"/>
      <c r="J53" s="1003"/>
      <c r="K53" s="1002"/>
      <c r="P53" s="885"/>
      <c r="Q53" s="885"/>
      <c r="R53" s="240"/>
      <c r="S53" s="1058"/>
      <c r="T53" s="1055"/>
      <c r="U53" s="228"/>
      <c r="V53" s="322"/>
      <c r="W53" s="335"/>
      <c r="X53" s="322"/>
      <c r="Y53" s="322"/>
      <c r="Z53" s="322"/>
      <c r="AA53" s="322"/>
      <c r="AB53" s="895"/>
      <c r="AC53" s="1053"/>
      <c r="AD53" s="958"/>
      <c r="AE53" s="1045"/>
      <c r="AF53" s="895"/>
      <c r="AG53" s="337"/>
      <c r="AH53" s="42"/>
      <c r="AI53" s="42" t="s">
        <v>389</v>
      </c>
      <c r="AJ53" s="322"/>
      <c r="AK53" s="322"/>
      <c r="AL53" s="322"/>
      <c r="AM53" s="322"/>
      <c r="AN53" s="322"/>
      <c r="AO53" s="335"/>
      <c r="AP53" s="322"/>
      <c r="AQ53" s="322"/>
      <c r="AR53" s="322"/>
      <c r="AS53" s="322"/>
      <c r="AT53" s="336"/>
      <c r="AU53" s="1024"/>
      <c r="BA53" s="3">
        <v>11</v>
      </c>
    </row>
    <row r="54" spans="1:53" ht="11.45" customHeight="1">
      <c r="A54" s="284" t="s">
        <v>123</v>
      </c>
      <c r="B54" s="284" t="s">
        <v>124</v>
      </c>
      <c r="C54" s="284" t="s">
        <v>125</v>
      </c>
      <c r="D54" s="284" t="s">
        <v>126</v>
      </c>
      <c r="E54" s="1001"/>
      <c r="F54" s="1001"/>
      <c r="G54" s="1001"/>
      <c r="H54" s="1001"/>
      <c r="I54" s="1003"/>
      <c r="J54" s="1003"/>
      <c r="K54" s="1002"/>
      <c r="P54" s="885"/>
      <c r="Q54" s="885"/>
      <c r="R54" s="240"/>
      <c r="S54" s="1059"/>
      <c r="T54" s="1056"/>
      <c r="U54" s="228"/>
      <c r="V54" s="322"/>
      <c r="W54" s="323" t="str">
        <f>X51&amp;"-"&amp;Z51</f>
        <v>-</v>
      </c>
      <c r="X54" s="322"/>
      <c r="Y54" s="322"/>
      <c r="Z54" s="322"/>
      <c r="AA54" s="322"/>
      <c r="AB54" s="895"/>
      <c r="AC54" s="339"/>
      <c r="AD54" s="340"/>
      <c r="AE54" s="42" t="s">
        <v>390</v>
      </c>
      <c r="AF54" s="322"/>
      <c r="AG54" s="322"/>
      <c r="AH54" s="322"/>
      <c r="AI54" s="322"/>
      <c r="AJ54" s="322"/>
      <c r="AK54" s="322"/>
      <c r="AL54" s="322"/>
      <c r="AM54" s="322"/>
      <c r="AN54" s="322"/>
      <c r="AO54" s="323" t="str">
        <f>AP51&amp;"-"&amp;AR51</f>
        <v>-</v>
      </c>
      <c r="AP54" s="322"/>
      <c r="AQ54" s="322"/>
      <c r="AR54" s="322"/>
      <c r="AS54" s="322"/>
      <c r="AT54" s="286"/>
      <c r="AU54" s="1024"/>
      <c r="AX54" s="29" t="str">
        <f t="shared" ref="AX54:AX62" si="3">IF(T54="","",T54)</f>
        <v/>
      </c>
      <c r="BA54" s="3">
        <v>11</v>
      </c>
    </row>
    <row r="55" spans="1:53" ht="11.45" customHeight="1">
      <c r="A55" s="284" t="s">
        <v>123</v>
      </c>
      <c r="B55" s="284" t="s">
        <v>124</v>
      </c>
      <c r="C55" s="284" t="s">
        <v>125</v>
      </c>
      <c r="D55" s="284" t="s">
        <v>126</v>
      </c>
      <c r="E55" s="1001"/>
      <c r="F55" s="1001"/>
      <c r="G55" s="1001"/>
      <c r="H55" s="1001"/>
      <c r="I55" s="1003"/>
      <c r="J55" s="1002"/>
      <c r="P55" s="885"/>
      <c r="Q55" s="885"/>
      <c r="R55" s="238"/>
      <c r="S55" s="249"/>
      <c r="T55" s="252" t="s">
        <v>391</v>
      </c>
      <c r="U55" s="54"/>
      <c r="V55" s="54"/>
      <c r="W55" s="54"/>
      <c r="X55" s="54"/>
      <c r="Y55" s="54"/>
      <c r="Z55" s="54"/>
      <c r="AA55" s="251"/>
      <c r="AB55" s="353"/>
      <c r="AC55" s="54"/>
      <c r="AD55" s="54"/>
      <c r="AE55" s="54"/>
      <c r="AF55" s="54"/>
      <c r="AG55" s="54"/>
      <c r="AH55" s="54"/>
      <c r="AI55" s="54"/>
      <c r="AJ55" s="54"/>
      <c r="AK55" s="54"/>
      <c r="AL55" s="54"/>
      <c r="AM55" s="54"/>
      <c r="AN55" s="54"/>
      <c r="AO55" s="54"/>
      <c r="AP55" s="54"/>
      <c r="AQ55" s="54"/>
      <c r="AR55" s="54"/>
      <c r="AS55" s="54"/>
      <c r="AT55" s="251"/>
      <c r="AU55" s="1025"/>
      <c r="AX55" s="29" t="str">
        <f t="shared" si="3"/>
        <v>Добавить строку</v>
      </c>
      <c r="BA55" s="3">
        <v>11</v>
      </c>
    </row>
    <row r="56" spans="1:53" ht="1.1499999999999999" customHeight="1">
      <c r="A56" s="21" t="s">
        <v>123</v>
      </c>
      <c r="B56" s="21" t="s">
        <v>124</v>
      </c>
      <c r="C56" s="21" t="s">
        <v>125</v>
      </c>
      <c r="D56" s="21" t="s">
        <v>126</v>
      </c>
      <c r="E56" s="1001"/>
      <c r="F56" s="1001"/>
      <c r="G56" s="1001"/>
      <c r="H56" s="1001"/>
      <c r="I56" s="1002"/>
      <c r="P56" s="885"/>
      <c r="R56" s="238"/>
      <c r="S56" s="298"/>
      <c r="T56" s="299" t="s">
        <v>335</v>
      </c>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1"/>
      <c r="AX56" s="29" t="str">
        <f t="shared" si="3"/>
        <v>Добавить группу потребителей</v>
      </c>
      <c r="BA56" s="24">
        <v>1</v>
      </c>
    </row>
    <row r="57" spans="1:53" ht="1.1499999999999999" customHeight="1">
      <c r="A57" s="21" t="s">
        <v>123</v>
      </c>
      <c r="B57" s="21" t="s">
        <v>124</v>
      </c>
      <c r="C57" s="21" t="s">
        <v>125</v>
      </c>
      <c r="D57" s="21" t="s">
        <v>126</v>
      </c>
      <c r="E57" s="1001"/>
      <c r="F57" s="1001"/>
      <c r="G57" s="1001"/>
      <c r="H57" s="1000"/>
      <c r="R57" s="354"/>
      <c r="S57" s="298"/>
      <c r="T57" s="299"/>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1"/>
      <c r="AX57" s="29" t="str">
        <f t="shared" si="3"/>
        <v/>
      </c>
      <c r="BA57" s="189">
        <v>1</v>
      </c>
    </row>
    <row r="58" spans="1:53" ht="1.1499999999999999" customHeight="1">
      <c r="A58" s="21" t="s">
        <v>123</v>
      </c>
      <c r="B58" s="21" t="s">
        <v>124</v>
      </c>
      <c r="C58" s="21" t="s">
        <v>125</v>
      </c>
      <c r="E58" s="1001"/>
      <c r="F58" s="1001"/>
      <c r="G58" s="1000"/>
      <c r="T58" s="260" t="s">
        <v>337</v>
      </c>
      <c r="AX58" s="29" t="str">
        <f t="shared" si="3"/>
        <v>Добавить источник для дифференциации</v>
      </c>
      <c r="BA58" s="24">
        <v>1</v>
      </c>
    </row>
    <row r="59" spans="1:53" ht="1.1499999999999999" customHeight="1">
      <c r="A59" s="21" t="s">
        <v>123</v>
      </c>
      <c r="B59" s="21" t="s">
        <v>124</v>
      </c>
      <c r="E59" s="1001"/>
      <c r="F59" s="1000"/>
      <c r="T59" s="260" t="s">
        <v>338</v>
      </c>
      <c r="AX59" s="29" t="str">
        <f t="shared" si="3"/>
        <v>Добавить централизованную систему для дифференциации</v>
      </c>
      <c r="BA59" s="24">
        <v>1</v>
      </c>
    </row>
    <row r="60" spans="1:53" ht="1.1499999999999999" customHeight="1">
      <c r="A60" s="21" t="s">
        <v>123</v>
      </c>
      <c r="E60" s="1001"/>
      <c r="T60" s="260" t="s">
        <v>339</v>
      </c>
      <c r="AX60" s="29" t="str">
        <f t="shared" si="3"/>
        <v>Добавить территорию для дифференциации</v>
      </c>
      <c r="BA60" s="24">
        <v>1</v>
      </c>
    </row>
    <row r="61" spans="1:53" ht="1.1499999999999999" customHeight="1">
      <c r="A61" s="21" t="s">
        <v>123</v>
      </c>
      <c r="E61" s="1000"/>
      <c r="T61" s="260" t="s">
        <v>339</v>
      </c>
      <c r="AX61" s="29" t="str">
        <f t="shared" si="3"/>
        <v>Добавить территорию для дифференциации</v>
      </c>
      <c r="BA61" s="24">
        <v>1</v>
      </c>
    </row>
    <row r="62" spans="1:53" ht="1.1499999999999999" customHeight="1">
      <c r="T62" s="260" t="s">
        <v>371</v>
      </c>
      <c r="AX62" s="29" t="str">
        <f t="shared" si="3"/>
        <v>Добавить наименование тарифа</v>
      </c>
      <c r="BA62" s="24">
        <v>1</v>
      </c>
    </row>
    <row r="63" spans="1:53" ht="11.45" customHeight="1">
      <c r="BA63" s="3">
        <v>11</v>
      </c>
    </row>
    <row r="64" spans="1:53" ht="19.899999999999999" customHeight="1">
      <c r="T64" s="885"/>
      <c r="U64" s="885"/>
      <c r="V64" s="885"/>
      <c r="W64" s="885"/>
      <c r="X64" s="885"/>
      <c r="Y64" s="885"/>
      <c r="Z64" s="885"/>
      <c r="AA64" s="885"/>
      <c r="AB64" s="885"/>
      <c r="AC64" s="885"/>
      <c r="AD64" s="885"/>
      <c r="AE64" s="885"/>
      <c r="AF64" s="885"/>
      <c r="AG64" s="885"/>
      <c r="AH64" s="885"/>
      <c r="AI64" s="885"/>
      <c r="AJ64" s="885"/>
      <c r="AK64" s="885"/>
      <c r="AL64" s="885"/>
      <c r="AM64" s="885"/>
      <c r="AN64" s="885"/>
      <c r="AO64" s="885"/>
      <c r="AP64" s="885"/>
      <c r="AQ64" s="885"/>
      <c r="AR64" s="885"/>
      <c r="AS64" s="885"/>
      <c r="AT64" s="885"/>
      <c r="AU64" s="885"/>
      <c r="BA64" s="3">
        <v>19</v>
      </c>
    </row>
    <row r="65" spans="1:53" ht="21" customHeight="1">
      <c r="T65" s="885"/>
      <c r="U65" s="885"/>
      <c r="V65" s="885"/>
      <c r="W65" s="885"/>
      <c r="X65" s="885"/>
      <c r="Y65" s="885"/>
      <c r="Z65" s="885"/>
      <c r="AA65" s="885"/>
      <c r="AB65" s="885"/>
      <c r="AC65" s="885"/>
      <c r="AD65" s="885"/>
      <c r="AE65" s="885"/>
      <c r="AF65" s="885"/>
      <c r="AG65" s="885"/>
      <c r="AH65" s="885"/>
      <c r="AI65" s="885"/>
      <c r="AJ65" s="885"/>
      <c r="AK65" s="885"/>
      <c r="AL65" s="885"/>
      <c r="AM65" s="885"/>
      <c r="AN65" s="885"/>
      <c r="AO65" s="885"/>
      <c r="AP65" s="885"/>
      <c r="AQ65" s="885"/>
      <c r="AR65" s="885"/>
      <c r="AS65" s="885"/>
      <c r="AT65" s="885"/>
      <c r="AU65" s="885"/>
      <c r="BA65" s="3">
        <v>20</v>
      </c>
    </row>
    <row r="66" spans="1:53" ht="14.65" customHeight="1">
      <c r="BA66" s="3">
        <v>14</v>
      </c>
    </row>
    <row r="67" spans="1:53" ht="19.899999999999999" customHeight="1">
      <c r="T67" s="885"/>
      <c r="U67" s="885"/>
      <c r="V67" s="885"/>
      <c r="W67" s="885"/>
      <c r="X67" s="885"/>
      <c r="Y67" s="885"/>
      <c r="Z67" s="885"/>
      <c r="AA67" s="885"/>
      <c r="AB67" s="885"/>
      <c r="AC67" s="885"/>
      <c r="AD67" s="885"/>
      <c r="AE67" s="885"/>
      <c r="AF67" s="885"/>
      <c r="AG67" s="885"/>
      <c r="AH67" s="885"/>
      <c r="AI67" s="885"/>
      <c r="AJ67" s="885"/>
      <c r="AK67" s="885"/>
      <c r="AL67" s="885"/>
      <c r="AM67" s="885"/>
      <c r="AN67" s="885"/>
      <c r="AO67" s="885"/>
      <c r="AP67" s="885"/>
      <c r="AQ67" s="885"/>
      <c r="AR67" s="885"/>
      <c r="AS67" s="885"/>
      <c r="AT67" s="885"/>
      <c r="AU67" s="885"/>
      <c r="BA67" s="3">
        <v>19</v>
      </c>
    </row>
    <row r="68" spans="1:53" ht="16.899999999999999" customHeight="1">
      <c r="T68" s="885"/>
      <c r="U68" s="885"/>
      <c r="V68" s="885"/>
      <c r="W68" s="885"/>
      <c r="X68" s="885"/>
      <c r="Y68" s="885"/>
      <c r="Z68" s="885"/>
      <c r="AA68" s="885"/>
      <c r="AB68" s="885"/>
      <c r="AC68" s="885"/>
      <c r="AD68" s="885"/>
      <c r="AE68" s="885"/>
      <c r="AF68" s="885"/>
      <c r="AG68" s="885"/>
      <c r="AH68" s="885"/>
      <c r="AI68" s="885"/>
      <c r="AJ68" s="885"/>
      <c r="AK68" s="885"/>
      <c r="AL68" s="885"/>
      <c r="AM68" s="885"/>
      <c r="AN68" s="885"/>
      <c r="AO68" s="885"/>
      <c r="AP68" s="885"/>
      <c r="AQ68" s="885"/>
      <c r="AR68" s="885"/>
      <c r="AS68" s="885"/>
      <c r="AT68" s="885"/>
      <c r="AU68" s="885"/>
      <c r="BA68" s="3">
        <v>16</v>
      </c>
    </row>
    <row r="69" spans="1:53" ht="14.65" customHeight="1">
      <c r="BA69" s="3">
        <v>14</v>
      </c>
    </row>
    <row r="70" spans="1:53" ht="22.5" hidden="1" customHeight="1">
      <c r="A70" s="11" t="s">
        <v>18</v>
      </c>
      <c r="B70" s="11">
        <v>0</v>
      </c>
      <c r="C70" s="11">
        <v>0</v>
      </c>
      <c r="D70" s="11">
        <v>0</v>
      </c>
      <c r="E70" s="11">
        <v>0</v>
      </c>
      <c r="F70" s="11">
        <v>0</v>
      </c>
      <c r="G70" s="11">
        <v>0</v>
      </c>
      <c r="H70" s="11">
        <v>0</v>
      </c>
      <c r="I70" s="11">
        <v>0</v>
      </c>
      <c r="J70" s="11">
        <v>0</v>
      </c>
      <c r="K70" s="11">
        <v>0</v>
      </c>
      <c r="L70" s="171">
        <v>0</v>
      </c>
      <c r="M70" s="13">
        <v>0</v>
      </c>
      <c r="N70" s="13">
        <v>0</v>
      </c>
      <c r="O70" s="13">
        <v>0</v>
      </c>
      <c r="P70" s="13">
        <v>3</v>
      </c>
      <c r="Q70" s="355">
        <v>3</v>
      </c>
      <c r="R70" s="288">
        <v>3</v>
      </c>
      <c r="S70" s="9">
        <v>12</v>
      </c>
      <c r="T70" s="3">
        <v>31</v>
      </c>
      <c r="U70" s="3">
        <v>0</v>
      </c>
      <c r="V70" s="3">
        <v>0</v>
      </c>
      <c r="W70" s="3">
        <v>0</v>
      </c>
      <c r="X70" s="3">
        <v>0</v>
      </c>
      <c r="Y70" s="3">
        <v>0</v>
      </c>
      <c r="Z70" s="3">
        <v>0</v>
      </c>
      <c r="AA70" s="3">
        <v>0</v>
      </c>
      <c r="AB70" s="3">
        <v>5</v>
      </c>
      <c r="AC70" s="3">
        <v>3</v>
      </c>
      <c r="AD70" s="3">
        <v>3</v>
      </c>
      <c r="AE70" s="3">
        <v>24</v>
      </c>
      <c r="AF70" s="3">
        <v>3</v>
      </c>
      <c r="AG70" s="3">
        <v>3</v>
      </c>
      <c r="AH70" s="3">
        <v>3</v>
      </c>
      <c r="AI70" s="3">
        <v>24</v>
      </c>
      <c r="AJ70" s="3">
        <v>3</v>
      </c>
      <c r="AK70" s="3">
        <v>3</v>
      </c>
      <c r="AL70" s="3">
        <v>3</v>
      </c>
      <c r="AM70" s="3">
        <v>18</v>
      </c>
      <c r="AN70" s="3">
        <v>21</v>
      </c>
      <c r="AO70" s="3">
        <v>21</v>
      </c>
      <c r="AP70" s="3">
        <v>11</v>
      </c>
      <c r="AQ70" s="3">
        <v>3</v>
      </c>
      <c r="AR70" s="3">
        <v>11</v>
      </c>
      <c r="AS70" s="3">
        <v>8</v>
      </c>
      <c r="AT70" s="3">
        <v>4</v>
      </c>
      <c r="AU70" s="3">
        <v>115</v>
      </c>
      <c r="AV70" s="24">
        <v>10</v>
      </c>
      <c r="AW70" s="24">
        <v>10</v>
      </c>
      <c r="AX70" s="24">
        <v>10</v>
      </c>
      <c r="AY70" s="24">
        <v>10</v>
      </c>
      <c r="AZ70" s="24">
        <v>10</v>
      </c>
      <c r="BA70" s="3">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4.140625" hidden="1" customWidth="1"/>
    <col min="10" max="10" width="9.85546875" hidden="1" customWidth="1"/>
    <col min="11" max="11" width="14.710937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4" width="24.7109375" hidden="1" customWidth="1"/>
    <col min="25" max="25" width="11.7109375" hidden="1" customWidth="1"/>
    <col min="26" max="26" width="3.7109375" hidden="1" customWidth="1"/>
    <col min="27" max="27" width="11.7109375" hidden="1" customWidth="1"/>
    <col min="28" max="28" width="8.5703125" hidden="1" customWidth="1"/>
    <col min="29" max="29" width="24.7109375" customWidth="1"/>
    <col min="30" max="31" width="24" customWidth="1"/>
    <col min="32" max="32" width="11" customWidth="1"/>
    <col min="33" max="33" width="3.7109375" customWidth="1"/>
    <col min="34" max="34" width="11" customWidth="1"/>
    <col min="35" max="35" width="8.5703125" hidden="1" customWidth="1"/>
    <col min="36" max="36" width="4" customWidth="1"/>
    <col min="37" max="37" width="115" customWidth="1"/>
    <col min="38" max="42" width="10" customWidth="1"/>
    <col min="43" max="43" width="10.5703125" hidden="1"/>
  </cols>
  <sheetData>
    <row r="1" spans="5:43" ht="22.5" hidden="1" customHeight="1">
      <c r="AQ1" s="3" t="s">
        <v>1</v>
      </c>
    </row>
    <row r="2" spans="5:43" ht="23.25" hidden="1" customHeight="1">
      <c r="E2" s="1000">
        <v>1</v>
      </c>
      <c r="R2" s="225"/>
      <c r="S2" s="226" t="e">
        <f>INDEX(PT_DIFFERENTIATION_NUM_NTAR,MATCH(A2,PT_DIFFERENTIATION_NTAR_ID,0))</f>
        <v>#N/A</v>
      </c>
      <c r="T2" s="227" t="s">
        <v>48</v>
      </c>
      <c r="U2" s="228"/>
      <c r="V2" s="995"/>
      <c r="W2" s="996"/>
      <c r="X2" s="996"/>
      <c r="Y2" s="996"/>
      <c r="Z2" s="996"/>
      <c r="AA2" s="996"/>
      <c r="AB2" s="997"/>
      <c r="AC2" s="995" t="e">
        <f>INDEX(PT_DIFFERENTIATION_NTAR,MATCH(A2,PT_DIFFERENTIATION_NTAR_ID,0))</f>
        <v>#N/A</v>
      </c>
      <c r="AD2" s="996"/>
      <c r="AE2" s="996"/>
      <c r="AF2" s="996"/>
      <c r="AG2" s="996"/>
      <c r="AH2" s="996"/>
      <c r="AI2" s="996"/>
      <c r="AJ2" s="997"/>
      <c r="AK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2" s="29" t="str">
        <f t="shared" ref="AN2:AN13" si="0">IF(T2="","",T2)</f>
        <v>Наименование тарифа</v>
      </c>
      <c r="AQ2" s="3">
        <v>0</v>
      </c>
    </row>
    <row r="3" spans="5:43" ht="23.25" hidden="1" customHeight="1">
      <c r="E3" s="1001"/>
      <c r="F3" s="1000">
        <v>1</v>
      </c>
      <c r="Q3" s="231"/>
      <c r="R3" s="232"/>
      <c r="S3" s="226" t="e">
        <f>INDEX(PT_DIFFERENTIATION_NUM_TER,MATCH(B3,PT_DIFFERENTIATION_TER_ID,0))</f>
        <v>#N/A</v>
      </c>
      <c r="T3" s="233" t="s">
        <v>320</v>
      </c>
      <c r="U3" s="228"/>
      <c r="V3" s="995"/>
      <c r="W3" s="996"/>
      <c r="X3" s="996"/>
      <c r="Y3" s="996"/>
      <c r="Z3" s="996"/>
      <c r="AA3" s="996"/>
      <c r="AB3" s="997"/>
      <c r="AC3" s="995" t="e">
        <f>INDEX(PT_DIFFERENTIATION_TER,MATCH(B3,PT_DIFFERENTIATION_TER_ID,0))</f>
        <v>#N/A</v>
      </c>
      <c r="AD3" s="996"/>
      <c r="AE3" s="996"/>
      <c r="AF3" s="996"/>
      <c r="AG3" s="996"/>
      <c r="AH3" s="996"/>
      <c r="AI3" s="996"/>
      <c r="AJ3" s="997"/>
      <c r="AK3" s="230" t="s">
        <v>321</v>
      </c>
      <c r="AN3" s="29" t="str">
        <f t="shared" si="0"/>
        <v>Территория действия тарифа</v>
      </c>
      <c r="AQ3" s="3">
        <v>0</v>
      </c>
    </row>
    <row r="4" spans="5:43" ht="23.25" hidden="1" customHeight="1">
      <c r="E4" s="1001"/>
      <c r="F4" s="1001"/>
      <c r="G4" s="1000">
        <v>1</v>
      </c>
      <c r="Q4" s="231"/>
      <c r="R4" s="232"/>
      <c r="S4" s="226" t="e">
        <f>INDEX(PT_DIFFERENTIATION_NUM_CS,MATCH(C4,PT_DIFFERENTIATION_CS_ID,0))</f>
        <v>#N/A</v>
      </c>
      <c r="T4" s="234" t="s">
        <v>404</v>
      </c>
      <c r="U4" s="228"/>
      <c r="V4" s="995"/>
      <c r="W4" s="996"/>
      <c r="X4" s="996"/>
      <c r="Y4" s="996"/>
      <c r="Z4" s="996"/>
      <c r="AA4" s="996"/>
      <c r="AB4" s="997"/>
      <c r="AC4" s="995" t="e">
        <f>INDEX(PT_DIFFERENTIATION_CS,MATCH(C4,PT_DIFFERENTIATION_CS_ID,0))</f>
        <v>#N/A</v>
      </c>
      <c r="AD4" s="996"/>
      <c r="AE4" s="996"/>
      <c r="AF4" s="996"/>
      <c r="AG4" s="996"/>
      <c r="AH4" s="996"/>
      <c r="AI4" s="996"/>
      <c r="AJ4" s="997"/>
      <c r="AK4" s="230" t="s">
        <v>405</v>
      </c>
      <c r="AN4" s="29" t="str">
        <f t="shared" si="0"/>
        <v>Наименование централизованной системы холодного водоснабжения</v>
      </c>
      <c r="AQ4" s="3">
        <v>0</v>
      </c>
    </row>
    <row r="5" spans="5:43" ht="23.25" hidden="1" customHeight="1">
      <c r="E5" s="1001"/>
      <c r="F5" s="1001"/>
      <c r="G5" s="1001"/>
      <c r="H5" s="1001"/>
      <c r="I5" s="1002" t="e">
        <f>S4&amp;".1"</f>
        <v>#N/A</v>
      </c>
      <c r="P5" s="1004">
        <v>1</v>
      </c>
      <c r="R5" s="238"/>
      <c r="S5" s="226" t="e">
        <f>$I5</f>
        <v>#N/A</v>
      </c>
      <c r="T5" s="239" t="s">
        <v>406</v>
      </c>
      <c r="U5" s="228"/>
      <c r="V5" s="1068"/>
      <c r="W5" s="1069"/>
      <c r="X5" s="1069"/>
      <c r="Y5" s="1069"/>
      <c r="Z5" s="1069"/>
      <c r="AA5" s="1069"/>
      <c r="AB5" s="1070"/>
      <c r="AC5" s="1071"/>
      <c r="AD5" s="1072"/>
      <c r="AE5" s="1072"/>
      <c r="AF5" s="1072"/>
      <c r="AG5" s="1072"/>
      <c r="AH5" s="1072"/>
      <c r="AI5" s="1072"/>
      <c r="AJ5" s="1073"/>
      <c r="AK5" s="230" t="s">
        <v>407</v>
      </c>
      <c r="AN5" s="29" t="str">
        <f t="shared" si="0"/>
        <v>Наименование признака дифференциации</v>
      </c>
      <c r="AQ5" s="3">
        <v>0</v>
      </c>
    </row>
    <row r="6" spans="5:43" ht="23.25" hidden="1" customHeight="1">
      <c r="E6" s="1001"/>
      <c r="F6" s="1001"/>
      <c r="G6" s="1001"/>
      <c r="H6" s="1001"/>
      <c r="I6" s="1003"/>
      <c r="J6" s="1002" t="e">
        <f>I5&amp;".1"</f>
        <v>#N/A</v>
      </c>
      <c r="L6" s="237" t="s">
        <v>329</v>
      </c>
      <c r="P6" s="885"/>
      <c r="Q6" s="1004">
        <v>1</v>
      </c>
      <c r="R6" s="240"/>
      <c r="S6" s="226" t="e">
        <f>$J6</f>
        <v>#N/A</v>
      </c>
      <c r="T6" s="241" t="s">
        <v>330</v>
      </c>
      <c r="U6" s="228"/>
      <c r="V6" s="989"/>
      <c r="W6" s="990"/>
      <c r="X6" s="990"/>
      <c r="Y6" s="990"/>
      <c r="Z6" s="990"/>
      <c r="AA6" s="990"/>
      <c r="AB6" s="991"/>
      <c r="AC6" s="989"/>
      <c r="AD6" s="990"/>
      <c r="AE6" s="990"/>
      <c r="AF6" s="990"/>
      <c r="AG6" s="990"/>
      <c r="AH6" s="990"/>
      <c r="AI6" s="990"/>
      <c r="AJ6" s="991"/>
      <c r="AK6" s="317" t="s">
        <v>408</v>
      </c>
      <c r="AN6" s="29" t="str">
        <f t="shared" si="0"/>
        <v>Группа потребителей</v>
      </c>
      <c r="AQ6" s="3">
        <v>0</v>
      </c>
    </row>
    <row r="7" spans="5:43" ht="23.25" hidden="1" customHeight="1">
      <c r="E7" s="1001"/>
      <c r="F7" s="1001"/>
      <c r="G7" s="1001"/>
      <c r="H7" s="1001"/>
      <c r="I7" s="1003"/>
      <c r="J7" s="1003"/>
      <c r="K7" s="1002" t="e">
        <f>J6&amp;".1"</f>
        <v>#N/A</v>
      </c>
      <c r="P7" s="885"/>
      <c r="Q7" s="885"/>
      <c r="R7" s="240">
        <v>1</v>
      </c>
      <c r="S7" s="226" t="e">
        <f>$K7</f>
        <v>#N/A</v>
      </c>
      <c r="T7" s="357"/>
      <c r="U7" s="228"/>
      <c r="V7" s="243"/>
      <c r="W7" s="243"/>
      <c r="X7" s="245"/>
      <c r="Y7" s="1005"/>
      <c r="Z7" s="895" t="s">
        <v>17</v>
      </c>
      <c r="AA7" s="1005"/>
      <c r="AB7" s="895" t="s">
        <v>17</v>
      </c>
      <c r="AC7" s="243"/>
      <c r="AD7" s="243"/>
      <c r="AE7" s="245"/>
      <c r="AF7" s="1005"/>
      <c r="AG7" s="895" t="s">
        <v>17</v>
      </c>
      <c r="AH7" s="1007"/>
      <c r="AI7" s="895" t="s">
        <v>17</v>
      </c>
      <c r="AJ7" s="358"/>
      <c r="AK7" s="10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24" t="e">
        <f ca="1">STRCHECKDATE(V8:AJ8)</f>
        <v>#NAME?</v>
      </c>
      <c r="AN7" s="29" t="str">
        <f t="shared" si="0"/>
        <v/>
      </c>
      <c r="AQ7" s="3">
        <v>0</v>
      </c>
    </row>
    <row r="8" spans="5:43" ht="14.25" hidden="1" customHeight="1">
      <c r="E8" s="1001"/>
      <c r="F8" s="1001"/>
      <c r="G8" s="1001"/>
      <c r="H8" s="1001"/>
      <c r="I8" s="1003"/>
      <c r="J8" s="1003"/>
      <c r="K8" s="1002"/>
      <c r="P8" s="885"/>
      <c r="Q8" s="885"/>
      <c r="R8" s="240"/>
      <c r="S8" s="209"/>
      <c r="T8" s="228"/>
      <c r="U8" s="228"/>
      <c r="V8" s="244"/>
      <c r="W8" s="244"/>
      <c r="X8" s="247" t="str">
        <f>Y7&amp;"-"&amp;AA7</f>
        <v>-</v>
      </c>
      <c r="Y8" s="1006"/>
      <c r="Z8" s="895"/>
      <c r="AA8" s="1006"/>
      <c r="AB8" s="895"/>
      <c r="AC8" s="244"/>
      <c r="AD8" s="244"/>
      <c r="AE8" s="247" t="str">
        <f>AF7&amp;"-"&amp;AH7</f>
        <v>-</v>
      </c>
      <c r="AF8" s="1006"/>
      <c r="AG8" s="895"/>
      <c r="AH8" s="1008"/>
      <c r="AI8" s="895"/>
      <c r="AJ8" s="359"/>
      <c r="AK8" s="1074"/>
      <c r="AN8" s="29" t="str">
        <f t="shared" si="0"/>
        <v/>
      </c>
      <c r="AQ8" s="3">
        <v>0</v>
      </c>
    </row>
    <row r="9" spans="5:43" ht="21" hidden="1" customHeight="1">
      <c r="E9" s="1001"/>
      <c r="F9" s="1001"/>
      <c r="G9" s="1001"/>
      <c r="H9" s="1001"/>
      <c r="I9" s="1003"/>
      <c r="J9" s="1002"/>
      <c r="P9" s="885"/>
      <c r="Q9" s="885"/>
      <c r="R9" s="238"/>
      <c r="S9" s="249"/>
      <c r="T9" s="252" t="s">
        <v>409</v>
      </c>
      <c r="U9" s="54"/>
      <c r="V9" s="54"/>
      <c r="W9" s="54"/>
      <c r="X9" s="54"/>
      <c r="Y9" s="54"/>
      <c r="Z9" s="54"/>
      <c r="AA9" s="54"/>
      <c r="AB9" s="54"/>
      <c r="AC9" s="54"/>
      <c r="AD9" s="54"/>
      <c r="AE9" s="54"/>
      <c r="AF9" s="54"/>
      <c r="AG9" s="54"/>
      <c r="AH9" s="54"/>
      <c r="AI9" s="54"/>
      <c r="AJ9" s="54"/>
      <c r="AK9" s="230" t="s">
        <v>410</v>
      </c>
      <c r="AN9" s="29" t="str">
        <f t="shared" si="0"/>
        <v>Добавить значение признака дифференциации</v>
      </c>
      <c r="AQ9" s="3">
        <v>0</v>
      </c>
    </row>
    <row r="10" spans="5:43" ht="21" hidden="1" customHeight="1">
      <c r="E10" s="1001"/>
      <c r="F10" s="1001"/>
      <c r="G10" s="1001"/>
      <c r="H10" s="1001"/>
      <c r="I10" s="1002"/>
      <c r="P10" s="885"/>
      <c r="R10" s="238"/>
      <c r="S10" s="249"/>
      <c r="T10" s="255" t="s">
        <v>335</v>
      </c>
      <c r="U10" s="54"/>
      <c r="V10" s="54"/>
      <c r="W10" s="54"/>
      <c r="X10" s="54"/>
      <c r="Y10" s="54"/>
      <c r="Z10" s="54"/>
      <c r="AA10" s="54"/>
      <c r="AB10" s="253"/>
      <c r="AC10" s="54"/>
      <c r="AD10" s="54"/>
      <c r="AE10" s="54"/>
      <c r="AF10" s="54"/>
      <c r="AG10" s="54"/>
      <c r="AH10" s="54"/>
      <c r="AI10" s="253"/>
      <c r="AJ10" s="54"/>
      <c r="AK10" s="360"/>
      <c r="AN10" s="29" t="str">
        <f t="shared" si="0"/>
        <v>Добавить группу потребителей</v>
      </c>
      <c r="AQ10" s="3">
        <v>0</v>
      </c>
    </row>
    <row r="11" spans="5:43" ht="14.25" hidden="1" customHeight="1">
      <c r="E11" s="1001"/>
      <c r="F11" s="1001"/>
      <c r="G11" s="1001"/>
      <c r="H11" s="1000"/>
      <c r="R11" s="225"/>
      <c r="S11" s="249"/>
      <c r="T11" s="361" t="s">
        <v>411</v>
      </c>
      <c r="U11" s="54"/>
      <c r="V11" s="54"/>
      <c r="W11" s="54"/>
      <c r="X11" s="54"/>
      <c r="Y11" s="54"/>
      <c r="Z11" s="54"/>
      <c r="AA11" s="54"/>
      <c r="AB11" s="253"/>
      <c r="AC11" s="54"/>
      <c r="AD11" s="54"/>
      <c r="AE11" s="54"/>
      <c r="AF11" s="54"/>
      <c r="AG11" s="54"/>
      <c r="AH11" s="54"/>
      <c r="AI11" s="253"/>
      <c r="AJ11" s="54"/>
      <c r="AK11" s="254"/>
      <c r="AN11" s="29" t="str">
        <f t="shared" si="0"/>
        <v>Добавить наименование признака дифференциации</v>
      </c>
      <c r="AQ11" s="3">
        <v>0</v>
      </c>
    </row>
    <row r="12" spans="5:43" ht="14.25" hidden="1" customHeight="1">
      <c r="E12" s="1001"/>
      <c r="F12" s="1000"/>
      <c r="T12" s="260" t="s">
        <v>338</v>
      </c>
      <c r="AN12" s="29" t="str">
        <f t="shared" si="0"/>
        <v>Добавить централизованную систему для дифференциации</v>
      </c>
      <c r="AQ12" s="24">
        <v>0</v>
      </c>
    </row>
    <row r="13" spans="5:43" ht="14.25" hidden="1" customHeight="1">
      <c r="E13" s="1000"/>
      <c r="T13" s="260" t="s">
        <v>339</v>
      </c>
      <c r="AN13" s="29" t="str">
        <f t="shared" si="0"/>
        <v>Добавить территорию для дифференциации</v>
      </c>
      <c r="AQ13" s="24">
        <v>0</v>
      </c>
    </row>
    <row r="14" spans="5:43" ht="14.25" hidden="1" customHeight="1">
      <c r="AQ14" s="3">
        <v>0</v>
      </c>
    </row>
    <row r="15" spans="5:43" ht="14.25" hidden="1" customHeight="1">
      <c r="AC15" s="261"/>
      <c r="AD15" s="261"/>
      <c r="AE15" s="262"/>
      <c r="AF15" s="999"/>
      <c r="AG15" s="998" t="s">
        <v>17</v>
      </c>
      <c r="AH15" s="999"/>
      <c r="AI15" s="998" t="s">
        <v>17</v>
      </c>
      <c r="AQ15" s="3">
        <v>0</v>
      </c>
    </row>
    <row r="16" spans="5:43" ht="14.25" hidden="1" customHeight="1">
      <c r="AC16" s="261"/>
      <c r="AD16" s="261"/>
      <c r="AE16" s="247" t="str">
        <f>AF15&amp;"-"&amp;AH15</f>
        <v>-</v>
      </c>
      <c r="AF16" s="998"/>
      <c r="AG16" s="998"/>
      <c r="AH16" s="998"/>
      <c r="AI16" s="998"/>
      <c r="AQ16" s="3">
        <v>0</v>
      </c>
    </row>
    <row r="17" spans="15:43" ht="14.25" hidden="1" customHeight="1">
      <c r="AQ17" s="3">
        <v>0</v>
      </c>
    </row>
    <row r="18" spans="15:43" ht="22.5" hidden="1" customHeight="1">
      <c r="O18" s="263" t="s">
        <v>340</v>
      </c>
      <c r="Y18" s="263"/>
      <c r="AA18" s="263"/>
      <c r="AF18" s="263"/>
      <c r="AH18" s="263"/>
      <c r="AQ18" s="11">
        <v>0</v>
      </c>
    </row>
    <row r="19" spans="15:43" ht="14.25" hidden="1" customHeight="1">
      <c r="AQ19" s="11">
        <v>0</v>
      </c>
    </row>
    <row r="20" spans="15:43" ht="12" hidden="1" customHeight="1">
      <c r="O20" s="237" t="s">
        <v>341</v>
      </c>
      <c r="T20" s="11" t="s">
        <v>342</v>
      </c>
      <c r="Z20" s="60" t="s">
        <v>343</v>
      </c>
      <c r="AB20" s="60" t="s">
        <v>344</v>
      </c>
      <c r="AC20" s="11" t="s">
        <v>342</v>
      </c>
      <c r="AG20" s="60" t="s">
        <v>345</v>
      </c>
      <c r="AI20" s="60" t="s">
        <v>344</v>
      </c>
      <c r="AQ20" s="11">
        <v>0</v>
      </c>
    </row>
    <row r="21" spans="15:43" ht="14.25" hidden="1" customHeight="1">
      <c r="AQ21" s="3">
        <v>0</v>
      </c>
    </row>
    <row r="22" spans="15:43" ht="14.25" hidden="1" customHeight="1">
      <c r="AQ22" s="3">
        <v>0</v>
      </c>
    </row>
    <row r="23" spans="15:43" ht="14.65" customHeight="1">
      <c r="Q23" s="264"/>
      <c r="R23" s="264"/>
      <c r="S23" s="265"/>
      <c r="T23" s="12"/>
      <c r="U23" s="12"/>
      <c r="AQ23" s="3">
        <v>14</v>
      </c>
    </row>
    <row r="24" spans="15:43" ht="14.65" customHeight="1">
      <c r="Q24" s="264"/>
      <c r="R24" s="264"/>
      <c r="S24" s="98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982"/>
      <c r="U24" s="982"/>
      <c r="V24" s="982"/>
      <c r="W24" s="982"/>
      <c r="X24" s="982"/>
      <c r="Y24" s="982"/>
      <c r="Z24" s="982"/>
      <c r="AA24" s="982"/>
      <c r="AB24" s="982"/>
      <c r="AC24" s="982"/>
      <c r="AD24" s="982"/>
      <c r="AE24" s="982"/>
      <c r="AF24" s="982"/>
      <c r="AG24" s="982"/>
      <c r="AH24" s="982"/>
      <c r="AQ24" s="3">
        <v>14</v>
      </c>
    </row>
    <row r="25" spans="15:43" ht="14.65" customHeight="1">
      <c r="Q25" s="264"/>
      <c r="R25" s="264"/>
      <c r="S25" s="955" t="e">
        <f>IF(org=0,"Не определено",org)</f>
        <v>#REF!</v>
      </c>
      <c r="T25" s="955"/>
      <c r="U25" s="955"/>
      <c r="V25" s="955"/>
      <c r="W25" s="955"/>
      <c r="X25" s="955"/>
      <c r="Y25" s="955"/>
      <c r="Z25" s="955"/>
      <c r="AA25" s="955"/>
      <c r="AB25" s="955"/>
      <c r="AC25" s="955"/>
      <c r="AD25" s="955"/>
      <c r="AE25" s="955"/>
      <c r="AF25" s="955"/>
      <c r="AG25" s="955"/>
      <c r="AH25" s="955"/>
      <c r="AQ25" s="3">
        <v>14</v>
      </c>
    </row>
    <row r="26" spans="15:43" ht="14.25" hidden="1" customHeight="1">
      <c r="Q26" s="264"/>
      <c r="R26" s="264"/>
      <c r="S26" s="265"/>
      <c r="T26" s="12"/>
      <c r="U26" s="12"/>
      <c r="V26" s="266"/>
      <c r="W26" s="266"/>
      <c r="X26" s="266"/>
      <c r="Y26" s="266"/>
      <c r="Z26" s="266"/>
      <c r="AA26" s="266"/>
      <c r="AB26" s="266"/>
      <c r="AC26" s="266"/>
      <c r="AD26" s="266"/>
      <c r="AE26" s="266"/>
      <c r="AF26" s="266"/>
      <c r="AG26" s="266"/>
      <c r="AH26" s="266"/>
      <c r="AI26" s="266"/>
      <c r="AQ26" s="3">
        <v>0</v>
      </c>
    </row>
    <row r="27" spans="15:43" ht="25.5" hidden="1" customHeight="1">
      <c r="S27" s="992" t="s">
        <v>9</v>
      </c>
      <c r="T27" s="992"/>
      <c r="U27" s="268"/>
      <c r="V27" s="994" t="e">
        <f>IF(TITLE_NAME_OR_PR_CHANGE="",IF(TITLE_NAME_OR_PR="","",TITLE_NAME_OR_PR),TITLE_NAME_OR_PR_CHANGE)</f>
        <v>#REF!</v>
      </c>
      <c r="W27" s="994"/>
      <c r="X27" s="994"/>
      <c r="Y27" s="994"/>
      <c r="Z27" s="994"/>
      <c r="AA27" s="994"/>
      <c r="AC27" s="994" t="e">
        <f>IF(TITLE_NAME_OR_PR_CHANGE="",IF(TITLE_NAME_OR_PR="","",TITLE_NAME_OR_PR),TITLE_NAME_OR_PR_CHANGE)</f>
        <v>#REF!</v>
      </c>
      <c r="AD27" s="994"/>
      <c r="AE27" s="994"/>
      <c r="AF27" s="994"/>
      <c r="AG27" s="994"/>
      <c r="AH27" s="994"/>
      <c r="AQ27" s="50">
        <v>0</v>
      </c>
    </row>
    <row r="28" spans="15:43" ht="18.75" hidden="1" customHeight="1">
      <c r="S28" s="992" t="s">
        <v>346</v>
      </c>
      <c r="T28" s="992"/>
      <c r="U28" s="268"/>
      <c r="V28" s="993" t="e">
        <f>IF(TITLE_DATE_PR_CHANGE="",IF(TITLE_DATE_PR="","",TITLE_DATE_PR),TITLE_DATE_PR_CHANGE)</f>
        <v>#REF!</v>
      </c>
      <c r="W28" s="993"/>
      <c r="X28" s="993"/>
      <c r="Y28" s="993"/>
      <c r="Z28" s="993"/>
      <c r="AA28" s="993"/>
      <c r="AC28" s="993" t="e">
        <f>IF(TITLE_DATE_PR_CHANGE="",IF(TITLE_DATE_PR="","",TITLE_DATE_PR),TITLE_DATE_PR_CHANGE)</f>
        <v>#REF!</v>
      </c>
      <c r="AD28" s="993"/>
      <c r="AE28" s="993"/>
      <c r="AF28" s="993"/>
      <c r="AG28" s="993"/>
      <c r="AH28" s="993"/>
      <c r="AQ28" s="50">
        <v>0</v>
      </c>
    </row>
    <row r="29" spans="15:43" ht="18.75" hidden="1" customHeight="1">
      <c r="S29" s="992" t="s">
        <v>347</v>
      </c>
      <c r="T29" s="992"/>
      <c r="U29" s="268"/>
      <c r="V29" s="994" t="e">
        <f>IF(TITLE_NUMBER_PR_CHANGE="",IF(TITLE_NUMBER_PR="","",TITLE_NUMBER_PR),TITLE_NUMBER_PR_CHANGE)</f>
        <v>#REF!</v>
      </c>
      <c r="W29" s="994"/>
      <c r="X29" s="994"/>
      <c r="Y29" s="994"/>
      <c r="Z29" s="994"/>
      <c r="AA29" s="994"/>
      <c r="AC29" s="994" t="e">
        <f>IF(TITLE_NUMBER_PR_CHANGE="",IF(TITLE_NUMBER_PR="","",TITLE_NUMBER_PR),TITLE_NUMBER_PR_CHANGE)</f>
        <v>#REF!</v>
      </c>
      <c r="AD29" s="994"/>
      <c r="AE29" s="994"/>
      <c r="AF29" s="994"/>
      <c r="AG29" s="994"/>
      <c r="AH29" s="994"/>
      <c r="AQ29" s="50">
        <v>0</v>
      </c>
    </row>
    <row r="30" spans="15:43" ht="18.75" hidden="1" customHeight="1">
      <c r="S30" s="992" t="s">
        <v>10</v>
      </c>
      <c r="T30" s="992"/>
      <c r="U30" s="268"/>
      <c r="V30" s="994" t="e">
        <f>IF(TITLE_IST_PUB_CHANGE="",IF(TITLE_IST_PUB="","",TITLE_IST_PUB),TITLE_IST_PUB_CHANGE)</f>
        <v>#REF!</v>
      </c>
      <c r="W30" s="994"/>
      <c r="X30" s="994"/>
      <c r="Y30" s="994"/>
      <c r="Z30" s="994"/>
      <c r="AA30" s="994"/>
      <c r="AC30" s="994" t="e">
        <f>IF(TITLE_IST_PUB_CHANGE="",IF(TITLE_IST_PUB="","",TITLE_IST_PUB),TITLE_IST_PUB_CHANGE)</f>
        <v>#REF!</v>
      </c>
      <c r="AD30" s="994"/>
      <c r="AE30" s="994"/>
      <c r="AF30" s="994"/>
      <c r="AG30" s="994"/>
      <c r="AH30" s="994"/>
      <c r="AQ30" s="50">
        <v>0</v>
      </c>
    </row>
    <row r="31" spans="15:43" ht="14.25" hidden="1" customHeight="1">
      <c r="Q31" s="264"/>
      <c r="R31" s="264"/>
      <c r="S31" s="265"/>
      <c r="T31" s="12"/>
      <c r="U31" s="12"/>
      <c r="V31" s="266"/>
      <c r="W31" s="266"/>
      <c r="X31" s="266"/>
      <c r="Y31" s="266"/>
      <c r="Z31" s="266"/>
      <c r="AA31" s="266"/>
      <c r="AB31" s="266"/>
      <c r="AC31" s="266"/>
      <c r="AD31" s="266"/>
      <c r="AE31" s="266"/>
      <c r="AF31" s="266"/>
      <c r="AG31" s="266"/>
      <c r="AH31" s="266"/>
      <c r="AI31" s="266"/>
      <c r="AQ31" s="3">
        <v>0</v>
      </c>
    </row>
    <row r="32" spans="15:43" ht="18.75" hidden="1" customHeight="1">
      <c r="S32" s="992" t="s">
        <v>348</v>
      </c>
      <c r="T32" s="992"/>
      <c r="U32" s="268"/>
      <c r="V32" s="993" t="e">
        <f>IF(TITLE_DATE_PR_CHANGE="",IF(TITLE_DATE_PR="","",TITLE_DATE_PR),TITLE_DATE_PR_CHANGE)</f>
        <v>#REF!</v>
      </c>
      <c r="W32" s="993"/>
      <c r="X32" s="993"/>
      <c r="Y32" s="993"/>
      <c r="Z32" s="993"/>
      <c r="AA32" s="993"/>
      <c r="AC32" s="993" t="e">
        <f>IF(TITLE_DATE_PR_CHANGE="",IF(TITLE_DATE_PR="","",TITLE_DATE_PR),TITLE_DATE_PR_CHANGE)</f>
        <v>#REF!</v>
      </c>
      <c r="AD32" s="993"/>
      <c r="AE32" s="993"/>
      <c r="AF32" s="993"/>
      <c r="AG32" s="993"/>
      <c r="AH32" s="993"/>
      <c r="AQ32" s="50">
        <v>0</v>
      </c>
    </row>
    <row r="33" spans="1:43" ht="18.75" hidden="1" customHeight="1">
      <c r="S33" s="992" t="s">
        <v>349</v>
      </c>
      <c r="T33" s="992"/>
      <c r="U33" s="268"/>
      <c r="V33" s="994" t="e">
        <f>IF(TITLE_NUMBER_PR_CHANGE="",IF(TITLE_NUMBER_PR="","",TITLE_NUMBER_PR),TITLE_NUMBER_PR_CHANGE)</f>
        <v>#REF!</v>
      </c>
      <c r="W33" s="994"/>
      <c r="X33" s="994"/>
      <c r="Y33" s="994"/>
      <c r="Z33" s="994"/>
      <c r="AA33" s="994"/>
      <c r="AC33" s="994" t="e">
        <f>IF(TITLE_NUMBER_PR_CHANGE="",IF(TITLE_NUMBER_PR="","",TITLE_NUMBER_PR),TITLE_NUMBER_PR_CHANGE)</f>
        <v>#REF!</v>
      </c>
      <c r="AD33" s="994"/>
      <c r="AE33" s="994"/>
      <c r="AF33" s="994"/>
      <c r="AG33" s="994"/>
      <c r="AH33" s="994"/>
      <c r="AQ33" s="50">
        <v>0</v>
      </c>
    </row>
    <row r="34" spans="1:43" ht="1.1499999999999999" customHeight="1">
      <c r="AB34" s="24" t="s">
        <v>350</v>
      </c>
      <c r="AI34" s="24" t="s">
        <v>350</v>
      </c>
      <c r="AQ34" s="50">
        <v>1</v>
      </c>
    </row>
    <row r="35" spans="1:43" ht="14.65" customHeight="1">
      <c r="Q35" s="264"/>
      <c r="R35" s="264"/>
      <c r="S35" s="265"/>
      <c r="T35" s="12"/>
      <c r="U35" s="270"/>
      <c r="V35" s="1012"/>
      <c r="W35" s="1012"/>
      <c r="X35" s="1012"/>
      <c r="Y35" s="1012"/>
      <c r="Z35" s="1012"/>
      <c r="AA35" s="1012"/>
      <c r="AB35" s="1012"/>
      <c r="AC35" s="1012"/>
      <c r="AD35" s="1012"/>
      <c r="AE35" s="1012"/>
      <c r="AF35" s="1012"/>
      <c r="AG35" s="1012"/>
      <c r="AH35" s="1012"/>
      <c r="AI35" s="1012"/>
      <c r="AQ35" s="3">
        <v>14</v>
      </c>
    </row>
    <row r="36" spans="1:43" ht="14.65" customHeight="1">
      <c r="Q36" s="264"/>
      <c r="R36" s="264"/>
      <c r="S36" s="894" t="s">
        <v>223</v>
      </c>
      <c r="T36" s="894"/>
      <c r="U36" s="894"/>
      <c r="V36" s="894"/>
      <c r="W36" s="894"/>
      <c r="X36" s="894"/>
      <c r="Y36" s="894"/>
      <c r="Z36" s="894"/>
      <c r="AA36" s="894"/>
      <c r="AB36" s="894"/>
      <c r="AC36" s="894"/>
      <c r="AD36" s="894"/>
      <c r="AE36" s="894"/>
      <c r="AF36" s="894"/>
      <c r="AG36" s="894"/>
      <c r="AH36" s="894"/>
      <c r="AI36" s="894"/>
      <c r="AJ36" s="894"/>
      <c r="AK36" s="894" t="s">
        <v>224</v>
      </c>
      <c r="AQ36" s="3">
        <v>14</v>
      </c>
    </row>
    <row r="37" spans="1:43" ht="14.65" customHeight="1">
      <c r="Q37" s="264"/>
      <c r="R37" s="264"/>
      <c r="S37" s="1013" t="s">
        <v>24</v>
      </c>
      <c r="T37" s="962" t="s">
        <v>351</v>
      </c>
      <c r="U37" s="272"/>
      <c r="V37" s="1014" t="s">
        <v>352</v>
      </c>
      <c r="W37" s="1015"/>
      <c r="X37" s="1015"/>
      <c r="Y37" s="1015"/>
      <c r="Z37" s="1015"/>
      <c r="AA37" s="1016"/>
      <c r="AB37" s="1017" t="s">
        <v>353</v>
      </c>
      <c r="AC37" s="1014" t="s">
        <v>352</v>
      </c>
      <c r="AD37" s="1015"/>
      <c r="AE37" s="1015"/>
      <c r="AF37" s="1015"/>
      <c r="AG37" s="1015"/>
      <c r="AH37" s="1016"/>
      <c r="AI37" s="1017" t="s">
        <v>354</v>
      </c>
      <c r="AJ37" s="1020" t="s">
        <v>355</v>
      </c>
      <c r="AK37" s="894"/>
      <c r="AQ37" s="3">
        <v>14</v>
      </c>
    </row>
    <row r="38" spans="1:43" ht="35.65" customHeight="1">
      <c r="Q38" s="264"/>
      <c r="R38" s="264"/>
      <c r="S38" s="1013"/>
      <c r="T38" s="962"/>
      <c r="U38" s="274"/>
      <c r="V38" s="92" t="s">
        <v>412</v>
      </c>
      <c r="W38" s="887" t="s">
        <v>358</v>
      </c>
      <c r="X38" s="886"/>
      <c r="Y38" s="887" t="s">
        <v>359</v>
      </c>
      <c r="Z38" s="890"/>
      <c r="AA38" s="886"/>
      <c r="AB38" s="1018"/>
      <c r="AC38" s="92" t="s">
        <v>412</v>
      </c>
      <c r="AD38" s="887" t="s">
        <v>358</v>
      </c>
      <c r="AE38" s="886"/>
      <c r="AF38" s="887" t="s">
        <v>359</v>
      </c>
      <c r="AG38" s="890"/>
      <c r="AH38" s="886"/>
      <c r="AI38" s="1018"/>
      <c r="AJ38" s="1021"/>
      <c r="AK38" s="894"/>
      <c r="AQ38" s="3">
        <v>34</v>
      </c>
    </row>
    <row r="39" spans="1:43" ht="35.65" customHeight="1">
      <c r="B39" s="60" t="s">
        <v>60</v>
      </c>
      <c r="C39" s="60" t="s">
        <v>61</v>
      </c>
      <c r="D39" s="60" t="s">
        <v>62</v>
      </c>
      <c r="E39" s="237" t="s">
        <v>360</v>
      </c>
      <c r="F39" s="237" t="s">
        <v>361</v>
      </c>
      <c r="G39" s="237" t="s">
        <v>362</v>
      </c>
      <c r="I39" s="237" t="s">
        <v>413</v>
      </c>
      <c r="J39" s="237" t="s">
        <v>365</v>
      </c>
      <c r="K39" s="237" t="s">
        <v>414</v>
      </c>
      <c r="L39" s="237" t="s">
        <v>341</v>
      </c>
      <c r="Q39" s="264"/>
      <c r="R39" s="264"/>
      <c r="S39" s="1013"/>
      <c r="T39" s="962"/>
      <c r="U39" s="275"/>
      <c r="V39" s="92" t="s">
        <v>415</v>
      </c>
      <c r="W39" s="65" t="s">
        <v>416</v>
      </c>
      <c r="X39" s="65" t="s">
        <v>417</v>
      </c>
      <c r="Y39" s="65" t="s">
        <v>369</v>
      </c>
      <c r="Z39" s="967" t="s">
        <v>370</v>
      </c>
      <c r="AA39" s="981"/>
      <c r="AB39" s="1019"/>
      <c r="AC39" s="92" t="s">
        <v>415</v>
      </c>
      <c r="AD39" s="65" t="s">
        <v>416</v>
      </c>
      <c r="AE39" s="65" t="s">
        <v>417</v>
      </c>
      <c r="AF39" s="65" t="s">
        <v>369</v>
      </c>
      <c r="AG39" s="967" t="s">
        <v>370</v>
      </c>
      <c r="AH39" s="981"/>
      <c r="AI39" s="1019"/>
      <c r="AJ39" s="1022"/>
      <c r="AK39" s="894"/>
      <c r="AQ39" s="3">
        <v>34</v>
      </c>
    </row>
    <row r="40" spans="1:43" ht="11.25" hidden="1" customHeight="1">
      <c r="Q40" s="278"/>
      <c r="R40" s="279">
        <v>1</v>
      </c>
      <c r="S40" s="280" t="s">
        <v>31</v>
      </c>
      <c r="T40" s="281" t="s">
        <v>39</v>
      </c>
      <c r="U40" s="282" t="str">
        <f ca="1">OFFSET(U40,0,-1)</f>
        <v>2</v>
      </c>
      <c r="V40" s="283">
        <f ca="1">OFFSET(V40,0,-1)+1</f>
        <v>3</v>
      </c>
      <c r="W40" s="283">
        <f ca="1">OFFSET(W40,0,-1)+1</f>
        <v>4</v>
      </c>
      <c r="X40" s="283">
        <f ca="1">OFFSET(X40,0,-1)+1</f>
        <v>5</v>
      </c>
      <c r="Y40" s="283">
        <f ca="1">OFFSET(Y40,0,-1)+1</f>
        <v>6</v>
      </c>
      <c r="Z40" s="1011">
        <f ca="1">OFFSET(Z40,0,-1)+1</f>
        <v>7</v>
      </c>
      <c r="AA40" s="1011"/>
      <c r="AB40" s="283">
        <f ca="1">OFFSET(AB40,0,-2)+1</f>
        <v>8</v>
      </c>
      <c r="AC40" s="283">
        <f ca="1">OFFSET(AC40,0,-1)+1</f>
        <v>9</v>
      </c>
      <c r="AD40" s="283">
        <f ca="1">OFFSET(AD40,0,-1)+1</f>
        <v>10</v>
      </c>
      <c r="AE40" s="283">
        <f ca="1">OFFSET(AE40,0,-1)+1</f>
        <v>11</v>
      </c>
      <c r="AF40" s="283">
        <f ca="1">OFFSET(AF40,0,-1)+1</f>
        <v>12</v>
      </c>
      <c r="AG40" s="1011">
        <f ca="1">OFFSET(AG40,0,-1)+1</f>
        <v>13</v>
      </c>
      <c r="AH40" s="1011"/>
      <c r="AI40" s="283">
        <f ca="1">OFFSET(AI40,0,-2)+1</f>
        <v>14</v>
      </c>
      <c r="AJ40" s="282">
        <f ca="1">OFFSET(AJ40,0,-1)</f>
        <v>14</v>
      </c>
      <c r="AK40" s="283">
        <f ca="1">OFFSET(AK40,0,-1)+1</f>
        <v>15</v>
      </c>
      <c r="AQ40" s="189">
        <v>0</v>
      </c>
    </row>
    <row r="41" spans="1:43" ht="24" customHeight="1">
      <c r="A41" s="284" t="s">
        <v>149</v>
      </c>
      <c r="E41" s="1000">
        <v>1</v>
      </c>
      <c r="R41" s="225"/>
      <c r="S41" s="226">
        <f>INDEX(PT_DIFFERENTIATION_NUM_NTAR,MATCH(A41,PT_DIFFERENTIATION_NTAR_ID,0))</f>
        <v>0</v>
      </c>
      <c r="T41" s="227" t="s">
        <v>48</v>
      </c>
      <c r="U41" s="228"/>
      <c r="V41" s="995"/>
      <c r="W41" s="996"/>
      <c r="X41" s="996"/>
      <c r="Y41" s="996"/>
      <c r="Z41" s="996"/>
      <c r="AA41" s="996"/>
      <c r="AB41" s="997"/>
      <c r="AC41" s="995" t="str">
        <f>INDEX(PT_DIFFERENTIATION_NTAR,MATCH(A41,PT_DIFFERENTIATION_NTAR_ID,0))</f>
        <v/>
      </c>
      <c r="AD41" s="996"/>
      <c r="AE41" s="996"/>
      <c r="AF41" s="996"/>
      <c r="AG41" s="996"/>
      <c r="AH41" s="996"/>
      <c r="AI41" s="996"/>
      <c r="AJ41" s="997"/>
      <c r="AK41"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41" s="29" t="str">
        <f t="shared" ref="AN41:AN53" si="1">IF(T41="","",T41)</f>
        <v>Наименование тарифа</v>
      </c>
      <c r="AQ41" s="3">
        <v>23</v>
      </c>
    </row>
    <row r="42" spans="1:43" ht="24" customHeight="1">
      <c r="A42" s="284" t="s">
        <v>149</v>
      </c>
      <c r="B42" s="284" t="s">
        <v>150</v>
      </c>
      <c r="E42" s="1001"/>
      <c r="F42" s="1000">
        <v>1</v>
      </c>
      <c r="Q42" s="231"/>
      <c r="R42" s="232"/>
      <c r="S42" s="226" t="str">
        <f>INDEX(PT_DIFFERENTIATION_NUM_TER,MATCH(B42,PT_DIFFERENTIATION_TER_ID,0))</f>
        <v>.</v>
      </c>
      <c r="T42" s="233" t="s">
        <v>320</v>
      </c>
      <c r="U42" s="228"/>
      <c r="V42" s="995"/>
      <c r="W42" s="996"/>
      <c r="X42" s="996"/>
      <c r="Y42" s="996"/>
      <c r="Z42" s="996"/>
      <c r="AA42" s="996"/>
      <c r="AB42" s="997"/>
      <c r="AC42" s="995" t="str">
        <f>INDEX(PT_DIFFERENTIATION_TER,MATCH(B42,PT_DIFFERENTIATION_TER_ID,0))</f>
        <v/>
      </c>
      <c r="AD42" s="996"/>
      <c r="AE42" s="996"/>
      <c r="AF42" s="996"/>
      <c r="AG42" s="996"/>
      <c r="AH42" s="996"/>
      <c r="AI42" s="996"/>
      <c r="AJ42" s="997"/>
      <c r="AK42" s="230" t="s">
        <v>321</v>
      </c>
      <c r="AN42" s="29" t="str">
        <f t="shared" si="1"/>
        <v>Территория действия тарифа</v>
      </c>
      <c r="AQ42" s="3">
        <v>23</v>
      </c>
    </row>
    <row r="43" spans="1:43" ht="24" customHeight="1">
      <c r="A43" s="284" t="s">
        <v>149</v>
      </c>
      <c r="B43" s="284" t="s">
        <v>150</v>
      </c>
      <c r="C43" s="284" t="s">
        <v>151</v>
      </c>
      <c r="E43" s="1001"/>
      <c r="F43" s="1001"/>
      <c r="G43" s="1000">
        <v>1</v>
      </c>
      <c r="Q43" s="231"/>
      <c r="R43" s="232"/>
      <c r="S43" s="226" t="str">
        <f>INDEX(PT_DIFFERENTIATION_NUM_CS,MATCH(C43,PT_DIFFERENTIATION_CS_ID,0))</f>
        <v>..</v>
      </c>
      <c r="T43" s="234" t="s">
        <v>404</v>
      </c>
      <c r="U43" s="228"/>
      <c r="V43" s="995"/>
      <c r="W43" s="996"/>
      <c r="X43" s="996"/>
      <c r="Y43" s="996"/>
      <c r="Z43" s="996"/>
      <c r="AA43" s="996"/>
      <c r="AB43" s="997"/>
      <c r="AC43" s="995" t="str">
        <f>INDEX(PT_DIFFERENTIATION_CS,MATCH(C43,PT_DIFFERENTIATION_CS_ID,0))</f>
        <v/>
      </c>
      <c r="AD43" s="996"/>
      <c r="AE43" s="996"/>
      <c r="AF43" s="996"/>
      <c r="AG43" s="996"/>
      <c r="AH43" s="996"/>
      <c r="AI43" s="996"/>
      <c r="AJ43" s="997"/>
      <c r="AK43" s="230" t="s">
        <v>405</v>
      </c>
      <c r="AN43" s="29" t="str">
        <f t="shared" si="1"/>
        <v>Наименование централизованной системы холодного водоснабжения</v>
      </c>
      <c r="AQ43" s="3">
        <v>23</v>
      </c>
    </row>
    <row r="44" spans="1:43" ht="24" customHeight="1">
      <c r="A44" s="284" t="s">
        <v>149</v>
      </c>
      <c r="B44" s="284" t="s">
        <v>150</v>
      </c>
      <c r="C44" s="284" t="s">
        <v>151</v>
      </c>
      <c r="D44" s="284" t="s">
        <v>418</v>
      </c>
      <c r="E44" s="1001"/>
      <c r="F44" s="1001"/>
      <c r="G44" s="1001"/>
      <c r="H44" s="1001"/>
      <c r="I44" s="1002" t="str">
        <f>S43&amp;".1"</f>
        <v>...1</v>
      </c>
      <c r="P44" s="1004">
        <v>1</v>
      </c>
      <c r="R44" s="238"/>
      <c r="S44" s="226" t="str">
        <f>$I44</f>
        <v>...1</v>
      </c>
      <c r="T44" s="239" t="s">
        <v>406</v>
      </c>
      <c r="U44" s="228"/>
      <c r="V44" s="1068"/>
      <c r="W44" s="1069"/>
      <c r="X44" s="1069"/>
      <c r="Y44" s="1069"/>
      <c r="Z44" s="1069"/>
      <c r="AA44" s="1069"/>
      <c r="AB44" s="1070"/>
      <c r="AC44" s="1071"/>
      <c r="AD44" s="1072"/>
      <c r="AE44" s="1072"/>
      <c r="AF44" s="1072"/>
      <c r="AG44" s="1072"/>
      <c r="AH44" s="1072"/>
      <c r="AI44" s="1072"/>
      <c r="AJ44" s="1073"/>
      <c r="AK44" s="230" t="s">
        <v>407</v>
      </c>
      <c r="AN44" s="29" t="str">
        <f t="shared" si="1"/>
        <v>Наименование признака дифференциации</v>
      </c>
      <c r="AQ44" s="3">
        <v>23</v>
      </c>
    </row>
    <row r="45" spans="1:43" ht="24" customHeight="1">
      <c r="A45" s="284" t="s">
        <v>149</v>
      </c>
      <c r="B45" s="284" t="s">
        <v>150</v>
      </c>
      <c r="C45" s="284" t="s">
        <v>151</v>
      </c>
      <c r="D45" s="284" t="s">
        <v>418</v>
      </c>
      <c r="E45" s="1001"/>
      <c r="F45" s="1001"/>
      <c r="G45" s="1001"/>
      <c r="H45" s="1001"/>
      <c r="I45" s="1003"/>
      <c r="J45" s="1002" t="str">
        <f>I44&amp;".1"</f>
        <v>...1.1</v>
      </c>
      <c r="L45" s="237" t="s">
        <v>329</v>
      </c>
      <c r="P45" s="885"/>
      <c r="Q45" s="1004">
        <v>1</v>
      </c>
      <c r="R45" s="240"/>
      <c r="S45" s="226" t="str">
        <f>$J45</f>
        <v>...1.1</v>
      </c>
      <c r="T45" s="241" t="s">
        <v>330</v>
      </c>
      <c r="U45" s="228"/>
      <c r="V45" s="989"/>
      <c r="W45" s="990"/>
      <c r="X45" s="990"/>
      <c r="Y45" s="990"/>
      <c r="Z45" s="990"/>
      <c r="AA45" s="990"/>
      <c r="AB45" s="991"/>
      <c r="AC45" s="989"/>
      <c r="AD45" s="990"/>
      <c r="AE45" s="990"/>
      <c r="AF45" s="990"/>
      <c r="AG45" s="990"/>
      <c r="AH45" s="990"/>
      <c r="AI45" s="990"/>
      <c r="AJ45" s="991"/>
      <c r="AK45" s="317" t="s">
        <v>408</v>
      </c>
      <c r="AN45" s="29" t="str">
        <f t="shared" si="1"/>
        <v>Группа потребителей</v>
      </c>
      <c r="AQ45" s="3">
        <v>23</v>
      </c>
    </row>
    <row r="46" spans="1:43" ht="24" customHeight="1">
      <c r="A46" s="284" t="s">
        <v>149</v>
      </c>
      <c r="B46" s="284" t="s">
        <v>150</v>
      </c>
      <c r="C46" s="284" t="s">
        <v>151</v>
      </c>
      <c r="D46" s="284" t="s">
        <v>418</v>
      </c>
      <c r="E46" s="1001"/>
      <c r="F46" s="1001"/>
      <c r="G46" s="1001"/>
      <c r="H46" s="1001"/>
      <c r="I46" s="1003"/>
      <c r="J46" s="1003"/>
      <c r="K46" s="1002" t="str">
        <f>J45&amp;".1"</f>
        <v>...1.1.1</v>
      </c>
      <c r="P46" s="885"/>
      <c r="Q46" s="885"/>
      <c r="R46" s="240">
        <v>1</v>
      </c>
      <c r="S46" s="226" t="str">
        <f>$K46</f>
        <v>...1.1.1</v>
      </c>
      <c r="T46" s="357"/>
      <c r="U46" s="228"/>
      <c r="V46" s="261"/>
      <c r="W46" s="261"/>
      <c r="X46" s="262"/>
      <c r="Y46" s="999"/>
      <c r="Z46" s="998" t="s">
        <v>17</v>
      </c>
      <c r="AA46" s="999"/>
      <c r="AB46" s="998" t="s">
        <v>17</v>
      </c>
      <c r="AC46" s="243"/>
      <c r="AD46" s="243"/>
      <c r="AE46" s="245"/>
      <c r="AF46" s="1005"/>
      <c r="AG46" s="895" t="s">
        <v>17</v>
      </c>
      <c r="AH46" s="1007"/>
      <c r="AI46" s="895" t="s">
        <v>3</v>
      </c>
      <c r="AJ46" s="358"/>
      <c r="AK46" s="10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24" t="e">
        <f ca="1">STRCHECKDATE(V47:AJ47)</f>
        <v>#NAME?</v>
      </c>
      <c r="AN46" s="29" t="str">
        <f t="shared" si="1"/>
        <v/>
      </c>
      <c r="AQ46" s="3">
        <v>23</v>
      </c>
    </row>
    <row r="47" spans="1:43" ht="0" hidden="1" customHeight="1">
      <c r="A47" s="284" t="s">
        <v>149</v>
      </c>
      <c r="B47" s="284" t="s">
        <v>150</v>
      </c>
      <c r="C47" s="284" t="s">
        <v>151</v>
      </c>
      <c r="D47" s="284" t="s">
        <v>418</v>
      </c>
      <c r="E47" s="1001"/>
      <c r="F47" s="1001"/>
      <c r="G47" s="1001"/>
      <c r="H47" s="1001"/>
      <c r="I47" s="1003"/>
      <c r="J47" s="1003"/>
      <c r="K47" s="1002"/>
      <c r="P47" s="885"/>
      <c r="Q47" s="885"/>
      <c r="R47" s="240"/>
      <c r="S47" s="209"/>
      <c r="T47" s="228"/>
      <c r="U47" s="228"/>
      <c r="V47" s="261"/>
      <c r="W47" s="261"/>
      <c r="X47" s="247" t="str">
        <f>Y46&amp;"-"&amp;AA46</f>
        <v>-</v>
      </c>
      <c r="Y47" s="998"/>
      <c r="Z47" s="998"/>
      <c r="AA47" s="998"/>
      <c r="AB47" s="998"/>
      <c r="AC47" s="244"/>
      <c r="AD47" s="244"/>
      <c r="AE47" s="247" t="str">
        <f>AF46&amp;"-"&amp;AH46</f>
        <v>-</v>
      </c>
      <c r="AF47" s="1006"/>
      <c r="AG47" s="895"/>
      <c r="AH47" s="1008"/>
      <c r="AI47" s="895"/>
      <c r="AJ47" s="359"/>
      <c r="AK47" s="1074"/>
      <c r="AN47" s="29" t="str">
        <f t="shared" si="1"/>
        <v/>
      </c>
      <c r="AQ47" s="3">
        <v>0</v>
      </c>
    </row>
    <row r="48" spans="1:43" ht="21" customHeight="1">
      <c r="A48" s="284" t="s">
        <v>149</v>
      </c>
      <c r="B48" s="284" t="s">
        <v>150</v>
      </c>
      <c r="C48" s="284" t="s">
        <v>151</v>
      </c>
      <c r="D48" s="284" t="s">
        <v>418</v>
      </c>
      <c r="E48" s="1001"/>
      <c r="F48" s="1001"/>
      <c r="G48" s="1001"/>
      <c r="H48" s="1001"/>
      <c r="I48" s="1003"/>
      <c r="J48" s="1002"/>
      <c r="P48" s="885"/>
      <c r="Q48" s="885"/>
      <c r="R48" s="238"/>
      <c r="S48" s="249"/>
      <c r="T48" s="252" t="s">
        <v>409</v>
      </c>
      <c r="U48" s="54"/>
      <c r="V48" s="54"/>
      <c r="W48" s="54"/>
      <c r="X48" s="54"/>
      <c r="Y48" s="54"/>
      <c r="Z48" s="54"/>
      <c r="AA48" s="54"/>
      <c r="AB48" s="54"/>
      <c r="AC48" s="54"/>
      <c r="AD48" s="54"/>
      <c r="AE48" s="54"/>
      <c r="AF48" s="54"/>
      <c r="AG48" s="54"/>
      <c r="AH48" s="54"/>
      <c r="AI48" s="54"/>
      <c r="AJ48" s="54"/>
      <c r="AK48" s="230" t="s">
        <v>410</v>
      </c>
      <c r="AN48" s="29" t="str">
        <f t="shared" si="1"/>
        <v>Добавить значение признака дифференциации</v>
      </c>
      <c r="AQ48" s="3">
        <v>20</v>
      </c>
    </row>
    <row r="49" spans="1:43" ht="21.95" customHeight="1">
      <c r="A49" s="284" t="s">
        <v>149</v>
      </c>
      <c r="B49" s="284" t="s">
        <v>150</v>
      </c>
      <c r="C49" s="284" t="s">
        <v>151</v>
      </c>
      <c r="D49" s="284" t="s">
        <v>418</v>
      </c>
      <c r="E49" s="1001"/>
      <c r="F49" s="1001"/>
      <c r="G49" s="1001"/>
      <c r="H49" s="1001"/>
      <c r="I49" s="1002"/>
      <c r="P49" s="885"/>
      <c r="R49" s="238"/>
      <c r="S49" s="249"/>
      <c r="T49" s="255" t="s">
        <v>335</v>
      </c>
      <c r="U49" s="54"/>
      <c r="V49" s="54"/>
      <c r="W49" s="54"/>
      <c r="X49" s="54"/>
      <c r="Y49" s="54"/>
      <c r="Z49" s="54"/>
      <c r="AA49" s="54"/>
      <c r="AB49" s="253"/>
      <c r="AC49" s="54"/>
      <c r="AD49" s="54"/>
      <c r="AE49" s="54"/>
      <c r="AF49" s="54"/>
      <c r="AG49" s="54"/>
      <c r="AH49" s="54"/>
      <c r="AI49" s="253"/>
      <c r="AJ49" s="54"/>
      <c r="AK49" s="360"/>
      <c r="AN49" s="29" t="str">
        <f t="shared" si="1"/>
        <v>Добавить группу потребителей</v>
      </c>
      <c r="AQ49" s="3">
        <v>21</v>
      </c>
    </row>
    <row r="50" spans="1:43" ht="21.95" customHeight="1">
      <c r="A50" s="284" t="s">
        <v>149</v>
      </c>
      <c r="B50" s="284" t="s">
        <v>150</v>
      </c>
      <c r="C50" s="284" t="s">
        <v>151</v>
      </c>
      <c r="D50" s="284" t="s">
        <v>418</v>
      </c>
      <c r="E50" s="1001"/>
      <c r="F50" s="1001"/>
      <c r="G50" s="1001"/>
      <c r="H50" s="1000"/>
      <c r="R50" s="225"/>
      <c r="S50" s="249"/>
      <c r="T50" s="361" t="s">
        <v>411</v>
      </c>
      <c r="U50" s="54"/>
      <c r="V50" s="54"/>
      <c r="W50" s="54"/>
      <c r="X50" s="54"/>
      <c r="Y50" s="54"/>
      <c r="Z50" s="54"/>
      <c r="AA50" s="54"/>
      <c r="AB50" s="253"/>
      <c r="AC50" s="54"/>
      <c r="AD50" s="54"/>
      <c r="AE50" s="54"/>
      <c r="AF50" s="54"/>
      <c r="AG50" s="54"/>
      <c r="AH50" s="54"/>
      <c r="AI50" s="253"/>
      <c r="AJ50" s="54"/>
      <c r="AK50" s="254"/>
      <c r="AN50" s="29" t="str">
        <f t="shared" si="1"/>
        <v>Добавить наименование признака дифференциации</v>
      </c>
      <c r="AQ50" s="3">
        <v>21</v>
      </c>
    </row>
    <row r="51" spans="1:43" ht="0" hidden="1" customHeight="1">
      <c r="A51" s="21" t="s">
        <v>149</v>
      </c>
      <c r="B51" s="21" t="s">
        <v>150</v>
      </c>
      <c r="E51" s="1001"/>
      <c r="F51" s="1000"/>
      <c r="T51" s="260" t="s">
        <v>338</v>
      </c>
      <c r="AN51" s="29" t="str">
        <f t="shared" si="1"/>
        <v>Добавить централизованную систему для дифференциации</v>
      </c>
      <c r="AQ51" s="24">
        <v>0</v>
      </c>
    </row>
    <row r="52" spans="1:43" ht="0" hidden="1" customHeight="1">
      <c r="A52" s="21" t="s">
        <v>149</v>
      </c>
      <c r="E52" s="1000"/>
      <c r="T52" s="260" t="s">
        <v>339</v>
      </c>
      <c r="AN52" s="29" t="str">
        <f t="shared" si="1"/>
        <v>Добавить территорию для дифференциации</v>
      </c>
      <c r="AQ52" s="24">
        <v>0</v>
      </c>
    </row>
    <row r="53" spans="1:43" ht="0" hidden="1" customHeight="1">
      <c r="T53" s="260" t="s">
        <v>371</v>
      </c>
      <c r="AN53" s="29" t="str">
        <f t="shared" si="1"/>
        <v>Добавить наименование тарифа</v>
      </c>
      <c r="AQ53" s="24">
        <v>0</v>
      </c>
    </row>
    <row r="54" spans="1:43" ht="11.45" customHeight="1">
      <c r="AQ54" s="3">
        <v>11</v>
      </c>
    </row>
    <row r="55" spans="1:43" ht="14.65" customHeight="1">
      <c r="T55" s="885"/>
      <c r="U55" s="885"/>
      <c r="V55" s="885"/>
      <c r="W55" s="885"/>
      <c r="X55" s="885"/>
      <c r="Y55" s="885"/>
      <c r="Z55" s="885"/>
      <c r="AA55" s="885"/>
      <c r="AB55" s="885"/>
      <c r="AC55" s="885"/>
      <c r="AD55" s="885"/>
      <c r="AE55" s="885"/>
      <c r="AF55" s="885"/>
      <c r="AG55" s="885"/>
      <c r="AH55" s="885"/>
      <c r="AI55" s="885"/>
      <c r="AJ55" s="885"/>
      <c r="AK55" s="885"/>
      <c r="AQ55" s="3">
        <v>14</v>
      </c>
    </row>
    <row r="56" spans="1:43" ht="14.65" customHeight="1">
      <c r="AQ56" s="3">
        <v>14</v>
      </c>
    </row>
    <row r="57" spans="1:43" ht="14.65" customHeight="1">
      <c r="T57" s="885"/>
      <c r="U57" s="885"/>
      <c r="V57" s="885"/>
      <c r="W57" s="885"/>
      <c r="X57" s="885"/>
      <c r="Y57" s="885"/>
      <c r="Z57" s="885"/>
      <c r="AA57" s="885"/>
      <c r="AB57" s="885"/>
      <c r="AC57" s="885"/>
      <c r="AD57" s="885"/>
      <c r="AE57" s="885"/>
      <c r="AF57" s="885"/>
      <c r="AG57" s="885"/>
      <c r="AH57" s="885"/>
      <c r="AI57" s="885"/>
      <c r="AJ57" s="885"/>
      <c r="AK57" s="885"/>
      <c r="AQ57" s="3">
        <v>14</v>
      </c>
    </row>
    <row r="58" spans="1:43" ht="22.5" hidden="1" customHeight="1">
      <c r="A58" s="11" t="s">
        <v>18</v>
      </c>
      <c r="B58" s="11">
        <v>0</v>
      </c>
      <c r="C58" s="11">
        <v>0</v>
      </c>
      <c r="D58" s="11">
        <v>0</v>
      </c>
      <c r="E58" s="11">
        <v>0</v>
      </c>
      <c r="F58" s="11">
        <v>0</v>
      </c>
      <c r="G58" s="11">
        <v>0</v>
      </c>
      <c r="H58" s="11">
        <v>0</v>
      </c>
      <c r="I58" s="11">
        <v>0</v>
      </c>
      <c r="J58" s="11">
        <v>0</v>
      </c>
      <c r="K58" s="11">
        <v>0</v>
      </c>
      <c r="L58" s="171">
        <v>0</v>
      </c>
      <c r="M58" s="13">
        <v>0</v>
      </c>
      <c r="N58" s="13">
        <v>0</v>
      </c>
      <c r="O58" s="13">
        <v>0</v>
      </c>
      <c r="P58" s="287">
        <v>3</v>
      </c>
      <c r="Q58" s="288">
        <v>3</v>
      </c>
      <c r="R58" s="288">
        <v>3</v>
      </c>
      <c r="S58" s="9">
        <v>12</v>
      </c>
      <c r="T58" s="3">
        <v>35</v>
      </c>
      <c r="U58" s="3">
        <v>0</v>
      </c>
      <c r="V58" s="3">
        <v>0</v>
      </c>
      <c r="W58" s="3">
        <v>0</v>
      </c>
      <c r="X58" s="3">
        <v>0</v>
      </c>
      <c r="Y58" s="3">
        <v>0</v>
      </c>
      <c r="Z58" s="3">
        <v>0</v>
      </c>
      <c r="AA58" s="3">
        <v>0</v>
      </c>
      <c r="AB58" s="3">
        <v>0</v>
      </c>
      <c r="AC58" s="3">
        <v>24</v>
      </c>
      <c r="AD58" s="3">
        <v>24</v>
      </c>
      <c r="AE58" s="3">
        <v>24</v>
      </c>
      <c r="AF58" s="3">
        <v>11</v>
      </c>
      <c r="AG58" s="3">
        <v>3</v>
      </c>
      <c r="AH58" s="3">
        <v>11</v>
      </c>
      <c r="AI58" s="3">
        <v>0</v>
      </c>
      <c r="AJ58" s="3">
        <v>4</v>
      </c>
      <c r="AK58" s="3">
        <v>115</v>
      </c>
      <c r="AL58" s="24">
        <v>10</v>
      </c>
      <c r="AM58" s="24">
        <v>10</v>
      </c>
      <c r="AN58" s="24">
        <v>10</v>
      </c>
      <c r="AO58" s="24">
        <v>10</v>
      </c>
      <c r="AP58" s="24">
        <v>10</v>
      </c>
      <c r="AQ58" s="3">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4.140625" hidden="1" customWidth="1"/>
    <col min="10" max="10" width="9.85546875" hidden="1" customWidth="1"/>
    <col min="11" max="11" width="14.710937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4" width="24.7109375" hidden="1" customWidth="1"/>
    <col min="25" max="25" width="11.7109375" hidden="1" customWidth="1"/>
    <col min="26" max="26" width="3.7109375" hidden="1" customWidth="1"/>
    <col min="27" max="27" width="11.7109375" hidden="1" customWidth="1"/>
    <col min="28" max="28" width="8.5703125" hidden="1" customWidth="1"/>
    <col min="29" max="29" width="24.7109375" customWidth="1"/>
    <col min="30" max="31" width="24" customWidth="1"/>
    <col min="32" max="32" width="11" customWidth="1"/>
    <col min="33" max="33" width="3.7109375" customWidth="1"/>
    <col min="34" max="34" width="11" customWidth="1"/>
    <col min="35" max="35" width="8.5703125" hidden="1" customWidth="1"/>
    <col min="36" max="36" width="4" customWidth="1"/>
    <col min="37" max="37" width="115" customWidth="1"/>
    <col min="38" max="42" width="10" customWidth="1"/>
    <col min="43" max="43" width="10.5703125" hidden="1"/>
  </cols>
  <sheetData>
    <row r="1" spans="5:43" ht="22.5" hidden="1" customHeight="1">
      <c r="AQ1" s="3" t="s">
        <v>1</v>
      </c>
    </row>
    <row r="2" spans="5:43" ht="23.25" hidden="1" customHeight="1">
      <c r="E2" s="1000">
        <v>1</v>
      </c>
      <c r="R2" s="225"/>
      <c r="S2" s="226" t="e">
        <f>INDEX(PT_DIFFERENTIATION_NUM_NTAR,MATCH(A2,PT_DIFFERENTIATION_NTAR_ID,0))</f>
        <v>#N/A</v>
      </c>
      <c r="T2" s="227" t="s">
        <v>48</v>
      </c>
      <c r="U2" s="228"/>
      <c r="V2" s="995"/>
      <c r="W2" s="996"/>
      <c r="X2" s="996"/>
      <c r="Y2" s="996"/>
      <c r="Z2" s="996"/>
      <c r="AA2" s="996"/>
      <c r="AB2" s="997"/>
      <c r="AC2" s="995" t="e">
        <f>INDEX(PT_DIFFERENTIATION_NTAR,MATCH(A2,PT_DIFFERENTIATION_NTAR_ID,0))</f>
        <v>#N/A</v>
      </c>
      <c r="AD2" s="996"/>
      <c r="AE2" s="996"/>
      <c r="AF2" s="996"/>
      <c r="AG2" s="996"/>
      <c r="AH2" s="996"/>
      <c r="AI2" s="996"/>
      <c r="AJ2" s="997"/>
      <c r="AK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2" s="29" t="str">
        <f t="shared" ref="AN2:AN13" si="0">IF(T2="","",T2)</f>
        <v>Наименование тарифа</v>
      </c>
      <c r="AQ2" s="3">
        <v>0</v>
      </c>
    </row>
    <row r="3" spans="5:43" ht="23.25" hidden="1" customHeight="1">
      <c r="E3" s="1001"/>
      <c r="F3" s="1000">
        <v>1</v>
      </c>
      <c r="Q3" s="231"/>
      <c r="R3" s="232"/>
      <c r="S3" s="226" t="e">
        <f>INDEX(PT_DIFFERENTIATION_NUM_TER,MATCH(B3,PT_DIFFERENTIATION_TER_ID,0))</f>
        <v>#N/A</v>
      </c>
      <c r="T3" s="233" t="s">
        <v>320</v>
      </c>
      <c r="U3" s="228"/>
      <c r="V3" s="995"/>
      <c r="W3" s="996"/>
      <c r="X3" s="996"/>
      <c r="Y3" s="996"/>
      <c r="Z3" s="996"/>
      <c r="AA3" s="996"/>
      <c r="AB3" s="997"/>
      <c r="AC3" s="995" t="e">
        <f>INDEX(PT_DIFFERENTIATION_TER,MATCH(B3,PT_DIFFERENTIATION_TER_ID,0))</f>
        <v>#N/A</v>
      </c>
      <c r="AD3" s="996"/>
      <c r="AE3" s="996"/>
      <c r="AF3" s="996"/>
      <c r="AG3" s="996"/>
      <c r="AH3" s="996"/>
      <c r="AI3" s="996"/>
      <c r="AJ3" s="997"/>
      <c r="AK3" s="230" t="s">
        <v>321</v>
      </c>
      <c r="AN3" s="29" t="str">
        <f t="shared" si="0"/>
        <v>Территория действия тарифа</v>
      </c>
      <c r="AQ3" s="3">
        <v>0</v>
      </c>
    </row>
    <row r="4" spans="5:43" ht="23.25" hidden="1" customHeight="1">
      <c r="E4" s="1001"/>
      <c r="F4" s="1001"/>
      <c r="G4" s="1000">
        <v>1</v>
      </c>
      <c r="Q4" s="231"/>
      <c r="R4" s="232"/>
      <c r="S4" s="226" t="e">
        <f>INDEX(PT_DIFFERENTIATION_NUM_CS,MATCH(C4,PT_DIFFERENTIATION_CS_ID,0))</f>
        <v>#N/A</v>
      </c>
      <c r="T4" s="234" t="s">
        <v>404</v>
      </c>
      <c r="U4" s="228"/>
      <c r="V4" s="995"/>
      <c r="W4" s="996"/>
      <c r="X4" s="996"/>
      <c r="Y4" s="996"/>
      <c r="Z4" s="996"/>
      <c r="AA4" s="996"/>
      <c r="AB4" s="997"/>
      <c r="AC4" s="995" t="e">
        <f>INDEX(PT_DIFFERENTIATION_CS,MATCH(C4,PT_DIFFERENTIATION_CS_ID,0))</f>
        <v>#N/A</v>
      </c>
      <c r="AD4" s="996"/>
      <c r="AE4" s="996"/>
      <c r="AF4" s="996"/>
      <c r="AG4" s="996"/>
      <c r="AH4" s="996"/>
      <c r="AI4" s="996"/>
      <c r="AJ4" s="997"/>
      <c r="AK4" s="230" t="s">
        <v>405</v>
      </c>
      <c r="AN4" s="29" t="str">
        <f t="shared" si="0"/>
        <v>Наименование централизованной системы холодного водоснабжения</v>
      </c>
      <c r="AQ4" s="3">
        <v>0</v>
      </c>
    </row>
    <row r="5" spans="5:43" ht="23.25" hidden="1" customHeight="1">
      <c r="E5" s="1001"/>
      <c r="F5" s="1001"/>
      <c r="G5" s="1001"/>
      <c r="H5" s="1001"/>
      <c r="I5" s="1002" t="e">
        <f>S4&amp;".1"</f>
        <v>#N/A</v>
      </c>
      <c r="P5" s="1004">
        <v>1</v>
      </c>
      <c r="R5" s="238"/>
      <c r="S5" s="226" t="e">
        <f>$I5</f>
        <v>#N/A</v>
      </c>
      <c r="T5" s="239" t="s">
        <v>406</v>
      </c>
      <c r="U5" s="228"/>
      <c r="V5" s="1068"/>
      <c r="W5" s="1069"/>
      <c r="X5" s="1069"/>
      <c r="Y5" s="1069"/>
      <c r="Z5" s="1069"/>
      <c r="AA5" s="1069"/>
      <c r="AB5" s="1070"/>
      <c r="AC5" s="1071"/>
      <c r="AD5" s="1072"/>
      <c r="AE5" s="1072"/>
      <c r="AF5" s="1072"/>
      <c r="AG5" s="1072"/>
      <c r="AH5" s="1072"/>
      <c r="AI5" s="1072"/>
      <c r="AJ5" s="1073"/>
      <c r="AK5" s="230" t="s">
        <v>407</v>
      </c>
      <c r="AN5" s="29" t="str">
        <f t="shared" si="0"/>
        <v>Наименование признака дифференциации</v>
      </c>
      <c r="AQ5" s="3">
        <v>0</v>
      </c>
    </row>
    <row r="6" spans="5:43" ht="23.25" hidden="1" customHeight="1">
      <c r="E6" s="1001"/>
      <c r="F6" s="1001"/>
      <c r="G6" s="1001"/>
      <c r="H6" s="1001"/>
      <c r="I6" s="1003"/>
      <c r="J6" s="1002" t="e">
        <f>I5&amp;".1"</f>
        <v>#N/A</v>
      </c>
      <c r="L6" s="237" t="s">
        <v>329</v>
      </c>
      <c r="P6" s="885"/>
      <c r="Q6" s="1004">
        <v>1</v>
      </c>
      <c r="R6" s="240"/>
      <c r="S6" s="226" t="e">
        <f>$J6</f>
        <v>#N/A</v>
      </c>
      <c r="T6" s="241" t="s">
        <v>330</v>
      </c>
      <c r="U6" s="228"/>
      <c r="V6" s="989"/>
      <c r="W6" s="990"/>
      <c r="X6" s="990"/>
      <c r="Y6" s="990"/>
      <c r="Z6" s="990"/>
      <c r="AA6" s="990"/>
      <c r="AB6" s="991"/>
      <c r="AC6" s="989"/>
      <c r="AD6" s="990"/>
      <c r="AE6" s="990"/>
      <c r="AF6" s="990"/>
      <c r="AG6" s="990"/>
      <c r="AH6" s="990"/>
      <c r="AI6" s="990"/>
      <c r="AJ6" s="991"/>
      <c r="AK6" s="317" t="s">
        <v>408</v>
      </c>
      <c r="AN6" s="29" t="str">
        <f t="shared" si="0"/>
        <v>Группа потребителей</v>
      </c>
      <c r="AQ6" s="3">
        <v>0</v>
      </c>
    </row>
    <row r="7" spans="5:43" ht="23.25" hidden="1" customHeight="1">
      <c r="E7" s="1001"/>
      <c r="F7" s="1001"/>
      <c r="G7" s="1001"/>
      <c r="H7" s="1001"/>
      <c r="I7" s="1003"/>
      <c r="J7" s="1003"/>
      <c r="K7" s="1002" t="e">
        <f>J6&amp;".1"</f>
        <v>#N/A</v>
      </c>
      <c r="P7" s="885"/>
      <c r="Q7" s="885"/>
      <c r="R7" s="240">
        <v>1</v>
      </c>
      <c r="S7" s="226" t="e">
        <f>$K7</f>
        <v>#N/A</v>
      </c>
      <c r="T7" s="357"/>
      <c r="U7" s="228"/>
      <c r="V7" s="243"/>
      <c r="W7" s="243"/>
      <c r="X7" s="245"/>
      <c r="Y7" s="1005"/>
      <c r="Z7" s="895" t="s">
        <v>17</v>
      </c>
      <c r="AA7" s="1005"/>
      <c r="AB7" s="895" t="s">
        <v>17</v>
      </c>
      <c r="AC7" s="243"/>
      <c r="AD7" s="243"/>
      <c r="AE7" s="245"/>
      <c r="AF7" s="1005"/>
      <c r="AG7" s="895" t="s">
        <v>17</v>
      </c>
      <c r="AH7" s="1007"/>
      <c r="AI7" s="895" t="s">
        <v>17</v>
      </c>
      <c r="AJ7" s="358"/>
      <c r="AK7" s="10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24" t="e">
        <f ca="1">STRCHECKDATE(V8:AJ8)</f>
        <v>#NAME?</v>
      </c>
      <c r="AN7" s="29" t="str">
        <f t="shared" si="0"/>
        <v/>
      </c>
      <c r="AQ7" s="3">
        <v>0</v>
      </c>
    </row>
    <row r="8" spans="5:43" ht="14.25" hidden="1" customHeight="1">
      <c r="E8" s="1001"/>
      <c r="F8" s="1001"/>
      <c r="G8" s="1001"/>
      <c r="H8" s="1001"/>
      <c r="I8" s="1003"/>
      <c r="J8" s="1003"/>
      <c r="K8" s="1002"/>
      <c r="P8" s="885"/>
      <c r="Q8" s="885"/>
      <c r="R8" s="240"/>
      <c r="S8" s="209"/>
      <c r="T8" s="228"/>
      <c r="U8" s="228"/>
      <c r="V8" s="244"/>
      <c r="W8" s="244"/>
      <c r="X8" s="247" t="str">
        <f>Y7&amp;"-"&amp;AA7</f>
        <v>-</v>
      </c>
      <c r="Y8" s="1006"/>
      <c r="Z8" s="895"/>
      <c r="AA8" s="1006"/>
      <c r="AB8" s="895"/>
      <c r="AC8" s="244"/>
      <c r="AD8" s="244"/>
      <c r="AE8" s="247" t="str">
        <f>AF7&amp;"-"&amp;AH7</f>
        <v>-</v>
      </c>
      <c r="AF8" s="1006"/>
      <c r="AG8" s="895"/>
      <c r="AH8" s="1008"/>
      <c r="AI8" s="895"/>
      <c r="AJ8" s="359"/>
      <c r="AK8" s="1074"/>
      <c r="AN8" s="29" t="str">
        <f t="shared" si="0"/>
        <v/>
      </c>
      <c r="AQ8" s="3">
        <v>0</v>
      </c>
    </row>
    <row r="9" spans="5:43" ht="21" hidden="1" customHeight="1">
      <c r="E9" s="1001"/>
      <c r="F9" s="1001"/>
      <c r="G9" s="1001"/>
      <c r="H9" s="1001"/>
      <c r="I9" s="1003"/>
      <c r="J9" s="1002"/>
      <c r="P9" s="885"/>
      <c r="Q9" s="885"/>
      <c r="R9" s="238"/>
      <c r="S9" s="249"/>
      <c r="T9" s="252" t="s">
        <v>409</v>
      </c>
      <c r="U9" s="54"/>
      <c r="V9" s="54"/>
      <c r="W9" s="54"/>
      <c r="X9" s="54"/>
      <c r="Y9" s="54"/>
      <c r="Z9" s="54"/>
      <c r="AA9" s="54"/>
      <c r="AB9" s="54"/>
      <c r="AC9" s="54"/>
      <c r="AD9" s="54"/>
      <c r="AE9" s="54"/>
      <c r="AF9" s="54"/>
      <c r="AG9" s="54"/>
      <c r="AH9" s="54"/>
      <c r="AI9" s="54"/>
      <c r="AJ9" s="54"/>
      <c r="AK9" s="230" t="s">
        <v>410</v>
      </c>
      <c r="AN9" s="29" t="str">
        <f t="shared" si="0"/>
        <v>Добавить значение признака дифференциации</v>
      </c>
      <c r="AQ9" s="3">
        <v>0</v>
      </c>
    </row>
    <row r="10" spans="5:43" ht="21" hidden="1" customHeight="1">
      <c r="E10" s="1001"/>
      <c r="F10" s="1001"/>
      <c r="G10" s="1001"/>
      <c r="H10" s="1001"/>
      <c r="I10" s="1002"/>
      <c r="P10" s="885"/>
      <c r="R10" s="238"/>
      <c r="S10" s="249"/>
      <c r="T10" s="255" t="s">
        <v>335</v>
      </c>
      <c r="U10" s="54"/>
      <c r="V10" s="54"/>
      <c r="W10" s="54"/>
      <c r="X10" s="54"/>
      <c r="Y10" s="54"/>
      <c r="Z10" s="54"/>
      <c r="AA10" s="54"/>
      <c r="AB10" s="253"/>
      <c r="AC10" s="54"/>
      <c r="AD10" s="54"/>
      <c r="AE10" s="54"/>
      <c r="AF10" s="54"/>
      <c r="AG10" s="54"/>
      <c r="AH10" s="54"/>
      <c r="AI10" s="253"/>
      <c r="AJ10" s="54"/>
      <c r="AK10" s="360"/>
      <c r="AN10" s="29" t="str">
        <f t="shared" si="0"/>
        <v>Добавить группу потребителей</v>
      </c>
      <c r="AQ10" s="3">
        <v>0</v>
      </c>
    </row>
    <row r="11" spans="5:43" ht="21" hidden="1" customHeight="1">
      <c r="E11" s="1001"/>
      <c r="F11" s="1001"/>
      <c r="G11" s="1001"/>
      <c r="H11" s="1000"/>
      <c r="R11" s="225"/>
      <c r="S11" s="249"/>
      <c r="T11" s="361" t="s">
        <v>411</v>
      </c>
      <c r="U11" s="54"/>
      <c r="V11" s="54"/>
      <c r="W11" s="54"/>
      <c r="X11" s="54"/>
      <c r="Y11" s="54"/>
      <c r="Z11" s="54"/>
      <c r="AA11" s="54"/>
      <c r="AB11" s="253"/>
      <c r="AC11" s="54"/>
      <c r="AD11" s="54"/>
      <c r="AE11" s="54"/>
      <c r="AF11" s="54"/>
      <c r="AG11" s="54"/>
      <c r="AH11" s="54"/>
      <c r="AI11" s="253"/>
      <c r="AJ11" s="54"/>
      <c r="AK11" s="254"/>
      <c r="AN11" s="29" t="str">
        <f t="shared" si="0"/>
        <v>Добавить наименование признака дифференциации</v>
      </c>
      <c r="AQ11" s="3">
        <v>0</v>
      </c>
    </row>
    <row r="12" spans="5:43" ht="14.25" hidden="1" customHeight="1">
      <c r="E12" s="1001"/>
      <c r="F12" s="1000"/>
      <c r="T12" s="260" t="s">
        <v>338</v>
      </c>
      <c r="AN12" s="29" t="str">
        <f t="shared" si="0"/>
        <v>Добавить централизованную систему для дифференциации</v>
      </c>
      <c r="AQ12" s="24">
        <v>0</v>
      </c>
    </row>
    <row r="13" spans="5:43" ht="14.25" hidden="1" customHeight="1">
      <c r="E13" s="1000"/>
      <c r="T13" s="260" t="s">
        <v>339</v>
      </c>
      <c r="AN13" s="29" t="str">
        <f t="shared" si="0"/>
        <v>Добавить территорию для дифференциации</v>
      </c>
      <c r="AQ13" s="24">
        <v>0</v>
      </c>
    </row>
    <row r="14" spans="5:43" ht="14.25" hidden="1" customHeight="1">
      <c r="AQ14" s="3">
        <v>0</v>
      </c>
    </row>
    <row r="15" spans="5:43" ht="14.25" hidden="1" customHeight="1">
      <c r="AC15" s="261"/>
      <c r="AD15" s="261"/>
      <c r="AE15" s="262"/>
      <c r="AF15" s="999"/>
      <c r="AG15" s="998" t="s">
        <v>17</v>
      </c>
      <c r="AH15" s="999"/>
      <c r="AI15" s="998" t="s">
        <v>17</v>
      </c>
      <c r="AQ15" s="3">
        <v>0</v>
      </c>
    </row>
    <row r="16" spans="5:43" ht="14.25" hidden="1" customHeight="1">
      <c r="AC16" s="261"/>
      <c r="AD16" s="261"/>
      <c r="AE16" s="247" t="str">
        <f>AF15&amp;"-"&amp;AH15</f>
        <v>-</v>
      </c>
      <c r="AF16" s="998"/>
      <c r="AG16" s="998"/>
      <c r="AH16" s="998"/>
      <c r="AI16" s="998"/>
      <c r="AQ16" s="3">
        <v>0</v>
      </c>
    </row>
    <row r="17" spans="15:43" ht="14.25" hidden="1" customHeight="1">
      <c r="AQ17" s="3">
        <v>0</v>
      </c>
    </row>
    <row r="18" spans="15:43" ht="22.5" hidden="1" customHeight="1">
      <c r="O18" s="263" t="s">
        <v>340</v>
      </c>
      <c r="Y18" s="263"/>
      <c r="AA18" s="263"/>
      <c r="AF18" s="263"/>
      <c r="AH18" s="263"/>
      <c r="AQ18" s="11">
        <v>0</v>
      </c>
    </row>
    <row r="19" spans="15:43" ht="14.25" hidden="1" customHeight="1">
      <c r="AQ19" s="11">
        <v>0</v>
      </c>
    </row>
    <row r="20" spans="15:43" ht="12" hidden="1" customHeight="1">
      <c r="O20" s="237" t="s">
        <v>341</v>
      </c>
      <c r="T20" s="11" t="s">
        <v>342</v>
      </c>
      <c r="Z20" s="60" t="s">
        <v>343</v>
      </c>
      <c r="AB20" s="60" t="s">
        <v>344</v>
      </c>
      <c r="AC20" s="11" t="s">
        <v>342</v>
      </c>
      <c r="AG20" s="60" t="s">
        <v>345</v>
      </c>
      <c r="AI20" s="60" t="s">
        <v>344</v>
      </c>
      <c r="AQ20" s="11">
        <v>0</v>
      </c>
    </row>
    <row r="21" spans="15:43" ht="14.25" hidden="1" customHeight="1">
      <c r="AQ21" s="3">
        <v>0</v>
      </c>
    </row>
    <row r="22" spans="15:43" ht="14.25" hidden="1" customHeight="1">
      <c r="AQ22" s="3">
        <v>0</v>
      </c>
    </row>
    <row r="23" spans="15:43" ht="14.65" customHeight="1">
      <c r="Q23" s="264"/>
      <c r="R23" s="264"/>
      <c r="S23" s="265"/>
      <c r="T23" s="12"/>
      <c r="U23" s="12"/>
      <c r="AQ23" s="3">
        <v>14</v>
      </c>
    </row>
    <row r="24" spans="15:43" ht="14.65" customHeight="1">
      <c r="Q24" s="264"/>
      <c r="R24" s="264"/>
      <c r="S24" s="98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982"/>
      <c r="U24" s="982"/>
      <c r="V24" s="982"/>
      <c r="W24" s="982"/>
      <c r="X24" s="982"/>
      <c r="Y24" s="982"/>
      <c r="Z24" s="982"/>
      <c r="AA24" s="982"/>
      <c r="AB24" s="982"/>
      <c r="AC24" s="982"/>
      <c r="AD24" s="982"/>
      <c r="AE24" s="982"/>
      <c r="AF24" s="982"/>
      <c r="AG24" s="982"/>
      <c r="AH24" s="982"/>
      <c r="AQ24" s="3">
        <v>14</v>
      </c>
    </row>
    <row r="25" spans="15:43" ht="14.65" customHeight="1">
      <c r="Q25" s="264"/>
      <c r="R25" s="264"/>
      <c r="S25" s="955" t="e">
        <f>IF(org=0,"Не определено",org)</f>
        <v>#REF!</v>
      </c>
      <c r="T25" s="955"/>
      <c r="U25" s="955"/>
      <c r="V25" s="955"/>
      <c r="W25" s="955"/>
      <c r="X25" s="955"/>
      <c r="Y25" s="955"/>
      <c r="Z25" s="955"/>
      <c r="AA25" s="955"/>
      <c r="AB25" s="955"/>
      <c r="AC25" s="955"/>
      <c r="AD25" s="955"/>
      <c r="AE25" s="955"/>
      <c r="AF25" s="955"/>
      <c r="AG25" s="955"/>
      <c r="AH25" s="955"/>
      <c r="AQ25" s="3">
        <v>14</v>
      </c>
    </row>
    <row r="26" spans="15:43" ht="14.25" hidden="1" customHeight="1">
      <c r="Q26" s="264"/>
      <c r="R26" s="264"/>
      <c r="S26" s="265"/>
      <c r="T26" s="12"/>
      <c r="U26" s="12"/>
      <c r="V26" s="266"/>
      <c r="W26" s="266"/>
      <c r="X26" s="266"/>
      <c r="Y26" s="266"/>
      <c r="Z26" s="266"/>
      <c r="AA26" s="266"/>
      <c r="AB26" s="266"/>
      <c r="AC26" s="266"/>
      <c r="AD26" s="266"/>
      <c r="AE26" s="266"/>
      <c r="AF26" s="266"/>
      <c r="AG26" s="266"/>
      <c r="AH26" s="266"/>
      <c r="AI26" s="266"/>
      <c r="AQ26" s="3">
        <v>0</v>
      </c>
    </row>
    <row r="27" spans="15:43" ht="25.5" hidden="1" customHeight="1">
      <c r="S27" s="992" t="s">
        <v>9</v>
      </c>
      <c r="T27" s="992"/>
      <c r="U27" s="268"/>
      <c r="V27" s="994" t="e">
        <f>IF(TITLE_NAME_OR_PR_CHANGE="",IF(TITLE_NAME_OR_PR="","",TITLE_NAME_OR_PR),TITLE_NAME_OR_PR_CHANGE)</f>
        <v>#REF!</v>
      </c>
      <c r="W27" s="994"/>
      <c r="X27" s="994"/>
      <c r="Y27" s="994"/>
      <c r="Z27" s="994"/>
      <c r="AA27" s="994"/>
      <c r="AC27" s="994" t="e">
        <f>IF(TITLE_NAME_OR_PR_CHANGE="",IF(TITLE_NAME_OR_PR="","",TITLE_NAME_OR_PR),TITLE_NAME_OR_PR_CHANGE)</f>
        <v>#REF!</v>
      </c>
      <c r="AD27" s="994"/>
      <c r="AE27" s="994"/>
      <c r="AF27" s="994"/>
      <c r="AG27" s="994"/>
      <c r="AH27" s="994"/>
      <c r="AQ27" s="50">
        <v>0</v>
      </c>
    </row>
    <row r="28" spans="15:43" ht="18.75" hidden="1" customHeight="1">
      <c r="S28" s="992" t="s">
        <v>346</v>
      </c>
      <c r="T28" s="992"/>
      <c r="U28" s="268"/>
      <c r="V28" s="993" t="e">
        <f>IF(TITLE_DATE_PR_CHANGE="",IF(TITLE_DATE_PR="","",TITLE_DATE_PR),TITLE_DATE_PR_CHANGE)</f>
        <v>#REF!</v>
      </c>
      <c r="W28" s="993"/>
      <c r="X28" s="993"/>
      <c r="Y28" s="993"/>
      <c r="Z28" s="993"/>
      <c r="AA28" s="993"/>
      <c r="AC28" s="993" t="e">
        <f>IF(TITLE_DATE_PR_CHANGE="",IF(TITLE_DATE_PR="","",TITLE_DATE_PR),TITLE_DATE_PR_CHANGE)</f>
        <v>#REF!</v>
      </c>
      <c r="AD28" s="993"/>
      <c r="AE28" s="993"/>
      <c r="AF28" s="993"/>
      <c r="AG28" s="993"/>
      <c r="AH28" s="993"/>
      <c r="AQ28" s="50">
        <v>0</v>
      </c>
    </row>
    <row r="29" spans="15:43" ht="18.75" hidden="1" customHeight="1">
      <c r="S29" s="992" t="s">
        <v>347</v>
      </c>
      <c r="T29" s="992"/>
      <c r="U29" s="268"/>
      <c r="V29" s="994" t="e">
        <f>IF(TITLE_NUMBER_PR_CHANGE="",IF(TITLE_NUMBER_PR="","",TITLE_NUMBER_PR),TITLE_NUMBER_PR_CHANGE)</f>
        <v>#REF!</v>
      </c>
      <c r="W29" s="994"/>
      <c r="X29" s="994"/>
      <c r="Y29" s="994"/>
      <c r="Z29" s="994"/>
      <c r="AA29" s="994"/>
      <c r="AC29" s="994" t="e">
        <f>IF(TITLE_NUMBER_PR_CHANGE="",IF(TITLE_NUMBER_PR="","",TITLE_NUMBER_PR),TITLE_NUMBER_PR_CHANGE)</f>
        <v>#REF!</v>
      </c>
      <c r="AD29" s="994"/>
      <c r="AE29" s="994"/>
      <c r="AF29" s="994"/>
      <c r="AG29" s="994"/>
      <c r="AH29" s="994"/>
      <c r="AQ29" s="50">
        <v>0</v>
      </c>
    </row>
    <row r="30" spans="15:43" ht="18.75" hidden="1" customHeight="1">
      <c r="S30" s="992" t="s">
        <v>10</v>
      </c>
      <c r="T30" s="992"/>
      <c r="U30" s="268"/>
      <c r="V30" s="994" t="e">
        <f>IF(TITLE_IST_PUB_CHANGE="",IF(TITLE_IST_PUB="","",TITLE_IST_PUB),TITLE_IST_PUB_CHANGE)</f>
        <v>#REF!</v>
      </c>
      <c r="W30" s="994"/>
      <c r="X30" s="994"/>
      <c r="Y30" s="994"/>
      <c r="Z30" s="994"/>
      <c r="AA30" s="994"/>
      <c r="AC30" s="994" t="e">
        <f>IF(TITLE_IST_PUB_CHANGE="",IF(TITLE_IST_PUB="","",TITLE_IST_PUB),TITLE_IST_PUB_CHANGE)</f>
        <v>#REF!</v>
      </c>
      <c r="AD30" s="994"/>
      <c r="AE30" s="994"/>
      <c r="AF30" s="994"/>
      <c r="AG30" s="994"/>
      <c r="AH30" s="994"/>
      <c r="AQ30" s="50">
        <v>0</v>
      </c>
    </row>
    <row r="31" spans="15:43" ht="14.25" hidden="1" customHeight="1">
      <c r="Q31" s="264"/>
      <c r="R31" s="264"/>
      <c r="S31" s="265"/>
      <c r="T31" s="12"/>
      <c r="U31" s="12"/>
      <c r="V31" s="266"/>
      <c r="W31" s="266"/>
      <c r="X31" s="266"/>
      <c r="Y31" s="266"/>
      <c r="Z31" s="266"/>
      <c r="AA31" s="266"/>
      <c r="AB31" s="266"/>
      <c r="AC31" s="266"/>
      <c r="AD31" s="266"/>
      <c r="AE31" s="266"/>
      <c r="AF31" s="266"/>
      <c r="AG31" s="266"/>
      <c r="AH31" s="266"/>
      <c r="AI31" s="266"/>
      <c r="AQ31" s="3">
        <v>0</v>
      </c>
    </row>
    <row r="32" spans="15:43" ht="18.75" hidden="1" customHeight="1">
      <c r="S32" s="992" t="s">
        <v>348</v>
      </c>
      <c r="T32" s="992"/>
      <c r="U32" s="268"/>
      <c r="V32" s="993" t="e">
        <f>IF(TITLE_DATE_PR_CHANGE="",IF(TITLE_DATE_PR="","",TITLE_DATE_PR),TITLE_DATE_PR_CHANGE)</f>
        <v>#REF!</v>
      </c>
      <c r="W32" s="993"/>
      <c r="X32" s="993"/>
      <c r="Y32" s="993"/>
      <c r="Z32" s="993"/>
      <c r="AA32" s="993"/>
      <c r="AC32" s="993" t="e">
        <f>IF(TITLE_DATE_PR_CHANGE="",IF(TITLE_DATE_PR="","",TITLE_DATE_PR),TITLE_DATE_PR_CHANGE)</f>
        <v>#REF!</v>
      </c>
      <c r="AD32" s="993"/>
      <c r="AE32" s="993"/>
      <c r="AF32" s="993"/>
      <c r="AG32" s="993"/>
      <c r="AH32" s="993"/>
      <c r="AQ32" s="50">
        <v>0</v>
      </c>
    </row>
    <row r="33" spans="1:43" ht="18.75" hidden="1" customHeight="1">
      <c r="S33" s="992" t="s">
        <v>349</v>
      </c>
      <c r="T33" s="992"/>
      <c r="U33" s="268"/>
      <c r="V33" s="994" t="e">
        <f>IF(TITLE_NUMBER_PR_CHANGE="",IF(TITLE_NUMBER_PR="","",TITLE_NUMBER_PR),TITLE_NUMBER_PR_CHANGE)</f>
        <v>#REF!</v>
      </c>
      <c r="W33" s="994"/>
      <c r="X33" s="994"/>
      <c r="Y33" s="994"/>
      <c r="Z33" s="994"/>
      <c r="AA33" s="994"/>
      <c r="AC33" s="994" t="e">
        <f>IF(TITLE_NUMBER_PR_CHANGE="",IF(TITLE_NUMBER_PR="","",TITLE_NUMBER_PR),TITLE_NUMBER_PR_CHANGE)</f>
        <v>#REF!</v>
      </c>
      <c r="AD33" s="994"/>
      <c r="AE33" s="994"/>
      <c r="AF33" s="994"/>
      <c r="AG33" s="994"/>
      <c r="AH33" s="994"/>
      <c r="AQ33" s="50">
        <v>0</v>
      </c>
    </row>
    <row r="34" spans="1:43" ht="1.1499999999999999" customHeight="1">
      <c r="AB34" s="24" t="s">
        <v>350</v>
      </c>
      <c r="AI34" s="24" t="s">
        <v>350</v>
      </c>
      <c r="AQ34" s="50">
        <v>1</v>
      </c>
    </row>
    <row r="35" spans="1:43" ht="14.65" customHeight="1">
      <c r="Q35" s="264"/>
      <c r="R35" s="264"/>
      <c r="S35" s="265"/>
      <c r="T35" s="12"/>
      <c r="U35" s="270"/>
      <c r="V35" s="1012"/>
      <c r="W35" s="1012"/>
      <c r="X35" s="1012"/>
      <c r="Y35" s="1012"/>
      <c r="Z35" s="1012"/>
      <c r="AA35" s="1012"/>
      <c r="AB35" s="1012"/>
      <c r="AC35" s="1012"/>
      <c r="AD35" s="1012"/>
      <c r="AE35" s="1012"/>
      <c r="AF35" s="1012"/>
      <c r="AG35" s="1012"/>
      <c r="AH35" s="1012"/>
      <c r="AI35" s="1012"/>
      <c r="AQ35" s="3">
        <v>14</v>
      </c>
    </row>
    <row r="36" spans="1:43" ht="14.65" customHeight="1">
      <c r="Q36" s="264"/>
      <c r="R36" s="264"/>
      <c r="S36" s="894" t="s">
        <v>223</v>
      </c>
      <c r="T36" s="894"/>
      <c r="U36" s="894"/>
      <c r="V36" s="894"/>
      <c r="W36" s="894"/>
      <c r="X36" s="894"/>
      <c r="Y36" s="894"/>
      <c r="Z36" s="894"/>
      <c r="AA36" s="894"/>
      <c r="AB36" s="894"/>
      <c r="AC36" s="894"/>
      <c r="AD36" s="894"/>
      <c r="AE36" s="894"/>
      <c r="AF36" s="894"/>
      <c r="AG36" s="894"/>
      <c r="AH36" s="894"/>
      <c r="AI36" s="894"/>
      <c r="AJ36" s="894"/>
      <c r="AK36" s="894" t="s">
        <v>224</v>
      </c>
      <c r="AQ36" s="3">
        <v>14</v>
      </c>
    </row>
    <row r="37" spans="1:43" ht="14.65" customHeight="1">
      <c r="Q37" s="264"/>
      <c r="R37" s="264"/>
      <c r="S37" s="1013" t="s">
        <v>24</v>
      </c>
      <c r="T37" s="962" t="s">
        <v>351</v>
      </c>
      <c r="U37" s="272"/>
      <c r="V37" s="1014" t="s">
        <v>352</v>
      </c>
      <c r="W37" s="1015"/>
      <c r="X37" s="1015"/>
      <c r="Y37" s="1015"/>
      <c r="Z37" s="1015"/>
      <c r="AA37" s="1016"/>
      <c r="AB37" s="1017" t="s">
        <v>353</v>
      </c>
      <c r="AC37" s="1014" t="s">
        <v>352</v>
      </c>
      <c r="AD37" s="1015"/>
      <c r="AE37" s="1015"/>
      <c r="AF37" s="1015"/>
      <c r="AG37" s="1015"/>
      <c r="AH37" s="1016"/>
      <c r="AI37" s="1017" t="s">
        <v>354</v>
      </c>
      <c r="AJ37" s="1020" t="s">
        <v>355</v>
      </c>
      <c r="AK37" s="894"/>
      <c r="AQ37" s="3">
        <v>14</v>
      </c>
    </row>
    <row r="38" spans="1:43" ht="35.65" customHeight="1">
      <c r="Q38" s="264"/>
      <c r="R38" s="264"/>
      <c r="S38" s="1013"/>
      <c r="T38" s="962"/>
      <c r="U38" s="274"/>
      <c r="V38" s="92" t="s">
        <v>412</v>
      </c>
      <c r="W38" s="887" t="s">
        <v>358</v>
      </c>
      <c r="X38" s="886"/>
      <c r="Y38" s="887" t="s">
        <v>359</v>
      </c>
      <c r="Z38" s="890"/>
      <c r="AA38" s="886"/>
      <c r="AB38" s="1018"/>
      <c r="AC38" s="92" t="s">
        <v>412</v>
      </c>
      <c r="AD38" s="887" t="s">
        <v>358</v>
      </c>
      <c r="AE38" s="886"/>
      <c r="AF38" s="887" t="s">
        <v>359</v>
      </c>
      <c r="AG38" s="890"/>
      <c r="AH38" s="886"/>
      <c r="AI38" s="1018"/>
      <c r="AJ38" s="1021"/>
      <c r="AK38" s="894"/>
      <c r="AQ38" s="3">
        <v>34</v>
      </c>
    </row>
    <row r="39" spans="1:43" ht="35.65" customHeight="1">
      <c r="B39" s="60" t="s">
        <v>60</v>
      </c>
      <c r="C39" s="60" t="s">
        <v>61</v>
      </c>
      <c r="D39" s="60" t="s">
        <v>62</v>
      </c>
      <c r="E39" s="237" t="s">
        <v>360</v>
      </c>
      <c r="F39" s="237" t="s">
        <v>361</v>
      </c>
      <c r="G39" s="237" t="s">
        <v>362</v>
      </c>
      <c r="I39" s="237" t="s">
        <v>413</v>
      </c>
      <c r="J39" s="237" t="s">
        <v>365</v>
      </c>
      <c r="K39" s="237" t="s">
        <v>414</v>
      </c>
      <c r="L39" s="237" t="s">
        <v>341</v>
      </c>
      <c r="Q39" s="264"/>
      <c r="R39" s="264"/>
      <c r="S39" s="1013"/>
      <c r="T39" s="962"/>
      <c r="U39" s="275"/>
      <c r="V39" s="92" t="s">
        <v>415</v>
      </c>
      <c r="W39" s="65" t="s">
        <v>416</v>
      </c>
      <c r="X39" s="65" t="s">
        <v>417</v>
      </c>
      <c r="Y39" s="65" t="s">
        <v>369</v>
      </c>
      <c r="Z39" s="967" t="s">
        <v>370</v>
      </c>
      <c r="AA39" s="981"/>
      <c r="AB39" s="1019"/>
      <c r="AC39" s="92" t="s">
        <v>415</v>
      </c>
      <c r="AD39" s="65" t="s">
        <v>416</v>
      </c>
      <c r="AE39" s="65" t="s">
        <v>417</v>
      </c>
      <c r="AF39" s="65" t="s">
        <v>369</v>
      </c>
      <c r="AG39" s="967" t="s">
        <v>370</v>
      </c>
      <c r="AH39" s="981"/>
      <c r="AI39" s="1019"/>
      <c r="AJ39" s="1022"/>
      <c r="AK39" s="894"/>
      <c r="AQ39" s="3">
        <v>34</v>
      </c>
    </row>
    <row r="40" spans="1:43" ht="0" hidden="1" customHeight="1">
      <c r="Q40" s="278"/>
      <c r="R40" s="279">
        <v>1</v>
      </c>
      <c r="S40" s="280" t="s">
        <v>31</v>
      </c>
      <c r="T40" s="281" t="s">
        <v>39</v>
      </c>
      <c r="U40" s="282" t="str">
        <f ca="1">OFFSET(U40,0,-1)</f>
        <v>2</v>
      </c>
      <c r="V40" s="283">
        <f ca="1">OFFSET(V40,0,-1)+1</f>
        <v>3</v>
      </c>
      <c r="W40" s="283">
        <f ca="1">OFFSET(W40,0,-1)+1</f>
        <v>4</v>
      </c>
      <c r="X40" s="283">
        <f ca="1">OFFSET(X40,0,-1)+1</f>
        <v>5</v>
      </c>
      <c r="Y40" s="283">
        <f ca="1">OFFSET(Y40,0,-1)+1</f>
        <v>6</v>
      </c>
      <c r="Z40" s="1011">
        <f ca="1">OFFSET(Z40,0,-1)+1</f>
        <v>7</v>
      </c>
      <c r="AA40" s="1011"/>
      <c r="AB40" s="283">
        <f ca="1">OFFSET(AB40,0,-2)+1</f>
        <v>8</v>
      </c>
      <c r="AC40" s="283">
        <f ca="1">OFFSET(AC40,0,-1)+1</f>
        <v>9</v>
      </c>
      <c r="AD40" s="283">
        <f ca="1">OFFSET(AD40,0,-1)+1</f>
        <v>10</v>
      </c>
      <c r="AE40" s="283">
        <f ca="1">OFFSET(AE40,0,-1)+1</f>
        <v>11</v>
      </c>
      <c r="AF40" s="283">
        <f ca="1">OFFSET(AF40,0,-1)+1</f>
        <v>12</v>
      </c>
      <c r="AG40" s="1011">
        <f ca="1">OFFSET(AG40,0,-1)+1</f>
        <v>13</v>
      </c>
      <c r="AH40" s="1011"/>
      <c r="AI40" s="283">
        <f ca="1">OFFSET(AI40,0,-2)+1</f>
        <v>14</v>
      </c>
      <c r="AJ40" s="282">
        <f ca="1">OFFSET(AJ40,0,-1)</f>
        <v>14</v>
      </c>
      <c r="AK40" s="283">
        <f ca="1">OFFSET(AK40,0,-1)+1</f>
        <v>15</v>
      </c>
      <c r="AQ40" s="189">
        <v>0</v>
      </c>
    </row>
    <row r="41" spans="1:43" ht="24" customHeight="1">
      <c r="A41" s="284" t="s">
        <v>154</v>
      </c>
      <c r="E41" s="1000">
        <v>1</v>
      </c>
      <c r="R41" s="225"/>
      <c r="S41" s="226">
        <f>INDEX(PT_DIFFERENTIATION_NUM_NTAR,MATCH(A41,PT_DIFFERENTIATION_NTAR_ID,0))</f>
        <v>0</v>
      </c>
      <c r="T41" s="227" t="s">
        <v>48</v>
      </c>
      <c r="U41" s="228"/>
      <c r="V41" s="995"/>
      <c r="W41" s="996"/>
      <c r="X41" s="996"/>
      <c r="Y41" s="996"/>
      <c r="Z41" s="996"/>
      <c r="AA41" s="996"/>
      <c r="AB41" s="997"/>
      <c r="AC41" s="995" t="str">
        <f>INDEX(PT_DIFFERENTIATION_NTAR,MATCH(A41,PT_DIFFERENTIATION_NTAR_ID,0))</f>
        <v/>
      </c>
      <c r="AD41" s="996"/>
      <c r="AE41" s="996"/>
      <c r="AF41" s="996"/>
      <c r="AG41" s="996"/>
      <c r="AH41" s="996"/>
      <c r="AI41" s="996"/>
      <c r="AJ41" s="997"/>
      <c r="AK41"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41" s="29" t="str">
        <f t="shared" ref="AN41:AN53" si="1">IF(T41="","",T41)</f>
        <v>Наименование тарифа</v>
      </c>
      <c r="AQ41" s="3">
        <v>23</v>
      </c>
    </row>
    <row r="42" spans="1:43" ht="24" customHeight="1">
      <c r="A42" s="284" t="s">
        <v>154</v>
      </c>
      <c r="B42" s="284" t="s">
        <v>155</v>
      </c>
      <c r="E42" s="1001"/>
      <c r="F42" s="1000">
        <v>1</v>
      </c>
      <c r="Q42" s="231"/>
      <c r="R42" s="232"/>
      <c r="S42" s="226" t="str">
        <f>INDEX(PT_DIFFERENTIATION_NUM_TER,MATCH(B42,PT_DIFFERENTIATION_TER_ID,0))</f>
        <v>.</v>
      </c>
      <c r="T42" s="233" t="s">
        <v>320</v>
      </c>
      <c r="U42" s="228"/>
      <c r="V42" s="995"/>
      <c r="W42" s="996"/>
      <c r="X42" s="996"/>
      <c r="Y42" s="996"/>
      <c r="Z42" s="996"/>
      <c r="AA42" s="996"/>
      <c r="AB42" s="997"/>
      <c r="AC42" s="995" t="str">
        <f>INDEX(PT_DIFFERENTIATION_TER,MATCH(B42,PT_DIFFERENTIATION_TER_ID,0))</f>
        <v/>
      </c>
      <c r="AD42" s="996"/>
      <c r="AE42" s="996"/>
      <c r="AF42" s="996"/>
      <c r="AG42" s="996"/>
      <c r="AH42" s="996"/>
      <c r="AI42" s="996"/>
      <c r="AJ42" s="997"/>
      <c r="AK42" s="230" t="s">
        <v>321</v>
      </c>
      <c r="AN42" s="29" t="str">
        <f t="shared" si="1"/>
        <v>Территория действия тарифа</v>
      </c>
      <c r="AQ42" s="3">
        <v>23</v>
      </c>
    </row>
    <row r="43" spans="1:43" ht="24" customHeight="1">
      <c r="A43" s="284" t="s">
        <v>154</v>
      </c>
      <c r="B43" s="284" t="s">
        <v>155</v>
      </c>
      <c r="C43" s="284" t="s">
        <v>156</v>
      </c>
      <c r="E43" s="1001"/>
      <c r="F43" s="1001"/>
      <c r="G43" s="1000">
        <v>1</v>
      </c>
      <c r="Q43" s="231"/>
      <c r="R43" s="232"/>
      <c r="S43" s="226" t="str">
        <f>INDEX(PT_DIFFERENTIATION_NUM_CS,MATCH(C43,PT_DIFFERENTIATION_CS_ID,0))</f>
        <v>..</v>
      </c>
      <c r="T43" s="234" t="s">
        <v>404</v>
      </c>
      <c r="U43" s="228"/>
      <c r="V43" s="995"/>
      <c r="W43" s="996"/>
      <c r="X43" s="996"/>
      <c r="Y43" s="996"/>
      <c r="Z43" s="996"/>
      <c r="AA43" s="996"/>
      <c r="AB43" s="997"/>
      <c r="AC43" s="995" t="str">
        <f>INDEX(PT_DIFFERENTIATION_CS,MATCH(C43,PT_DIFFERENTIATION_CS_ID,0))</f>
        <v/>
      </c>
      <c r="AD43" s="996"/>
      <c r="AE43" s="996"/>
      <c r="AF43" s="996"/>
      <c r="AG43" s="996"/>
      <c r="AH43" s="996"/>
      <c r="AI43" s="996"/>
      <c r="AJ43" s="997"/>
      <c r="AK43" s="230" t="s">
        <v>405</v>
      </c>
      <c r="AN43" s="29" t="str">
        <f t="shared" si="1"/>
        <v>Наименование централизованной системы холодного водоснабжения</v>
      </c>
      <c r="AQ43" s="3">
        <v>23</v>
      </c>
    </row>
    <row r="44" spans="1:43" ht="24" customHeight="1">
      <c r="A44" s="284" t="s">
        <v>154</v>
      </c>
      <c r="B44" s="284" t="s">
        <v>155</v>
      </c>
      <c r="C44" s="284" t="s">
        <v>156</v>
      </c>
      <c r="D44" s="284" t="s">
        <v>419</v>
      </c>
      <c r="E44" s="1001"/>
      <c r="F44" s="1001"/>
      <c r="G44" s="1001"/>
      <c r="H44" s="1001"/>
      <c r="I44" s="1002" t="str">
        <f>S43&amp;".1"</f>
        <v>...1</v>
      </c>
      <c r="P44" s="1004">
        <v>1</v>
      </c>
      <c r="R44" s="238"/>
      <c r="S44" s="226" t="str">
        <f>$I44</f>
        <v>...1</v>
      </c>
      <c r="T44" s="239" t="s">
        <v>406</v>
      </c>
      <c r="U44" s="228"/>
      <c r="V44" s="1068"/>
      <c r="W44" s="1069"/>
      <c r="X44" s="1069"/>
      <c r="Y44" s="1069"/>
      <c r="Z44" s="1069"/>
      <c r="AA44" s="1069"/>
      <c r="AB44" s="1070"/>
      <c r="AC44" s="1071"/>
      <c r="AD44" s="1072"/>
      <c r="AE44" s="1072"/>
      <c r="AF44" s="1072"/>
      <c r="AG44" s="1072"/>
      <c r="AH44" s="1072"/>
      <c r="AI44" s="1072"/>
      <c r="AJ44" s="1073"/>
      <c r="AK44" s="230" t="s">
        <v>407</v>
      </c>
      <c r="AN44" s="29" t="str">
        <f t="shared" si="1"/>
        <v>Наименование признака дифференциации</v>
      </c>
      <c r="AQ44" s="3">
        <v>23</v>
      </c>
    </row>
    <row r="45" spans="1:43" ht="24" customHeight="1">
      <c r="A45" s="284" t="s">
        <v>154</v>
      </c>
      <c r="B45" s="284" t="s">
        <v>155</v>
      </c>
      <c r="C45" s="284" t="s">
        <v>156</v>
      </c>
      <c r="D45" s="284" t="s">
        <v>419</v>
      </c>
      <c r="E45" s="1001"/>
      <c r="F45" s="1001"/>
      <c r="G45" s="1001"/>
      <c r="H45" s="1001"/>
      <c r="I45" s="1003"/>
      <c r="J45" s="1002" t="str">
        <f>I44&amp;".1"</f>
        <v>...1.1</v>
      </c>
      <c r="L45" s="237" t="s">
        <v>329</v>
      </c>
      <c r="P45" s="885"/>
      <c r="Q45" s="1004">
        <v>1</v>
      </c>
      <c r="R45" s="240"/>
      <c r="S45" s="226" t="str">
        <f>$J45</f>
        <v>...1.1</v>
      </c>
      <c r="T45" s="241" t="s">
        <v>330</v>
      </c>
      <c r="U45" s="228"/>
      <c r="V45" s="989"/>
      <c r="W45" s="990"/>
      <c r="X45" s="990"/>
      <c r="Y45" s="990"/>
      <c r="Z45" s="990"/>
      <c r="AA45" s="990"/>
      <c r="AB45" s="991"/>
      <c r="AC45" s="989"/>
      <c r="AD45" s="990"/>
      <c r="AE45" s="990"/>
      <c r="AF45" s="990"/>
      <c r="AG45" s="990"/>
      <c r="AH45" s="990"/>
      <c r="AI45" s="990"/>
      <c r="AJ45" s="991"/>
      <c r="AK45" s="317" t="s">
        <v>408</v>
      </c>
      <c r="AN45" s="29" t="str">
        <f t="shared" si="1"/>
        <v>Группа потребителей</v>
      </c>
      <c r="AQ45" s="3">
        <v>23</v>
      </c>
    </row>
    <row r="46" spans="1:43" ht="24" customHeight="1">
      <c r="A46" s="284" t="s">
        <v>154</v>
      </c>
      <c r="B46" s="284" t="s">
        <v>155</v>
      </c>
      <c r="C46" s="284" t="s">
        <v>156</v>
      </c>
      <c r="D46" s="284" t="s">
        <v>419</v>
      </c>
      <c r="E46" s="1001"/>
      <c r="F46" s="1001"/>
      <c r="G46" s="1001"/>
      <c r="H46" s="1001"/>
      <c r="I46" s="1003"/>
      <c r="J46" s="1003"/>
      <c r="K46" s="1002" t="str">
        <f>J45&amp;".1"</f>
        <v>...1.1.1</v>
      </c>
      <c r="P46" s="885"/>
      <c r="Q46" s="885"/>
      <c r="R46" s="240">
        <v>1</v>
      </c>
      <c r="S46" s="226" t="str">
        <f>$K46</f>
        <v>...1.1.1</v>
      </c>
      <c r="T46" s="357"/>
      <c r="U46" s="228"/>
      <c r="V46" s="243"/>
      <c r="W46" s="243"/>
      <c r="X46" s="245"/>
      <c r="Y46" s="1005"/>
      <c r="Z46" s="895" t="s">
        <v>17</v>
      </c>
      <c r="AA46" s="1005"/>
      <c r="AB46" s="895" t="s">
        <v>17</v>
      </c>
      <c r="AC46" s="243"/>
      <c r="AD46" s="243"/>
      <c r="AE46" s="245"/>
      <c r="AF46" s="1005"/>
      <c r="AG46" s="895" t="s">
        <v>17</v>
      </c>
      <c r="AH46" s="1007"/>
      <c r="AI46" s="895" t="s">
        <v>17</v>
      </c>
      <c r="AJ46" s="358"/>
      <c r="AK46" s="10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24" t="e">
        <f ca="1">STRCHECKDATE(V47:AJ47)</f>
        <v>#NAME?</v>
      </c>
      <c r="AN46" s="29" t="str">
        <f t="shared" si="1"/>
        <v/>
      </c>
      <c r="AQ46" s="3">
        <v>23</v>
      </c>
    </row>
    <row r="47" spans="1:43" ht="0" hidden="1" customHeight="1">
      <c r="A47" s="284" t="s">
        <v>154</v>
      </c>
      <c r="B47" s="284" t="s">
        <v>155</v>
      </c>
      <c r="C47" s="284" t="s">
        <v>156</v>
      </c>
      <c r="D47" s="284" t="s">
        <v>419</v>
      </c>
      <c r="E47" s="1001"/>
      <c r="F47" s="1001"/>
      <c r="G47" s="1001"/>
      <c r="H47" s="1001"/>
      <c r="I47" s="1003"/>
      <c r="J47" s="1003"/>
      <c r="K47" s="1002"/>
      <c r="P47" s="885"/>
      <c r="Q47" s="885"/>
      <c r="R47" s="240"/>
      <c r="S47" s="209"/>
      <c r="T47" s="228"/>
      <c r="U47" s="228"/>
      <c r="V47" s="244"/>
      <c r="W47" s="244"/>
      <c r="X47" s="247" t="str">
        <f>Y46&amp;"-"&amp;AA46</f>
        <v>-</v>
      </c>
      <c r="Y47" s="1006"/>
      <c r="Z47" s="895"/>
      <c r="AA47" s="1006"/>
      <c r="AB47" s="895"/>
      <c r="AC47" s="244"/>
      <c r="AD47" s="244"/>
      <c r="AE47" s="247" t="str">
        <f>AF46&amp;"-"&amp;AH46</f>
        <v>-</v>
      </c>
      <c r="AF47" s="1006"/>
      <c r="AG47" s="895"/>
      <c r="AH47" s="1008"/>
      <c r="AI47" s="895"/>
      <c r="AJ47" s="359"/>
      <c r="AK47" s="1074"/>
      <c r="AN47" s="29" t="str">
        <f t="shared" si="1"/>
        <v/>
      </c>
      <c r="AQ47" s="3">
        <v>0</v>
      </c>
    </row>
    <row r="48" spans="1:43" ht="21" customHeight="1">
      <c r="A48" s="284" t="s">
        <v>154</v>
      </c>
      <c r="B48" s="284" t="s">
        <v>155</v>
      </c>
      <c r="C48" s="284" t="s">
        <v>156</v>
      </c>
      <c r="D48" s="284" t="s">
        <v>419</v>
      </c>
      <c r="E48" s="1001"/>
      <c r="F48" s="1001"/>
      <c r="G48" s="1001"/>
      <c r="H48" s="1001"/>
      <c r="I48" s="1003"/>
      <c r="J48" s="1002"/>
      <c r="P48" s="885"/>
      <c r="Q48" s="885"/>
      <c r="R48" s="238"/>
      <c r="S48" s="249"/>
      <c r="T48" s="252" t="s">
        <v>409</v>
      </c>
      <c r="U48" s="54"/>
      <c r="V48" s="54"/>
      <c r="W48" s="54"/>
      <c r="X48" s="54"/>
      <c r="Y48" s="54"/>
      <c r="Z48" s="54"/>
      <c r="AA48" s="54"/>
      <c r="AB48" s="54"/>
      <c r="AC48" s="54"/>
      <c r="AD48" s="54"/>
      <c r="AE48" s="54"/>
      <c r="AF48" s="54"/>
      <c r="AG48" s="54"/>
      <c r="AH48" s="54"/>
      <c r="AI48" s="54"/>
      <c r="AJ48" s="54"/>
      <c r="AK48" s="230" t="s">
        <v>410</v>
      </c>
      <c r="AN48" s="29" t="str">
        <f t="shared" si="1"/>
        <v>Добавить значение признака дифференциации</v>
      </c>
      <c r="AQ48" s="3">
        <v>20</v>
      </c>
    </row>
    <row r="49" spans="1:43" ht="21.95" customHeight="1">
      <c r="A49" s="284" t="s">
        <v>154</v>
      </c>
      <c r="B49" s="284" t="s">
        <v>155</v>
      </c>
      <c r="C49" s="284" t="s">
        <v>156</v>
      </c>
      <c r="D49" s="284" t="s">
        <v>419</v>
      </c>
      <c r="E49" s="1001"/>
      <c r="F49" s="1001"/>
      <c r="G49" s="1001"/>
      <c r="H49" s="1001"/>
      <c r="I49" s="1002"/>
      <c r="P49" s="885"/>
      <c r="R49" s="238"/>
      <c r="S49" s="249"/>
      <c r="T49" s="255" t="s">
        <v>335</v>
      </c>
      <c r="U49" s="54"/>
      <c r="V49" s="54"/>
      <c r="W49" s="54"/>
      <c r="X49" s="54"/>
      <c r="Y49" s="54"/>
      <c r="Z49" s="54"/>
      <c r="AA49" s="54"/>
      <c r="AB49" s="253"/>
      <c r="AC49" s="54"/>
      <c r="AD49" s="54"/>
      <c r="AE49" s="54"/>
      <c r="AF49" s="54"/>
      <c r="AG49" s="54"/>
      <c r="AH49" s="54"/>
      <c r="AI49" s="253"/>
      <c r="AJ49" s="54"/>
      <c r="AK49" s="360"/>
      <c r="AN49" s="29" t="str">
        <f t="shared" si="1"/>
        <v>Добавить группу потребителей</v>
      </c>
      <c r="AQ49" s="3">
        <v>21</v>
      </c>
    </row>
    <row r="50" spans="1:43" ht="21.95" customHeight="1">
      <c r="A50" s="284" t="s">
        <v>154</v>
      </c>
      <c r="B50" s="284" t="s">
        <v>155</v>
      </c>
      <c r="C50" s="284" t="s">
        <v>156</v>
      </c>
      <c r="D50" s="284" t="s">
        <v>419</v>
      </c>
      <c r="E50" s="1001"/>
      <c r="F50" s="1001"/>
      <c r="G50" s="1001"/>
      <c r="H50" s="1000"/>
      <c r="R50" s="225"/>
      <c r="S50" s="249"/>
      <c r="T50" s="361" t="s">
        <v>411</v>
      </c>
      <c r="U50" s="54"/>
      <c r="V50" s="54"/>
      <c r="W50" s="54"/>
      <c r="X50" s="54"/>
      <c r="Y50" s="54"/>
      <c r="Z50" s="54"/>
      <c r="AA50" s="54"/>
      <c r="AB50" s="253"/>
      <c r="AC50" s="54"/>
      <c r="AD50" s="54"/>
      <c r="AE50" s="54"/>
      <c r="AF50" s="54"/>
      <c r="AG50" s="54"/>
      <c r="AH50" s="54"/>
      <c r="AI50" s="253"/>
      <c r="AJ50" s="54"/>
      <c r="AK50" s="254"/>
      <c r="AN50" s="29" t="str">
        <f t="shared" si="1"/>
        <v>Добавить наименование признака дифференциации</v>
      </c>
      <c r="AQ50" s="3">
        <v>21</v>
      </c>
    </row>
    <row r="51" spans="1:43" ht="0" hidden="1" customHeight="1">
      <c r="A51" s="21" t="s">
        <v>154</v>
      </c>
      <c r="B51" s="21" t="s">
        <v>155</v>
      </c>
      <c r="E51" s="1001"/>
      <c r="F51" s="1000"/>
      <c r="T51" s="260" t="s">
        <v>338</v>
      </c>
      <c r="AN51" s="29" t="str">
        <f t="shared" si="1"/>
        <v>Добавить централизованную систему для дифференциации</v>
      </c>
      <c r="AQ51" s="24">
        <v>0</v>
      </c>
    </row>
    <row r="52" spans="1:43" ht="0" hidden="1" customHeight="1">
      <c r="A52" s="21" t="s">
        <v>154</v>
      </c>
      <c r="E52" s="1000"/>
      <c r="T52" s="260" t="s">
        <v>339</v>
      </c>
      <c r="AN52" s="29" t="str">
        <f t="shared" si="1"/>
        <v>Добавить территорию для дифференциации</v>
      </c>
      <c r="AQ52" s="24">
        <v>0</v>
      </c>
    </row>
    <row r="53" spans="1:43" ht="0" hidden="1" customHeight="1">
      <c r="T53" s="260" t="s">
        <v>371</v>
      </c>
      <c r="AN53" s="29" t="str">
        <f t="shared" si="1"/>
        <v>Добавить наименование тарифа</v>
      </c>
      <c r="AQ53" s="24">
        <v>0</v>
      </c>
    </row>
    <row r="54" spans="1:43" ht="11.45" customHeight="1">
      <c r="AQ54" s="3">
        <v>11</v>
      </c>
    </row>
    <row r="55" spans="1:43" ht="14.65" customHeight="1">
      <c r="T55" s="885"/>
      <c r="U55" s="885"/>
      <c r="V55" s="885"/>
      <c r="W55" s="885"/>
      <c r="X55" s="885"/>
      <c r="Y55" s="885"/>
      <c r="Z55" s="885"/>
      <c r="AA55" s="885"/>
      <c r="AB55" s="885"/>
      <c r="AC55" s="885"/>
      <c r="AD55" s="885"/>
      <c r="AE55" s="885"/>
      <c r="AF55" s="885"/>
      <c r="AG55" s="885"/>
      <c r="AH55" s="885"/>
      <c r="AI55" s="885"/>
      <c r="AJ55" s="885"/>
      <c r="AK55" s="885"/>
      <c r="AQ55" s="3">
        <v>14</v>
      </c>
    </row>
    <row r="56" spans="1:43" ht="14.65" customHeight="1">
      <c r="AQ56" s="3">
        <v>14</v>
      </c>
    </row>
    <row r="57" spans="1:43" ht="14.65" customHeight="1">
      <c r="T57" s="885"/>
      <c r="U57" s="885"/>
      <c r="V57" s="885"/>
      <c r="W57" s="885"/>
      <c r="X57" s="885"/>
      <c r="Y57" s="885"/>
      <c r="Z57" s="885"/>
      <c r="AA57" s="885"/>
      <c r="AB57" s="885"/>
      <c r="AC57" s="885"/>
      <c r="AD57" s="885"/>
      <c r="AE57" s="885"/>
      <c r="AF57" s="885"/>
      <c r="AG57" s="885"/>
      <c r="AH57" s="885"/>
      <c r="AI57" s="885"/>
      <c r="AJ57" s="885"/>
      <c r="AK57" s="885"/>
      <c r="AQ57" s="3">
        <v>14</v>
      </c>
    </row>
    <row r="58" spans="1:43" ht="22.5" hidden="1" customHeight="1">
      <c r="A58" s="11" t="s">
        <v>18</v>
      </c>
      <c r="B58" s="11">
        <v>0</v>
      </c>
      <c r="C58" s="11">
        <v>0</v>
      </c>
      <c r="D58" s="11">
        <v>0</v>
      </c>
      <c r="E58" s="11">
        <v>0</v>
      </c>
      <c r="F58" s="11">
        <v>0</v>
      </c>
      <c r="G58" s="11">
        <v>0</v>
      </c>
      <c r="H58" s="11">
        <v>0</v>
      </c>
      <c r="I58" s="11">
        <v>0</v>
      </c>
      <c r="J58" s="11">
        <v>0</v>
      </c>
      <c r="K58" s="11">
        <v>0</v>
      </c>
      <c r="L58" s="171">
        <v>0</v>
      </c>
      <c r="M58" s="13">
        <v>0</v>
      </c>
      <c r="N58" s="13">
        <v>0</v>
      </c>
      <c r="O58" s="13">
        <v>0</v>
      </c>
      <c r="P58" s="287">
        <v>3</v>
      </c>
      <c r="Q58" s="288">
        <v>3</v>
      </c>
      <c r="R58" s="288">
        <v>3</v>
      </c>
      <c r="S58" s="9">
        <v>12</v>
      </c>
      <c r="T58" s="3">
        <v>35</v>
      </c>
      <c r="U58" s="3">
        <v>0</v>
      </c>
      <c r="V58" s="3">
        <v>0</v>
      </c>
      <c r="W58" s="3">
        <v>0</v>
      </c>
      <c r="X58" s="3">
        <v>0</v>
      </c>
      <c r="Y58" s="3">
        <v>0</v>
      </c>
      <c r="Z58" s="3">
        <v>0</v>
      </c>
      <c r="AA58" s="3">
        <v>0</v>
      </c>
      <c r="AB58" s="3">
        <v>0</v>
      </c>
      <c r="AC58" s="3">
        <v>24</v>
      </c>
      <c r="AD58" s="3">
        <v>24</v>
      </c>
      <c r="AE58" s="3">
        <v>24</v>
      </c>
      <c r="AF58" s="3">
        <v>11</v>
      </c>
      <c r="AG58" s="3">
        <v>3</v>
      </c>
      <c r="AH58" s="3">
        <v>11</v>
      </c>
      <c r="AI58" s="3">
        <v>0</v>
      </c>
      <c r="AJ58" s="3">
        <v>4</v>
      </c>
      <c r="AK58" s="3">
        <v>115</v>
      </c>
      <c r="AL58" s="24">
        <v>10</v>
      </c>
      <c r="AM58" s="24">
        <v>10</v>
      </c>
      <c r="AN58" s="24">
        <v>10</v>
      </c>
      <c r="AO58" s="24">
        <v>10</v>
      </c>
      <c r="AP58" s="24">
        <v>10</v>
      </c>
      <c r="AQ58" s="3">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4.140625" hidden="1" customWidth="1"/>
    <col min="10" max="10" width="9.85546875" hidden="1" customWidth="1"/>
    <col min="11" max="11" width="14.710937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4" width="24.7109375" hidden="1" customWidth="1"/>
    <col min="25" max="25" width="11.7109375" hidden="1" customWidth="1"/>
    <col min="26" max="26" width="3.7109375" hidden="1" customWidth="1"/>
    <col min="27" max="27" width="11.7109375" hidden="1" customWidth="1"/>
    <col min="28" max="28" width="8.5703125" hidden="1" customWidth="1"/>
    <col min="29" max="29" width="24.7109375" customWidth="1"/>
    <col min="30" max="31" width="24" customWidth="1"/>
    <col min="32" max="32" width="11" customWidth="1"/>
    <col min="33" max="33" width="3.7109375" customWidth="1"/>
    <col min="34" max="34" width="11" customWidth="1"/>
    <col min="35" max="35" width="8.5703125" hidden="1" customWidth="1"/>
    <col min="36" max="36" width="4" customWidth="1"/>
    <col min="37" max="37" width="115" customWidth="1"/>
    <col min="38" max="42" width="10" customWidth="1"/>
    <col min="43" max="43" width="10.5703125" hidden="1"/>
  </cols>
  <sheetData>
    <row r="1" spans="5:43" ht="22.5" hidden="1" customHeight="1">
      <c r="AQ1" s="3" t="s">
        <v>1</v>
      </c>
    </row>
    <row r="2" spans="5:43" ht="23.25" hidden="1" customHeight="1">
      <c r="E2" s="1000">
        <v>1</v>
      </c>
      <c r="R2" s="225"/>
      <c r="S2" s="226" t="e">
        <f>INDEX(PT_DIFFERENTIATION_NUM_NTAR,MATCH(A2,PT_DIFFERENTIATION_NTAR_ID,0))</f>
        <v>#N/A</v>
      </c>
      <c r="T2" s="227" t="s">
        <v>48</v>
      </c>
      <c r="U2" s="228"/>
      <c r="V2" s="995"/>
      <c r="W2" s="996"/>
      <c r="X2" s="996"/>
      <c r="Y2" s="996"/>
      <c r="Z2" s="996"/>
      <c r="AA2" s="996"/>
      <c r="AB2" s="997"/>
      <c r="AC2" s="995" t="e">
        <f>INDEX(PT_DIFFERENTIATION_NTAR,MATCH(A2,PT_DIFFERENTIATION_NTAR_ID,0))</f>
        <v>#N/A</v>
      </c>
      <c r="AD2" s="996"/>
      <c r="AE2" s="996"/>
      <c r="AF2" s="996"/>
      <c r="AG2" s="996"/>
      <c r="AH2" s="996"/>
      <c r="AI2" s="996"/>
      <c r="AJ2" s="997"/>
      <c r="AK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2" s="29" t="str">
        <f t="shared" ref="AN2:AN13" si="0">IF(T2="","",T2)</f>
        <v>Наименование тарифа</v>
      </c>
      <c r="AQ2" s="3">
        <v>0</v>
      </c>
    </row>
    <row r="3" spans="5:43" ht="23.25" hidden="1" customHeight="1">
      <c r="E3" s="1001"/>
      <c r="F3" s="1000">
        <v>1</v>
      </c>
      <c r="Q3" s="231"/>
      <c r="R3" s="232"/>
      <c r="S3" s="226" t="e">
        <f>INDEX(PT_DIFFERENTIATION_NUM_TER,MATCH(B3,PT_DIFFERENTIATION_TER_ID,0))</f>
        <v>#N/A</v>
      </c>
      <c r="T3" s="233" t="s">
        <v>320</v>
      </c>
      <c r="U3" s="228"/>
      <c r="V3" s="995"/>
      <c r="W3" s="996"/>
      <c r="X3" s="996"/>
      <c r="Y3" s="996"/>
      <c r="Z3" s="996"/>
      <c r="AA3" s="996"/>
      <c r="AB3" s="997"/>
      <c r="AC3" s="995" t="e">
        <f>INDEX(PT_DIFFERENTIATION_TER,MATCH(B3,PT_DIFFERENTIATION_TER_ID,0))</f>
        <v>#N/A</v>
      </c>
      <c r="AD3" s="996"/>
      <c r="AE3" s="996"/>
      <c r="AF3" s="996"/>
      <c r="AG3" s="996"/>
      <c r="AH3" s="996"/>
      <c r="AI3" s="996"/>
      <c r="AJ3" s="997"/>
      <c r="AK3" s="230" t="s">
        <v>321</v>
      </c>
      <c r="AN3" s="29" t="str">
        <f t="shared" si="0"/>
        <v>Территория действия тарифа</v>
      </c>
      <c r="AQ3" s="3">
        <v>0</v>
      </c>
    </row>
    <row r="4" spans="5:43" ht="23.25" hidden="1" customHeight="1">
      <c r="E4" s="1001"/>
      <c r="F4" s="1001"/>
      <c r="G4" s="1000">
        <v>1</v>
      </c>
      <c r="Q4" s="231"/>
      <c r="R4" s="232"/>
      <c r="S4" s="226" t="e">
        <f>INDEX(PT_DIFFERENTIATION_NUM_CS,MATCH(C4,PT_DIFFERENTIATION_CS_ID,0))</f>
        <v>#N/A</v>
      </c>
      <c r="T4" s="234" t="s">
        <v>404</v>
      </c>
      <c r="U4" s="228"/>
      <c r="V4" s="995"/>
      <c r="W4" s="996"/>
      <c r="X4" s="996"/>
      <c r="Y4" s="996"/>
      <c r="Z4" s="996"/>
      <c r="AA4" s="996"/>
      <c r="AB4" s="997"/>
      <c r="AC4" s="995" t="e">
        <f>INDEX(PT_DIFFERENTIATION_CS,MATCH(C4,PT_DIFFERENTIATION_CS_ID,0))</f>
        <v>#N/A</v>
      </c>
      <c r="AD4" s="996"/>
      <c r="AE4" s="996"/>
      <c r="AF4" s="996"/>
      <c r="AG4" s="996"/>
      <c r="AH4" s="996"/>
      <c r="AI4" s="996"/>
      <c r="AJ4" s="997"/>
      <c r="AK4" s="230" t="s">
        <v>405</v>
      </c>
      <c r="AN4" s="29" t="str">
        <f t="shared" si="0"/>
        <v>Наименование централизованной системы холодного водоснабжения</v>
      </c>
      <c r="AQ4" s="3">
        <v>0</v>
      </c>
    </row>
    <row r="5" spans="5:43" ht="23.25" hidden="1" customHeight="1">
      <c r="E5" s="1001"/>
      <c r="F5" s="1001"/>
      <c r="G5" s="1001"/>
      <c r="H5" s="1001"/>
      <c r="I5" s="1002" t="e">
        <f>S4&amp;".1"</f>
        <v>#N/A</v>
      </c>
      <c r="P5" s="1004">
        <v>1</v>
      </c>
      <c r="R5" s="238"/>
      <c r="S5" s="226" t="e">
        <f>$I5</f>
        <v>#N/A</v>
      </c>
      <c r="T5" s="239" t="s">
        <v>406</v>
      </c>
      <c r="U5" s="228"/>
      <c r="V5" s="1068"/>
      <c r="W5" s="1069"/>
      <c r="X5" s="1069"/>
      <c r="Y5" s="1069"/>
      <c r="Z5" s="1069"/>
      <c r="AA5" s="1069"/>
      <c r="AB5" s="1070"/>
      <c r="AC5" s="1071"/>
      <c r="AD5" s="1072"/>
      <c r="AE5" s="1072"/>
      <c r="AF5" s="1072"/>
      <c r="AG5" s="1072"/>
      <c r="AH5" s="1072"/>
      <c r="AI5" s="1072"/>
      <c r="AJ5" s="1073"/>
      <c r="AK5" s="230" t="s">
        <v>407</v>
      </c>
      <c r="AN5" s="29" t="str">
        <f t="shared" si="0"/>
        <v>Наименование признака дифференциации</v>
      </c>
      <c r="AQ5" s="3">
        <v>0</v>
      </c>
    </row>
    <row r="6" spans="5:43" ht="23.25" hidden="1" customHeight="1">
      <c r="E6" s="1001"/>
      <c r="F6" s="1001"/>
      <c r="G6" s="1001"/>
      <c r="H6" s="1001"/>
      <c r="I6" s="1003"/>
      <c r="J6" s="1002" t="e">
        <f>I5&amp;".1"</f>
        <v>#N/A</v>
      </c>
      <c r="L6" s="237" t="s">
        <v>329</v>
      </c>
      <c r="P6" s="885"/>
      <c r="Q6" s="1004">
        <v>1</v>
      </c>
      <c r="R6" s="240"/>
      <c r="S6" s="226" t="e">
        <f>$J6</f>
        <v>#N/A</v>
      </c>
      <c r="T6" s="241" t="s">
        <v>330</v>
      </c>
      <c r="U6" s="228"/>
      <c r="V6" s="989"/>
      <c r="W6" s="990"/>
      <c r="X6" s="990"/>
      <c r="Y6" s="990"/>
      <c r="Z6" s="990"/>
      <c r="AA6" s="990"/>
      <c r="AB6" s="991"/>
      <c r="AC6" s="989"/>
      <c r="AD6" s="990"/>
      <c r="AE6" s="990"/>
      <c r="AF6" s="990"/>
      <c r="AG6" s="990"/>
      <c r="AH6" s="990"/>
      <c r="AI6" s="990"/>
      <c r="AJ6" s="991"/>
      <c r="AK6" s="317" t="s">
        <v>408</v>
      </c>
      <c r="AN6" s="29" t="str">
        <f t="shared" si="0"/>
        <v>Группа потребителей</v>
      </c>
      <c r="AQ6" s="3">
        <v>0</v>
      </c>
    </row>
    <row r="7" spans="5:43" ht="23.25" hidden="1" customHeight="1">
      <c r="E7" s="1001"/>
      <c r="F7" s="1001"/>
      <c r="G7" s="1001"/>
      <c r="H7" s="1001"/>
      <c r="I7" s="1003"/>
      <c r="J7" s="1003"/>
      <c r="K7" s="1002" t="e">
        <f>J6&amp;".1"</f>
        <v>#N/A</v>
      </c>
      <c r="P7" s="885"/>
      <c r="Q7" s="885"/>
      <c r="R7" s="240">
        <v>1</v>
      </c>
      <c r="S7" s="226" t="e">
        <f>$K7</f>
        <v>#N/A</v>
      </c>
      <c r="T7" s="357"/>
      <c r="U7" s="228"/>
      <c r="V7" s="243"/>
      <c r="W7" s="243"/>
      <c r="X7" s="245"/>
      <c r="Y7" s="1005"/>
      <c r="Z7" s="895" t="s">
        <v>17</v>
      </c>
      <c r="AA7" s="1005"/>
      <c r="AB7" s="895" t="s">
        <v>17</v>
      </c>
      <c r="AC7" s="243"/>
      <c r="AD7" s="243"/>
      <c r="AE7" s="245"/>
      <c r="AF7" s="1005"/>
      <c r="AG7" s="895" t="s">
        <v>17</v>
      </c>
      <c r="AH7" s="1007"/>
      <c r="AI7" s="895" t="s">
        <v>17</v>
      </c>
      <c r="AJ7" s="358"/>
      <c r="AK7" s="10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24" t="e">
        <f ca="1">STRCHECKDATE(V8:AJ8)</f>
        <v>#NAME?</v>
      </c>
      <c r="AN7" s="29" t="str">
        <f t="shared" si="0"/>
        <v/>
      </c>
      <c r="AQ7" s="3">
        <v>0</v>
      </c>
    </row>
    <row r="8" spans="5:43" ht="14.25" hidden="1" customHeight="1">
      <c r="E8" s="1001"/>
      <c r="F8" s="1001"/>
      <c r="G8" s="1001"/>
      <c r="H8" s="1001"/>
      <c r="I8" s="1003"/>
      <c r="J8" s="1003"/>
      <c r="K8" s="1002"/>
      <c r="P8" s="885"/>
      <c r="Q8" s="885"/>
      <c r="R8" s="240"/>
      <c r="S8" s="209"/>
      <c r="T8" s="228"/>
      <c r="U8" s="228"/>
      <c r="V8" s="244"/>
      <c r="W8" s="244"/>
      <c r="X8" s="247" t="str">
        <f>Y7&amp;"-"&amp;AA7</f>
        <v>-</v>
      </c>
      <c r="Y8" s="1006"/>
      <c r="Z8" s="895"/>
      <c r="AA8" s="1006"/>
      <c r="AB8" s="895"/>
      <c r="AC8" s="244"/>
      <c r="AD8" s="244"/>
      <c r="AE8" s="247" t="str">
        <f>AF7&amp;"-"&amp;AH7</f>
        <v>-</v>
      </c>
      <c r="AF8" s="1006"/>
      <c r="AG8" s="895"/>
      <c r="AH8" s="1008"/>
      <c r="AI8" s="895"/>
      <c r="AJ8" s="359"/>
      <c r="AK8" s="1074"/>
      <c r="AN8" s="29" t="str">
        <f t="shared" si="0"/>
        <v/>
      </c>
      <c r="AQ8" s="3">
        <v>0</v>
      </c>
    </row>
    <row r="9" spans="5:43" ht="21" hidden="1" customHeight="1">
      <c r="E9" s="1001"/>
      <c r="F9" s="1001"/>
      <c r="G9" s="1001"/>
      <c r="H9" s="1001"/>
      <c r="I9" s="1003"/>
      <c r="J9" s="1002"/>
      <c r="P9" s="885"/>
      <c r="Q9" s="885"/>
      <c r="R9" s="238"/>
      <c r="S9" s="249"/>
      <c r="T9" s="252" t="s">
        <v>409</v>
      </c>
      <c r="U9" s="54"/>
      <c r="V9" s="54"/>
      <c r="W9" s="54"/>
      <c r="X9" s="54"/>
      <c r="Y9" s="54"/>
      <c r="Z9" s="54"/>
      <c r="AA9" s="54"/>
      <c r="AB9" s="54"/>
      <c r="AC9" s="54"/>
      <c r="AD9" s="54"/>
      <c r="AE9" s="54"/>
      <c r="AF9" s="54"/>
      <c r="AG9" s="54"/>
      <c r="AH9" s="54"/>
      <c r="AI9" s="54"/>
      <c r="AJ9" s="54"/>
      <c r="AK9" s="230" t="s">
        <v>410</v>
      </c>
      <c r="AN9" s="29" t="str">
        <f t="shared" si="0"/>
        <v>Добавить значение признака дифференциации</v>
      </c>
      <c r="AQ9" s="3">
        <v>0</v>
      </c>
    </row>
    <row r="10" spans="5:43" ht="21" hidden="1" customHeight="1">
      <c r="E10" s="1001"/>
      <c r="F10" s="1001"/>
      <c r="G10" s="1001"/>
      <c r="H10" s="1001"/>
      <c r="I10" s="1002"/>
      <c r="P10" s="885"/>
      <c r="R10" s="238"/>
      <c r="S10" s="249"/>
      <c r="T10" s="255" t="s">
        <v>335</v>
      </c>
      <c r="U10" s="54"/>
      <c r="V10" s="54"/>
      <c r="W10" s="54"/>
      <c r="X10" s="54"/>
      <c r="Y10" s="54"/>
      <c r="Z10" s="54"/>
      <c r="AA10" s="54"/>
      <c r="AB10" s="253"/>
      <c r="AC10" s="54"/>
      <c r="AD10" s="54"/>
      <c r="AE10" s="54"/>
      <c r="AF10" s="54"/>
      <c r="AG10" s="54"/>
      <c r="AH10" s="54"/>
      <c r="AI10" s="253"/>
      <c r="AJ10" s="54"/>
      <c r="AK10" s="360"/>
      <c r="AN10" s="29" t="str">
        <f t="shared" si="0"/>
        <v>Добавить группу потребителей</v>
      </c>
      <c r="AQ10" s="3">
        <v>0</v>
      </c>
    </row>
    <row r="11" spans="5:43" ht="21" hidden="1" customHeight="1">
      <c r="E11" s="1001"/>
      <c r="F11" s="1001"/>
      <c r="G11" s="1001"/>
      <c r="H11" s="1000"/>
      <c r="R11" s="225"/>
      <c r="S11" s="249"/>
      <c r="T11" s="361" t="s">
        <v>411</v>
      </c>
      <c r="U11" s="54"/>
      <c r="V11" s="54"/>
      <c r="W11" s="54"/>
      <c r="X11" s="54"/>
      <c r="Y11" s="54"/>
      <c r="Z11" s="54"/>
      <c r="AA11" s="54"/>
      <c r="AB11" s="253"/>
      <c r="AC11" s="54"/>
      <c r="AD11" s="54"/>
      <c r="AE11" s="54"/>
      <c r="AF11" s="54"/>
      <c r="AG11" s="54"/>
      <c r="AH11" s="54"/>
      <c r="AI11" s="253"/>
      <c r="AJ11" s="54"/>
      <c r="AK11" s="254"/>
      <c r="AN11" s="29" t="str">
        <f t="shared" si="0"/>
        <v>Добавить наименование признака дифференциации</v>
      </c>
      <c r="AQ11" s="3">
        <v>0</v>
      </c>
    </row>
    <row r="12" spans="5:43" ht="14.25" hidden="1" customHeight="1">
      <c r="E12" s="1001"/>
      <c r="F12" s="1000"/>
      <c r="T12" s="260" t="s">
        <v>338</v>
      </c>
      <c r="AN12" s="29" t="str">
        <f t="shared" si="0"/>
        <v>Добавить централизованную систему для дифференциации</v>
      </c>
      <c r="AQ12" s="24">
        <v>0</v>
      </c>
    </row>
    <row r="13" spans="5:43" ht="14.25" hidden="1" customHeight="1">
      <c r="E13" s="1000"/>
      <c r="T13" s="260" t="s">
        <v>339</v>
      </c>
      <c r="AN13" s="29" t="str">
        <f t="shared" si="0"/>
        <v>Добавить территорию для дифференциации</v>
      </c>
      <c r="AQ13" s="24">
        <v>0</v>
      </c>
    </row>
    <row r="14" spans="5:43" ht="14.25" hidden="1" customHeight="1">
      <c r="AQ14" s="3">
        <v>0</v>
      </c>
    </row>
    <row r="15" spans="5:43" ht="14.25" hidden="1" customHeight="1">
      <c r="AC15" s="261"/>
      <c r="AD15" s="261"/>
      <c r="AE15" s="262"/>
      <c r="AF15" s="999"/>
      <c r="AG15" s="998" t="s">
        <v>17</v>
      </c>
      <c r="AH15" s="999"/>
      <c r="AI15" s="998" t="s">
        <v>17</v>
      </c>
      <c r="AQ15" s="3">
        <v>0</v>
      </c>
    </row>
    <row r="16" spans="5:43" ht="14.25" hidden="1" customHeight="1">
      <c r="AC16" s="261"/>
      <c r="AD16" s="261"/>
      <c r="AE16" s="247" t="str">
        <f>AF15&amp;"-"&amp;AH15</f>
        <v>-</v>
      </c>
      <c r="AF16" s="998"/>
      <c r="AG16" s="998"/>
      <c r="AH16" s="998"/>
      <c r="AI16" s="998"/>
      <c r="AQ16" s="3">
        <v>0</v>
      </c>
    </row>
    <row r="17" spans="15:43" ht="14.25" hidden="1" customHeight="1">
      <c r="AQ17" s="3">
        <v>0</v>
      </c>
    </row>
    <row r="18" spans="15:43" ht="22.5" hidden="1" customHeight="1">
      <c r="O18" s="263" t="s">
        <v>340</v>
      </c>
      <c r="Y18" s="263"/>
      <c r="AA18" s="263"/>
      <c r="AF18" s="263"/>
      <c r="AH18" s="263"/>
      <c r="AQ18" s="11">
        <v>0</v>
      </c>
    </row>
    <row r="19" spans="15:43" ht="14.25" hidden="1" customHeight="1">
      <c r="AQ19" s="11">
        <v>0</v>
      </c>
    </row>
    <row r="20" spans="15:43" ht="12" hidden="1" customHeight="1">
      <c r="O20" s="237" t="s">
        <v>341</v>
      </c>
      <c r="T20" s="11" t="s">
        <v>342</v>
      </c>
      <c r="Z20" s="60" t="s">
        <v>343</v>
      </c>
      <c r="AB20" s="60" t="s">
        <v>344</v>
      </c>
      <c r="AC20" s="11" t="s">
        <v>342</v>
      </c>
      <c r="AG20" s="60" t="s">
        <v>345</v>
      </c>
      <c r="AI20" s="60" t="s">
        <v>344</v>
      </c>
      <c r="AQ20" s="11">
        <v>0</v>
      </c>
    </row>
    <row r="21" spans="15:43" ht="14.25" hidden="1" customHeight="1">
      <c r="AQ21" s="3">
        <v>0</v>
      </c>
    </row>
    <row r="22" spans="15:43" ht="14.25" hidden="1" customHeight="1">
      <c r="AQ22" s="3">
        <v>0</v>
      </c>
    </row>
    <row r="23" spans="15:43" ht="14.65" customHeight="1">
      <c r="Q23" s="264"/>
      <c r="R23" s="264"/>
      <c r="S23" s="265"/>
      <c r="T23" s="12"/>
      <c r="U23" s="12"/>
      <c r="AQ23" s="3">
        <v>14</v>
      </c>
    </row>
    <row r="24" spans="15:43" ht="14.65" customHeight="1">
      <c r="Q24" s="264"/>
      <c r="R24" s="264"/>
      <c r="S24" s="98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982"/>
      <c r="U24" s="982"/>
      <c r="V24" s="982"/>
      <c r="W24" s="982"/>
      <c r="X24" s="982"/>
      <c r="Y24" s="982"/>
      <c r="Z24" s="982"/>
      <c r="AA24" s="982"/>
      <c r="AB24" s="982"/>
      <c r="AC24" s="982"/>
      <c r="AD24" s="982"/>
      <c r="AE24" s="982"/>
      <c r="AF24" s="982"/>
      <c r="AG24" s="982"/>
      <c r="AH24" s="982"/>
      <c r="AQ24" s="3">
        <v>14</v>
      </c>
    </row>
    <row r="25" spans="15:43" ht="14.65" customHeight="1">
      <c r="Q25" s="264"/>
      <c r="R25" s="264"/>
      <c r="S25" s="955" t="e">
        <f>IF(org=0,"Не определено",org)</f>
        <v>#REF!</v>
      </c>
      <c r="T25" s="955"/>
      <c r="U25" s="955"/>
      <c r="V25" s="955"/>
      <c r="W25" s="955"/>
      <c r="X25" s="955"/>
      <c r="Y25" s="955"/>
      <c r="Z25" s="955"/>
      <c r="AA25" s="955"/>
      <c r="AB25" s="955"/>
      <c r="AC25" s="955"/>
      <c r="AD25" s="955"/>
      <c r="AE25" s="955"/>
      <c r="AF25" s="955"/>
      <c r="AG25" s="955"/>
      <c r="AH25" s="955"/>
      <c r="AQ25" s="3">
        <v>14</v>
      </c>
    </row>
    <row r="26" spans="15:43" ht="14.25" hidden="1" customHeight="1">
      <c r="Q26" s="264"/>
      <c r="R26" s="264"/>
      <c r="S26" s="265"/>
      <c r="T26" s="12"/>
      <c r="U26" s="12"/>
      <c r="V26" s="266"/>
      <c r="W26" s="266"/>
      <c r="X26" s="266"/>
      <c r="Y26" s="266"/>
      <c r="Z26" s="266"/>
      <c r="AA26" s="266"/>
      <c r="AB26" s="266"/>
      <c r="AC26" s="266"/>
      <c r="AD26" s="266"/>
      <c r="AE26" s="266"/>
      <c r="AF26" s="266"/>
      <c r="AG26" s="266"/>
      <c r="AH26" s="266"/>
      <c r="AI26" s="266"/>
      <c r="AQ26" s="3">
        <v>0</v>
      </c>
    </row>
    <row r="27" spans="15:43" ht="25.5" hidden="1" customHeight="1">
      <c r="S27" s="992" t="s">
        <v>9</v>
      </c>
      <c r="T27" s="992"/>
      <c r="U27" s="268"/>
      <c r="V27" s="994" t="e">
        <f>IF(TITLE_NAME_OR_PR_CHANGE="",IF(TITLE_NAME_OR_PR="","",TITLE_NAME_OR_PR),TITLE_NAME_OR_PR_CHANGE)</f>
        <v>#REF!</v>
      </c>
      <c r="W27" s="994"/>
      <c r="X27" s="994"/>
      <c r="Y27" s="994"/>
      <c r="Z27" s="994"/>
      <c r="AA27" s="994"/>
      <c r="AC27" s="994" t="e">
        <f>IF(TITLE_NAME_OR_PR_CHANGE="",IF(TITLE_NAME_OR_PR="","",TITLE_NAME_OR_PR),TITLE_NAME_OR_PR_CHANGE)</f>
        <v>#REF!</v>
      </c>
      <c r="AD27" s="994"/>
      <c r="AE27" s="994"/>
      <c r="AF27" s="994"/>
      <c r="AG27" s="994"/>
      <c r="AH27" s="994"/>
      <c r="AQ27" s="50">
        <v>0</v>
      </c>
    </row>
    <row r="28" spans="15:43" ht="18.75" hidden="1" customHeight="1">
      <c r="S28" s="992" t="s">
        <v>346</v>
      </c>
      <c r="T28" s="992"/>
      <c r="U28" s="268"/>
      <c r="V28" s="993" t="e">
        <f>IF(TITLE_DATE_PR_CHANGE="",IF(TITLE_DATE_PR="","",TITLE_DATE_PR),TITLE_DATE_PR_CHANGE)</f>
        <v>#REF!</v>
      </c>
      <c r="W28" s="993"/>
      <c r="X28" s="993"/>
      <c r="Y28" s="993"/>
      <c r="Z28" s="993"/>
      <c r="AA28" s="993"/>
      <c r="AC28" s="993" t="e">
        <f>IF(TITLE_DATE_PR_CHANGE="",IF(TITLE_DATE_PR="","",TITLE_DATE_PR),TITLE_DATE_PR_CHANGE)</f>
        <v>#REF!</v>
      </c>
      <c r="AD28" s="993"/>
      <c r="AE28" s="993"/>
      <c r="AF28" s="993"/>
      <c r="AG28" s="993"/>
      <c r="AH28" s="993"/>
      <c r="AQ28" s="50">
        <v>0</v>
      </c>
    </row>
    <row r="29" spans="15:43" ht="18.75" hidden="1" customHeight="1">
      <c r="S29" s="992" t="s">
        <v>347</v>
      </c>
      <c r="T29" s="992"/>
      <c r="U29" s="268"/>
      <c r="V29" s="994" t="e">
        <f>IF(TITLE_NUMBER_PR_CHANGE="",IF(TITLE_NUMBER_PR="","",TITLE_NUMBER_PR),TITLE_NUMBER_PR_CHANGE)</f>
        <v>#REF!</v>
      </c>
      <c r="W29" s="994"/>
      <c r="X29" s="994"/>
      <c r="Y29" s="994"/>
      <c r="Z29" s="994"/>
      <c r="AA29" s="994"/>
      <c r="AC29" s="994" t="e">
        <f>IF(TITLE_NUMBER_PR_CHANGE="",IF(TITLE_NUMBER_PR="","",TITLE_NUMBER_PR),TITLE_NUMBER_PR_CHANGE)</f>
        <v>#REF!</v>
      </c>
      <c r="AD29" s="994"/>
      <c r="AE29" s="994"/>
      <c r="AF29" s="994"/>
      <c r="AG29" s="994"/>
      <c r="AH29" s="994"/>
      <c r="AQ29" s="50">
        <v>0</v>
      </c>
    </row>
    <row r="30" spans="15:43" ht="18.75" hidden="1" customHeight="1">
      <c r="S30" s="992" t="s">
        <v>10</v>
      </c>
      <c r="T30" s="992"/>
      <c r="U30" s="268"/>
      <c r="V30" s="994" t="e">
        <f>IF(TITLE_IST_PUB_CHANGE="",IF(TITLE_IST_PUB="","",TITLE_IST_PUB),TITLE_IST_PUB_CHANGE)</f>
        <v>#REF!</v>
      </c>
      <c r="W30" s="994"/>
      <c r="X30" s="994"/>
      <c r="Y30" s="994"/>
      <c r="Z30" s="994"/>
      <c r="AA30" s="994"/>
      <c r="AC30" s="994" t="e">
        <f>IF(TITLE_IST_PUB_CHANGE="",IF(TITLE_IST_PUB="","",TITLE_IST_PUB),TITLE_IST_PUB_CHANGE)</f>
        <v>#REF!</v>
      </c>
      <c r="AD30" s="994"/>
      <c r="AE30" s="994"/>
      <c r="AF30" s="994"/>
      <c r="AG30" s="994"/>
      <c r="AH30" s="994"/>
      <c r="AQ30" s="50">
        <v>0</v>
      </c>
    </row>
    <row r="31" spans="15:43" ht="14.25" hidden="1" customHeight="1">
      <c r="Q31" s="264"/>
      <c r="R31" s="264"/>
      <c r="S31" s="265"/>
      <c r="T31" s="12"/>
      <c r="U31" s="12"/>
      <c r="V31" s="266"/>
      <c r="W31" s="266"/>
      <c r="X31" s="266"/>
      <c r="Y31" s="266"/>
      <c r="Z31" s="266"/>
      <c r="AA31" s="266"/>
      <c r="AB31" s="266"/>
      <c r="AC31" s="266"/>
      <c r="AD31" s="266"/>
      <c r="AE31" s="266"/>
      <c r="AF31" s="266"/>
      <c r="AG31" s="266"/>
      <c r="AH31" s="266"/>
      <c r="AI31" s="266"/>
      <c r="AQ31" s="3">
        <v>0</v>
      </c>
    </row>
    <row r="32" spans="15:43" ht="18.75" hidden="1" customHeight="1">
      <c r="S32" s="992" t="s">
        <v>348</v>
      </c>
      <c r="T32" s="992"/>
      <c r="U32" s="268"/>
      <c r="V32" s="993" t="e">
        <f>IF(TITLE_DATE_PR_CHANGE="",IF(TITLE_DATE_PR="","",TITLE_DATE_PR),TITLE_DATE_PR_CHANGE)</f>
        <v>#REF!</v>
      </c>
      <c r="W32" s="993"/>
      <c r="X32" s="993"/>
      <c r="Y32" s="993"/>
      <c r="Z32" s="993"/>
      <c r="AA32" s="993"/>
      <c r="AC32" s="993" t="e">
        <f>IF(TITLE_DATE_PR_CHANGE="",IF(TITLE_DATE_PR="","",TITLE_DATE_PR),TITLE_DATE_PR_CHANGE)</f>
        <v>#REF!</v>
      </c>
      <c r="AD32" s="993"/>
      <c r="AE32" s="993"/>
      <c r="AF32" s="993"/>
      <c r="AG32" s="993"/>
      <c r="AH32" s="993"/>
      <c r="AQ32" s="50">
        <v>0</v>
      </c>
    </row>
    <row r="33" spans="1:43" ht="18.75" hidden="1" customHeight="1">
      <c r="S33" s="992" t="s">
        <v>349</v>
      </c>
      <c r="T33" s="992"/>
      <c r="U33" s="268"/>
      <c r="V33" s="994" t="e">
        <f>IF(TITLE_NUMBER_PR_CHANGE="",IF(TITLE_NUMBER_PR="","",TITLE_NUMBER_PR),TITLE_NUMBER_PR_CHANGE)</f>
        <v>#REF!</v>
      </c>
      <c r="W33" s="994"/>
      <c r="X33" s="994"/>
      <c r="Y33" s="994"/>
      <c r="Z33" s="994"/>
      <c r="AA33" s="994"/>
      <c r="AC33" s="994" t="e">
        <f>IF(TITLE_NUMBER_PR_CHANGE="",IF(TITLE_NUMBER_PR="","",TITLE_NUMBER_PR),TITLE_NUMBER_PR_CHANGE)</f>
        <v>#REF!</v>
      </c>
      <c r="AD33" s="994"/>
      <c r="AE33" s="994"/>
      <c r="AF33" s="994"/>
      <c r="AG33" s="994"/>
      <c r="AH33" s="994"/>
      <c r="AQ33" s="50">
        <v>0</v>
      </c>
    </row>
    <row r="34" spans="1:43" ht="1.1499999999999999" customHeight="1">
      <c r="AB34" s="24" t="s">
        <v>350</v>
      </c>
      <c r="AI34" s="24" t="s">
        <v>350</v>
      </c>
      <c r="AQ34" s="50">
        <v>1</v>
      </c>
    </row>
    <row r="35" spans="1:43" ht="14.65" customHeight="1">
      <c r="Q35" s="264"/>
      <c r="R35" s="264"/>
      <c r="S35" s="265"/>
      <c r="T35" s="12"/>
      <c r="U35" s="270"/>
      <c r="V35" s="1012"/>
      <c r="W35" s="1012"/>
      <c r="X35" s="1012"/>
      <c r="Y35" s="1012"/>
      <c r="Z35" s="1012"/>
      <c r="AA35" s="1012"/>
      <c r="AB35" s="1012"/>
      <c r="AC35" s="1012"/>
      <c r="AD35" s="1012"/>
      <c r="AE35" s="1012"/>
      <c r="AF35" s="1012"/>
      <c r="AG35" s="1012"/>
      <c r="AH35" s="1012"/>
      <c r="AI35" s="1012"/>
      <c r="AQ35" s="3">
        <v>14</v>
      </c>
    </row>
    <row r="36" spans="1:43" ht="14.65" customHeight="1">
      <c r="Q36" s="264"/>
      <c r="R36" s="264"/>
      <c r="S36" s="894" t="s">
        <v>223</v>
      </c>
      <c r="T36" s="894"/>
      <c r="U36" s="894"/>
      <c r="V36" s="894"/>
      <c r="W36" s="894"/>
      <c r="X36" s="894"/>
      <c r="Y36" s="894"/>
      <c r="Z36" s="894"/>
      <c r="AA36" s="894"/>
      <c r="AB36" s="894"/>
      <c r="AC36" s="894"/>
      <c r="AD36" s="894"/>
      <c r="AE36" s="894"/>
      <c r="AF36" s="894"/>
      <c r="AG36" s="894"/>
      <c r="AH36" s="894"/>
      <c r="AI36" s="894"/>
      <c r="AJ36" s="894"/>
      <c r="AK36" s="894" t="s">
        <v>224</v>
      </c>
      <c r="AQ36" s="3">
        <v>14</v>
      </c>
    </row>
    <row r="37" spans="1:43" ht="14.65" customHeight="1">
      <c r="Q37" s="264"/>
      <c r="R37" s="264"/>
      <c r="S37" s="1013" t="s">
        <v>24</v>
      </c>
      <c r="T37" s="962" t="s">
        <v>351</v>
      </c>
      <c r="U37" s="272"/>
      <c r="V37" s="1014" t="s">
        <v>352</v>
      </c>
      <c r="W37" s="1015"/>
      <c r="X37" s="1015"/>
      <c r="Y37" s="1015"/>
      <c r="Z37" s="1015"/>
      <c r="AA37" s="1016"/>
      <c r="AB37" s="1017" t="s">
        <v>353</v>
      </c>
      <c r="AC37" s="1014" t="s">
        <v>352</v>
      </c>
      <c r="AD37" s="1015"/>
      <c r="AE37" s="1015"/>
      <c r="AF37" s="1015"/>
      <c r="AG37" s="1015"/>
      <c r="AH37" s="1016"/>
      <c r="AI37" s="1017" t="s">
        <v>354</v>
      </c>
      <c r="AJ37" s="1020" t="s">
        <v>355</v>
      </c>
      <c r="AK37" s="894"/>
      <c r="AQ37" s="3">
        <v>14</v>
      </c>
    </row>
    <row r="38" spans="1:43" ht="35.65" customHeight="1">
      <c r="Q38" s="264"/>
      <c r="R38" s="264"/>
      <c r="S38" s="1013"/>
      <c r="T38" s="962"/>
      <c r="U38" s="274"/>
      <c r="V38" s="92" t="s">
        <v>412</v>
      </c>
      <c r="W38" s="887" t="s">
        <v>358</v>
      </c>
      <c r="X38" s="886"/>
      <c r="Y38" s="887" t="s">
        <v>359</v>
      </c>
      <c r="Z38" s="890"/>
      <c r="AA38" s="886"/>
      <c r="AB38" s="1018"/>
      <c r="AC38" s="92" t="s">
        <v>412</v>
      </c>
      <c r="AD38" s="887" t="s">
        <v>358</v>
      </c>
      <c r="AE38" s="886"/>
      <c r="AF38" s="887" t="s">
        <v>359</v>
      </c>
      <c r="AG38" s="890"/>
      <c r="AH38" s="886"/>
      <c r="AI38" s="1018"/>
      <c r="AJ38" s="1021"/>
      <c r="AK38" s="894"/>
      <c r="AQ38" s="3">
        <v>34</v>
      </c>
    </row>
    <row r="39" spans="1:43" ht="35.65" customHeight="1">
      <c r="B39" s="60" t="s">
        <v>60</v>
      </c>
      <c r="C39" s="60" t="s">
        <v>61</v>
      </c>
      <c r="D39" s="60" t="s">
        <v>62</v>
      </c>
      <c r="E39" s="237" t="s">
        <v>360</v>
      </c>
      <c r="F39" s="237" t="s">
        <v>361</v>
      </c>
      <c r="G39" s="237" t="s">
        <v>362</v>
      </c>
      <c r="I39" s="237" t="s">
        <v>413</v>
      </c>
      <c r="J39" s="237" t="s">
        <v>365</v>
      </c>
      <c r="K39" s="237" t="s">
        <v>414</v>
      </c>
      <c r="L39" s="237" t="s">
        <v>341</v>
      </c>
      <c r="Q39" s="264"/>
      <c r="R39" s="264"/>
      <c r="S39" s="1013"/>
      <c r="T39" s="962"/>
      <c r="U39" s="275"/>
      <c r="V39" s="92" t="s">
        <v>415</v>
      </c>
      <c r="W39" s="65" t="s">
        <v>416</v>
      </c>
      <c r="X39" s="65" t="s">
        <v>417</v>
      </c>
      <c r="Y39" s="65" t="s">
        <v>369</v>
      </c>
      <c r="Z39" s="967" t="s">
        <v>370</v>
      </c>
      <c r="AA39" s="981"/>
      <c r="AB39" s="1019"/>
      <c r="AC39" s="92" t="s">
        <v>415</v>
      </c>
      <c r="AD39" s="65" t="s">
        <v>416</v>
      </c>
      <c r="AE39" s="65" t="s">
        <v>417</v>
      </c>
      <c r="AF39" s="65" t="s">
        <v>369</v>
      </c>
      <c r="AG39" s="967" t="s">
        <v>370</v>
      </c>
      <c r="AH39" s="981"/>
      <c r="AI39" s="1019"/>
      <c r="AJ39" s="1022"/>
      <c r="AK39" s="894"/>
      <c r="AQ39" s="3">
        <v>34</v>
      </c>
    </row>
    <row r="40" spans="1:43" ht="0" hidden="1" customHeight="1">
      <c r="Q40" s="278"/>
      <c r="R40" s="279">
        <v>1</v>
      </c>
      <c r="S40" s="280" t="s">
        <v>31</v>
      </c>
      <c r="T40" s="281" t="s">
        <v>39</v>
      </c>
      <c r="U40" s="282" t="str">
        <f ca="1">OFFSET(U40,0,-1)</f>
        <v>2</v>
      </c>
      <c r="V40" s="283">
        <f ca="1">OFFSET(V40,0,-1)+1</f>
        <v>3</v>
      </c>
      <c r="W40" s="283">
        <f ca="1">OFFSET(W40,0,-1)+1</f>
        <v>4</v>
      </c>
      <c r="X40" s="283">
        <f ca="1">OFFSET(X40,0,-1)+1</f>
        <v>5</v>
      </c>
      <c r="Y40" s="283">
        <f ca="1">OFFSET(Y40,0,-1)+1</f>
        <v>6</v>
      </c>
      <c r="Z40" s="1011">
        <f ca="1">OFFSET(Z40,0,-1)+1</f>
        <v>7</v>
      </c>
      <c r="AA40" s="1011"/>
      <c r="AB40" s="283">
        <f ca="1">OFFSET(AB40,0,-2)+1</f>
        <v>8</v>
      </c>
      <c r="AC40" s="283">
        <f ca="1">OFFSET(AC40,0,-1)+1</f>
        <v>9</v>
      </c>
      <c r="AD40" s="283">
        <f ca="1">OFFSET(AD40,0,-1)+1</f>
        <v>10</v>
      </c>
      <c r="AE40" s="283">
        <f ca="1">OFFSET(AE40,0,-1)+1</f>
        <v>11</v>
      </c>
      <c r="AF40" s="283">
        <f ca="1">OFFSET(AF40,0,-1)+1</f>
        <v>12</v>
      </c>
      <c r="AG40" s="1011">
        <f ca="1">OFFSET(AG40,0,-1)+1</f>
        <v>13</v>
      </c>
      <c r="AH40" s="1011"/>
      <c r="AI40" s="283">
        <f ca="1">OFFSET(AI40,0,-2)+1</f>
        <v>14</v>
      </c>
      <c r="AJ40" s="282">
        <f ca="1">OFFSET(AJ40,0,-1)</f>
        <v>14</v>
      </c>
      <c r="AK40" s="283">
        <f ca="1">OFFSET(AK40,0,-1)+1</f>
        <v>15</v>
      </c>
      <c r="AQ40" s="189">
        <v>0</v>
      </c>
    </row>
    <row r="41" spans="1:43" ht="24" customHeight="1">
      <c r="A41" s="284" t="s">
        <v>159</v>
      </c>
      <c r="E41" s="1000">
        <v>1</v>
      </c>
      <c r="R41" s="225"/>
      <c r="S41" s="226">
        <f>INDEX(PT_DIFFERENTIATION_NUM_NTAR,MATCH(A41,PT_DIFFERENTIATION_NTAR_ID,0))</f>
        <v>0</v>
      </c>
      <c r="T41" s="227" t="s">
        <v>48</v>
      </c>
      <c r="U41" s="228"/>
      <c r="V41" s="995"/>
      <c r="W41" s="996"/>
      <c r="X41" s="996"/>
      <c r="Y41" s="996"/>
      <c r="Z41" s="996"/>
      <c r="AA41" s="996"/>
      <c r="AB41" s="997"/>
      <c r="AC41" s="995" t="str">
        <f>INDEX(PT_DIFFERENTIATION_NTAR,MATCH(A41,PT_DIFFERENTIATION_NTAR_ID,0))</f>
        <v/>
      </c>
      <c r="AD41" s="996"/>
      <c r="AE41" s="996"/>
      <c r="AF41" s="996"/>
      <c r="AG41" s="996"/>
      <c r="AH41" s="996"/>
      <c r="AI41" s="996"/>
      <c r="AJ41" s="997"/>
      <c r="AK41"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41" s="29" t="str">
        <f t="shared" ref="AN41:AN53" si="1">IF(T41="","",T41)</f>
        <v>Наименование тарифа</v>
      </c>
      <c r="AQ41" s="3">
        <v>23</v>
      </c>
    </row>
    <row r="42" spans="1:43" ht="24" customHeight="1">
      <c r="A42" s="284" t="s">
        <v>159</v>
      </c>
      <c r="B42" s="284" t="s">
        <v>160</v>
      </c>
      <c r="E42" s="1001"/>
      <c r="F42" s="1000">
        <v>1</v>
      </c>
      <c r="Q42" s="231"/>
      <c r="R42" s="232"/>
      <c r="S42" s="226" t="str">
        <f>INDEX(PT_DIFFERENTIATION_NUM_TER,MATCH(B42,PT_DIFFERENTIATION_TER_ID,0))</f>
        <v>.</v>
      </c>
      <c r="T42" s="233" t="s">
        <v>320</v>
      </c>
      <c r="U42" s="228"/>
      <c r="V42" s="995"/>
      <c r="W42" s="996"/>
      <c r="X42" s="996"/>
      <c r="Y42" s="996"/>
      <c r="Z42" s="996"/>
      <c r="AA42" s="996"/>
      <c r="AB42" s="997"/>
      <c r="AC42" s="995" t="str">
        <f>INDEX(PT_DIFFERENTIATION_TER,MATCH(B42,PT_DIFFERENTIATION_TER_ID,0))</f>
        <v/>
      </c>
      <c r="AD42" s="996"/>
      <c r="AE42" s="996"/>
      <c r="AF42" s="996"/>
      <c r="AG42" s="996"/>
      <c r="AH42" s="996"/>
      <c r="AI42" s="996"/>
      <c r="AJ42" s="997"/>
      <c r="AK42" s="230" t="s">
        <v>321</v>
      </c>
      <c r="AN42" s="29" t="str">
        <f t="shared" si="1"/>
        <v>Территория действия тарифа</v>
      </c>
      <c r="AQ42" s="3">
        <v>23</v>
      </c>
    </row>
    <row r="43" spans="1:43" ht="24" customHeight="1">
      <c r="A43" s="284" t="s">
        <v>159</v>
      </c>
      <c r="B43" s="284" t="s">
        <v>160</v>
      </c>
      <c r="C43" s="284" t="s">
        <v>161</v>
      </c>
      <c r="E43" s="1001"/>
      <c r="F43" s="1001"/>
      <c r="G43" s="1000">
        <v>1</v>
      </c>
      <c r="Q43" s="231"/>
      <c r="R43" s="232"/>
      <c r="S43" s="226" t="str">
        <f>INDEX(PT_DIFFERENTIATION_NUM_CS,MATCH(C43,PT_DIFFERENTIATION_CS_ID,0))</f>
        <v>..</v>
      </c>
      <c r="T43" s="234" t="s">
        <v>404</v>
      </c>
      <c r="U43" s="228"/>
      <c r="V43" s="995"/>
      <c r="W43" s="996"/>
      <c r="X43" s="996"/>
      <c r="Y43" s="996"/>
      <c r="Z43" s="996"/>
      <c r="AA43" s="996"/>
      <c r="AB43" s="997"/>
      <c r="AC43" s="995" t="str">
        <f>INDEX(PT_DIFFERENTIATION_CS,MATCH(C43,PT_DIFFERENTIATION_CS_ID,0))</f>
        <v/>
      </c>
      <c r="AD43" s="996"/>
      <c r="AE43" s="996"/>
      <c r="AF43" s="996"/>
      <c r="AG43" s="996"/>
      <c r="AH43" s="996"/>
      <c r="AI43" s="996"/>
      <c r="AJ43" s="997"/>
      <c r="AK43" s="230" t="s">
        <v>405</v>
      </c>
      <c r="AN43" s="29" t="str">
        <f t="shared" si="1"/>
        <v>Наименование централизованной системы холодного водоснабжения</v>
      </c>
      <c r="AQ43" s="3">
        <v>23</v>
      </c>
    </row>
    <row r="44" spans="1:43" ht="24" customHeight="1">
      <c r="A44" s="284" t="s">
        <v>159</v>
      </c>
      <c r="B44" s="284" t="s">
        <v>160</v>
      </c>
      <c r="C44" s="284" t="s">
        <v>161</v>
      </c>
      <c r="D44" s="284" t="s">
        <v>420</v>
      </c>
      <c r="E44" s="1001"/>
      <c r="F44" s="1001"/>
      <c r="G44" s="1001"/>
      <c r="H44" s="1001"/>
      <c r="I44" s="1002" t="str">
        <f>S43&amp;".1"</f>
        <v>...1</v>
      </c>
      <c r="P44" s="1004">
        <v>1</v>
      </c>
      <c r="R44" s="238"/>
      <c r="S44" s="226" t="str">
        <f>$I44</f>
        <v>...1</v>
      </c>
      <c r="T44" s="239" t="s">
        <v>406</v>
      </c>
      <c r="U44" s="228"/>
      <c r="V44" s="1068"/>
      <c r="W44" s="1069"/>
      <c r="X44" s="1069"/>
      <c r="Y44" s="1069"/>
      <c r="Z44" s="1069"/>
      <c r="AA44" s="1069"/>
      <c r="AB44" s="1070"/>
      <c r="AC44" s="1071"/>
      <c r="AD44" s="1072"/>
      <c r="AE44" s="1072"/>
      <c r="AF44" s="1072"/>
      <c r="AG44" s="1072"/>
      <c r="AH44" s="1072"/>
      <c r="AI44" s="1072"/>
      <c r="AJ44" s="1073"/>
      <c r="AK44" s="230" t="s">
        <v>407</v>
      </c>
      <c r="AN44" s="29" t="str">
        <f t="shared" si="1"/>
        <v>Наименование признака дифференциации</v>
      </c>
      <c r="AQ44" s="3">
        <v>23</v>
      </c>
    </row>
    <row r="45" spans="1:43" ht="24" customHeight="1">
      <c r="A45" s="284" t="s">
        <v>159</v>
      </c>
      <c r="B45" s="284" t="s">
        <v>160</v>
      </c>
      <c r="C45" s="284" t="s">
        <v>161</v>
      </c>
      <c r="D45" s="284" t="s">
        <v>420</v>
      </c>
      <c r="E45" s="1001"/>
      <c r="F45" s="1001"/>
      <c r="G45" s="1001"/>
      <c r="H45" s="1001"/>
      <c r="I45" s="1003"/>
      <c r="J45" s="1002" t="str">
        <f>I44&amp;".1"</f>
        <v>...1.1</v>
      </c>
      <c r="L45" s="237" t="s">
        <v>329</v>
      </c>
      <c r="P45" s="885"/>
      <c r="Q45" s="1004">
        <v>1</v>
      </c>
      <c r="R45" s="240"/>
      <c r="S45" s="226" t="str">
        <f>$J45</f>
        <v>...1.1</v>
      </c>
      <c r="T45" s="241" t="s">
        <v>330</v>
      </c>
      <c r="U45" s="228"/>
      <c r="V45" s="989"/>
      <c r="W45" s="990"/>
      <c r="X45" s="990"/>
      <c r="Y45" s="990"/>
      <c r="Z45" s="990"/>
      <c r="AA45" s="990"/>
      <c r="AB45" s="991"/>
      <c r="AC45" s="989"/>
      <c r="AD45" s="990"/>
      <c r="AE45" s="990"/>
      <c r="AF45" s="990"/>
      <c r="AG45" s="990"/>
      <c r="AH45" s="990"/>
      <c r="AI45" s="990"/>
      <c r="AJ45" s="991"/>
      <c r="AK45" s="317" t="s">
        <v>408</v>
      </c>
      <c r="AN45" s="29" t="str">
        <f t="shared" si="1"/>
        <v>Группа потребителей</v>
      </c>
      <c r="AQ45" s="3">
        <v>23</v>
      </c>
    </row>
    <row r="46" spans="1:43" ht="24" customHeight="1">
      <c r="A46" s="284" t="s">
        <v>159</v>
      </c>
      <c r="B46" s="284" t="s">
        <v>160</v>
      </c>
      <c r="C46" s="284" t="s">
        <v>161</v>
      </c>
      <c r="D46" s="284" t="s">
        <v>420</v>
      </c>
      <c r="E46" s="1001"/>
      <c r="F46" s="1001"/>
      <c r="G46" s="1001"/>
      <c r="H46" s="1001"/>
      <c r="I46" s="1003"/>
      <c r="J46" s="1003"/>
      <c r="K46" s="1002" t="str">
        <f>J45&amp;".1"</f>
        <v>...1.1.1</v>
      </c>
      <c r="P46" s="885"/>
      <c r="Q46" s="885"/>
      <c r="R46" s="240">
        <v>1</v>
      </c>
      <c r="S46" s="226" t="str">
        <f>$K46</f>
        <v>...1.1.1</v>
      </c>
      <c r="T46" s="357"/>
      <c r="U46" s="228"/>
      <c r="V46" s="243"/>
      <c r="W46" s="243"/>
      <c r="X46" s="245"/>
      <c r="Y46" s="1005"/>
      <c r="Z46" s="895" t="s">
        <v>17</v>
      </c>
      <c r="AA46" s="1005"/>
      <c r="AB46" s="895" t="s">
        <v>17</v>
      </c>
      <c r="AC46" s="243"/>
      <c r="AD46" s="243"/>
      <c r="AE46" s="245"/>
      <c r="AF46" s="1005"/>
      <c r="AG46" s="895" t="s">
        <v>17</v>
      </c>
      <c r="AH46" s="1007"/>
      <c r="AI46" s="895" t="s">
        <v>17</v>
      </c>
      <c r="AJ46" s="358"/>
      <c r="AK46" s="10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24" t="e">
        <f ca="1">STRCHECKDATE(V47:AJ47)</f>
        <v>#NAME?</v>
      </c>
      <c r="AN46" s="29" t="str">
        <f t="shared" si="1"/>
        <v/>
      </c>
      <c r="AQ46" s="3">
        <v>23</v>
      </c>
    </row>
    <row r="47" spans="1:43" ht="0" hidden="1" customHeight="1">
      <c r="A47" s="284" t="s">
        <v>159</v>
      </c>
      <c r="B47" s="284" t="s">
        <v>160</v>
      </c>
      <c r="C47" s="284" t="s">
        <v>161</v>
      </c>
      <c r="D47" s="284" t="s">
        <v>420</v>
      </c>
      <c r="E47" s="1001"/>
      <c r="F47" s="1001"/>
      <c r="G47" s="1001"/>
      <c r="H47" s="1001"/>
      <c r="I47" s="1003"/>
      <c r="J47" s="1003"/>
      <c r="K47" s="1002"/>
      <c r="P47" s="885"/>
      <c r="Q47" s="885"/>
      <c r="R47" s="240"/>
      <c r="S47" s="209"/>
      <c r="T47" s="228"/>
      <c r="U47" s="228"/>
      <c r="V47" s="244"/>
      <c r="W47" s="244"/>
      <c r="X47" s="247" t="str">
        <f>Y46&amp;"-"&amp;AA46</f>
        <v>-</v>
      </c>
      <c r="Y47" s="1006"/>
      <c r="Z47" s="895"/>
      <c r="AA47" s="1006"/>
      <c r="AB47" s="895"/>
      <c r="AC47" s="244"/>
      <c r="AD47" s="244"/>
      <c r="AE47" s="247" t="str">
        <f>AF46&amp;"-"&amp;AH46</f>
        <v>-</v>
      </c>
      <c r="AF47" s="1006"/>
      <c r="AG47" s="895"/>
      <c r="AH47" s="1008"/>
      <c r="AI47" s="895"/>
      <c r="AJ47" s="359"/>
      <c r="AK47" s="1074"/>
      <c r="AN47" s="29" t="str">
        <f t="shared" si="1"/>
        <v/>
      </c>
      <c r="AQ47" s="3">
        <v>0</v>
      </c>
    </row>
    <row r="48" spans="1:43" ht="21" customHeight="1">
      <c r="A48" s="284" t="s">
        <v>159</v>
      </c>
      <c r="B48" s="284" t="s">
        <v>160</v>
      </c>
      <c r="C48" s="284" t="s">
        <v>161</v>
      </c>
      <c r="D48" s="284" t="s">
        <v>420</v>
      </c>
      <c r="E48" s="1001"/>
      <c r="F48" s="1001"/>
      <c r="G48" s="1001"/>
      <c r="H48" s="1001"/>
      <c r="I48" s="1003"/>
      <c r="J48" s="1002"/>
      <c r="P48" s="885"/>
      <c r="Q48" s="885"/>
      <c r="R48" s="238"/>
      <c r="S48" s="249"/>
      <c r="T48" s="252" t="s">
        <v>409</v>
      </c>
      <c r="U48" s="54"/>
      <c r="V48" s="54"/>
      <c r="W48" s="54"/>
      <c r="X48" s="54"/>
      <c r="Y48" s="54"/>
      <c r="Z48" s="54"/>
      <c r="AA48" s="54"/>
      <c r="AB48" s="54"/>
      <c r="AC48" s="54"/>
      <c r="AD48" s="54"/>
      <c r="AE48" s="54"/>
      <c r="AF48" s="54"/>
      <c r="AG48" s="54"/>
      <c r="AH48" s="54"/>
      <c r="AI48" s="54"/>
      <c r="AJ48" s="54"/>
      <c r="AK48" s="230" t="s">
        <v>410</v>
      </c>
      <c r="AN48" s="29" t="str">
        <f t="shared" si="1"/>
        <v>Добавить значение признака дифференциации</v>
      </c>
      <c r="AQ48" s="3">
        <v>20</v>
      </c>
    </row>
    <row r="49" spans="1:43" ht="21.95" customHeight="1">
      <c r="A49" s="284" t="s">
        <v>159</v>
      </c>
      <c r="B49" s="284" t="s">
        <v>160</v>
      </c>
      <c r="C49" s="284" t="s">
        <v>161</v>
      </c>
      <c r="D49" s="284" t="s">
        <v>420</v>
      </c>
      <c r="E49" s="1001"/>
      <c r="F49" s="1001"/>
      <c r="G49" s="1001"/>
      <c r="H49" s="1001"/>
      <c r="I49" s="1002"/>
      <c r="P49" s="885"/>
      <c r="R49" s="238"/>
      <c r="S49" s="249"/>
      <c r="T49" s="255" t="s">
        <v>335</v>
      </c>
      <c r="U49" s="54"/>
      <c r="V49" s="54"/>
      <c r="W49" s="54"/>
      <c r="X49" s="54"/>
      <c r="Y49" s="54"/>
      <c r="Z49" s="54"/>
      <c r="AA49" s="54"/>
      <c r="AB49" s="253"/>
      <c r="AC49" s="54"/>
      <c r="AD49" s="54"/>
      <c r="AE49" s="54"/>
      <c r="AF49" s="54"/>
      <c r="AG49" s="54"/>
      <c r="AH49" s="54"/>
      <c r="AI49" s="253"/>
      <c r="AJ49" s="54"/>
      <c r="AK49" s="360"/>
      <c r="AN49" s="29" t="str">
        <f t="shared" si="1"/>
        <v>Добавить группу потребителей</v>
      </c>
      <c r="AQ49" s="3">
        <v>21</v>
      </c>
    </row>
    <row r="50" spans="1:43" ht="21.95" customHeight="1">
      <c r="A50" s="284" t="s">
        <v>159</v>
      </c>
      <c r="B50" s="284" t="s">
        <v>160</v>
      </c>
      <c r="C50" s="284" t="s">
        <v>161</v>
      </c>
      <c r="D50" s="284" t="s">
        <v>420</v>
      </c>
      <c r="E50" s="1001"/>
      <c r="F50" s="1001"/>
      <c r="G50" s="1001"/>
      <c r="H50" s="1000"/>
      <c r="R50" s="225"/>
      <c r="S50" s="249"/>
      <c r="T50" s="361" t="s">
        <v>411</v>
      </c>
      <c r="U50" s="54"/>
      <c r="V50" s="54"/>
      <c r="W50" s="54"/>
      <c r="X50" s="54"/>
      <c r="Y50" s="54"/>
      <c r="Z50" s="54"/>
      <c r="AA50" s="54"/>
      <c r="AB50" s="253"/>
      <c r="AC50" s="54"/>
      <c r="AD50" s="54"/>
      <c r="AE50" s="54"/>
      <c r="AF50" s="54"/>
      <c r="AG50" s="54"/>
      <c r="AH50" s="54"/>
      <c r="AI50" s="253"/>
      <c r="AJ50" s="54"/>
      <c r="AK50" s="254"/>
      <c r="AN50" s="29" t="str">
        <f t="shared" si="1"/>
        <v>Добавить наименование признака дифференциации</v>
      </c>
      <c r="AQ50" s="3">
        <v>21</v>
      </c>
    </row>
    <row r="51" spans="1:43" ht="0" hidden="1" customHeight="1">
      <c r="A51" s="21" t="s">
        <v>159</v>
      </c>
      <c r="B51" s="21" t="s">
        <v>160</v>
      </c>
      <c r="E51" s="1001"/>
      <c r="F51" s="1000"/>
      <c r="T51" s="260" t="s">
        <v>338</v>
      </c>
      <c r="AN51" s="29" t="str">
        <f t="shared" si="1"/>
        <v>Добавить централизованную систему для дифференциации</v>
      </c>
      <c r="AQ51" s="24">
        <v>0</v>
      </c>
    </row>
    <row r="52" spans="1:43" ht="0" hidden="1" customHeight="1">
      <c r="A52" s="21" t="s">
        <v>159</v>
      </c>
      <c r="E52" s="1000"/>
      <c r="T52" s="260" t="s">
        <v>339</v>
      </c>
      <c r="AN52" s="29" t="str">
        <f t="shared" si="1"/>
        <v>Добавить территорию для дифференциации</v>
      </c>
      <c r="AQ52" s="24">
        <v>0</v>
      </c>
    </row>
    <row r="53" spans="1:43" ht="0" hidden="1" customHeight="1">
      <c r="T53" s="260" t="s">
        <v>371</v>
      </c>
      <c r="AN53" s="29" t="str">
        <f t="shared" si="1"/>
        <v>Добавить наименование тарифа</v>
      </c>
      <c r="AQ53" s="24">
        <v>0</v>
      </c>
    </row>
    <row r="54" spans="1:43" ht="11.45" customHeight="1">
      <c r="AQ54" s="3">
        <v>11</v>
      </c>
    </row>
    <row r="55" spans="1:43" ht="14.65" customHeight="1">
      <c r="T55" s="885"/>
      <c r="U55" s="885"/>
      <c r="V55" s="885"/>
      <c r="W55" s="885"/>
      <c r="X55" s="885"/>
      <c r="Y55" s="885"/>
      <c r="Z55" s="885"/>
      <c r="AA55" s="885"/>
      <c r="AB55" s="885"/>
      <c r="AC55" s="885"/>
      <c r="AD55" s="885"/>
      <c r="AE55" s="885"/>
      <c r="AF55" s="885"/>
      <c r="AG55" s="885"/>
      <c r="AH55" s="885"/>
      <c r="AI55" s="885"/>
      <c r="AJ55" s="885"/>
      <c r="AK55" s="885"/>
      <c r="AQ55" s="3">
        <v>14</v>
      </c>
    </row>
    <row r="56" spans="1:43" ht="14.65" customHeight="1">
      <c r="AQ56" s="3">
        <v>14</v>
      </c>
    </row>
    <row r="57" spans="1:43" ht="14.65" customHeight="1">
      <c r="T57" s="885"/>
      <c r="U57" s="885"/>
      <c r="V57" s="885"/>
      <c r="W57" s="885"/>
      <c r="X57" s="885"/>
      <c r="Y57" s="885"/>
      <c r="Z57" s="885"/>
      <c r="AA57" s="885"/>
      <c r="AB57" s="885"/>
      <c r="AC57" s="885"/>
      <c r="AD57" s="885"/>
      <c r="AE57" s="885"/>
      <c r="AF57" s="885"/>
      <c r="AG57" s="885"/>
      <c r="AH57" s="885"/>
      <c r="AI57" s="885"/>
      <c r="AJ57" s="885"/>
      <c r="AK57" s="885"/>
      <c r="AQ57" s="3">
        <v>14</v>
      </c>
    </row>
    <row r="58" spans="1:43" ht="22.5" hidden="1" customHeight="1">
      <c r="A58" s="11" t="s">
        <v>18</v>
      </c>
      <c r="B58" s="11">
        <v>0</v>
      </c>
      <c r="C58" s="11">
        <v>0</v>
      </c>
      <c r="D58" s="11">
        <v>0</v>
      </c>
      <c r="E58" s="11">
        <v>0</v>
      </c>
      <c r="F58" s="11">
        <v>0</v>
      </c>
      <c r="G58" s="11">
        <v>0</v>
      </c>
      <c r="H58" s="11">
        <v>0</v>
      </c>
      <c r="I58" s="11">
        <v>0</v>
      </c>
      <c r="J58" s="11">
        <v>0</v>
      </c>
      <c r="K58" s="11">
        <v>0</v>
      </c>
      <c r="L58" s="171">
        <v>0</v>
      </c>
      <c r="M58" s="13">
        <v>0</v>
      </c>
      <c r="N58" s="13">
        <v>0</v>
      </c>
      <c r="O58" s="13">
        <v>0</v>
      </c>
      <c r="P58" s="287">
        <v>3</v>
      </c>
      <c r="Q58" s="288">
        <v>3</v>
      </c>
      <c r="R58" s="288">
        <v>3</v>
      </c>
      <c r="S58" s="9">
        <v>12</v>
      </c>
      <c r="T58" s="3">
        <v>35</v>
      </c>
      <c r="U58" s="3">
        <v>0</v>
      </c>
      <c r="V58" s="3">
        <v>0</v>
      </c>
      <c r="W58" s="3">
        <v>0</v>
      </c>
      <c r="X58" s="3">
        <v>0</v>
      </c>
      <c r="Y58" s="3">
        <v>0</v>
      </c>
      <c r="Z58" s="3">
        <v>0</v>
      </c>
      <c r="AA58" s="3">
        <v>0</v>
      </c>
      <c r="AB58" s="3">
        <v>0</v>
      </c>
      <c r="AC58" s="3">
        <v>24</v>
      </c>
      <c r="AD58" s="3">
        <v>24</v>
      </c>
      <c r="AE58" s="3">
        <v>24</v>
      </c>
      <c r="AF58" s="3">
        <v>11</v>
      </c>
      <c r="AG58" s="3">
        <v>3</v>
      </c>
      <c r="AH58" s="3">
        <v>11</v>
      </c>
      <c r="AI58" s="3">
        <v>0</v>
      </c>
      <c r="AJ58" s="3">
        <v>4</v>
      </c>
      <c r="AK58" s="3">
        <v>115</v>
      </c>
      <c r="AL58" s="24">
        <v>10</v>
      </c>
      <c r="AM58" s="24">
        <v>10</v>
      </c>
      <c r="AN58" s="24">
        <v>10</v>
      </c>
      <c r="AO58" s="24">
        <v>10</v>
      </c>
      <c r="AP58" s="24">
        <v>10</v>
      </c>
      <c r="AQ58" s="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hidden="1"/>
    <col min="3" max="4" width="3" customWidth="1"/>
    <col min="5" max="6" width="15" customWidth="1"/>
    <col min="7" max="7" width="11.5703125" customWidth="1"/>
    <col min="8" max="9" width="3" customWidth="1"/>
    <col min="10" max="10" width="12" customWidth="1"/>
    <col min="11" max="11" width="0.28515625" customWidth="1"/>
    <col min="12" max="13" width="10" customWidth="1"/>
    <col min="14" max="15" width="3" customWidth="1"/>
    <col min="16" max="16" width="19" customWidth="1"/>
    <col min="17" max="17" width="0.28515625" customWidth="1"/>
    <col min="18" max="19" width="10" customWidth="1"/>
    <col min="20" max="21" width="3" customWidth="1"/>
    <col min="22" max="22" width="25" customWidth="1"/>
    <col min="23" max="23" width="0.28515625" customWidth="1"/>
    <col min="24" max="25" width="10" customWidth="1"/>
    <col min="26" max="27" width="3" customWidth="1"/>
    <col min="28" max="28" width="16" customWidth="1"/>
    <col min="29" max="29" width="0.28515625" customWidth="1"/>
    <col min="30" max="31" width="10" customWidth="1"/>
    <col min="32" max="33" width="3" customWidth="1"/>
    <col min="34" max="34" width="8" customWidth="1"/>
    <col min="35" max="35" width="21" customWidth="1"/>
    <col min="36" max="64" width="8" customWidth="1"/>
    <col min="65" max="65" width="9.140625" hidden="1"/>
  </cols>
  <sheetData>
    <row r="1" spans="4:65" ht="11.25" hidden="1" customHeight="1">
      <c r="BM1" s="86" t="s">
        <v>1</v>
      </c>
    </row>
    <row r="2" spans="4:65" ht="11.25" hidden="1" customHeight="1">
      <c r="L2" s="87" t="s">
        <v>202</v>
      </c>
      <c r="M2" s="87" t="s">
        <v>203</v>
      </c>
      <c r="R2" s="87" t="s">
        <v>204</v>
      </c>
      <c r="S2" s="87" t="s">
        <v>203</v>
      </c>
      <c r="X2" s="87" t="s">
        <v>202</v>
      </c>
      <c r="Y2" s="87" t="s">
        <v>203</v>
      </c>
      <c r="AD2" s="87" t="s">
        <v>202</v>
      </c>
      <c r="AE2" s="87" t="s">
        <v>203</v>
      </c>
      <c r="BM2" s="87">
        <v>0</v>
      </c>
    </row>
    <row r="3" spans="4:65" ht="11.45" customHeight="1">
      <c r="BM3" s="88">
        <v>11</v>
      </c>
    </row>
    <row r="4" spans="4:65" ht="34.5" customHeight="1">
      <c r="D4" s="934" t="s">
        <v>205</v>
      </c>
      <c r="E4" s="934"/>
      <c r="F4" s="934"/>
      <c r="G4" s="934"/>
      <c r="H4" s="934"/>
      <c r="I4" s="934"/>
      <c r="J4" s="934"/>
      <c r="BM4" s="25">
        <v>33</v>
      </c>
    </row>
    <row r="5" spans="4:65" ht="14.65" customHeight="1">
      <c r="D5" s="955" t="e">
        <f>IF(org=0,"Не определено",org)</f>
        <v>#REF!</v>
      </c>
      <c r="E5" s="955"/>
      <c r="F5" s="955"/>
      <c r="G5" s="955"/>
      <c r="H5" s="955"/>
      <c r="I5" s="955"/>
      <c r="J5" s="955"/>
      <c r="BM5" s="25">
        <v>14</v>
      </c>
    </row>
    <row r="6" spans="4:65" ht="14.65" customHeight="1">
      <c r="BM6" s="25">
        <v>14</v>
      </c>
    </row>
    <row r="7" spans="4:65" ht="1.1499999999999999" customHeight="1">
      <c r="BM7" s="86">
        <v>1</v>
      </c>
    </row>
    <row r="8" spans="4:65" ht="33.75" customHeight="1">
      <c r="D8" s="894" t="s">
        <v>24</v>
      </c>
      <c r="E8" s="894" t="s">
        <v>37</v>
      </c>
      <c r="F8" s="936" t="s">
        <v>47</v>
      </c>
      <c r="G8" s="937"/>
      <c r="H8" s="936" t="s">
        <v>24</v>
      </c>
      <c r="I8" s="937"/>
      <c r="J8" s="894" t="s">
        <v>48</v>
      </c>
      <c r="K8" s="91"/>
      <c r="L8" s="935" t="s">
        <v>206</v>
      </c>
      <c r="M8" s="935"/>
      <c r="N8" s="935"/>
      <c r="O8" s="935"/>
      <c r="P8" s="935"/>
      <c r="Q8" s="89"/>
      <c r="R8" s="887" t="s">
        <v>207</v>
      </c>
      <c r="S8" s="890"/>
      <c r="T8" s="890"/>
      <c r="U8" s="890"/>
      <c r="V8" s="890"/>
      <c r="W8" s="89"/>
      <c r="X8" s="894" t="s">
        <v>208</v>
      </c>
      <c r="Y8" s="894"/>
      <c r="Z8" s="894"/>
      <c r="AA8" s="894"/>
      <c r="AB8" s="894"/>
      <c r="AC8" s="92"/>
      <c r="AD8" s="894" t="s">
        <v>209</v>
      </c>
      <c r="AE8" s="894"/>
      <c r="AF8" s="894"/>
      <c r="AG8" s="894"/>
      <c r="AH8" s="887"/>
      <c r="AI8" s="894" t="s">
        <v>210</v>
      </c>
      <c r="BM8" s="39">
        <v>32</v>
      </c>
    </row>
    <row r="9" spans="4:65" ht="23.25" customHeight="1">
      <c r="D9" s="894"/>
      <c r="E9" s="894"/>
      <c r="F9" s="935" t="s">
        <v>25</v>
      </c>
      <c r="G9" s="935" t="s">
        <v>53</v>
      </c>
      <c r="H9" s="938"/>
      <c r="I9" s="939"/>
      <c r="J9" s="887"/>
      <c r="K9" s="93"/>
      <c r="L9" s="894" t="s">
        <v>211</v>
      </c>
      <c r="M9" s="887"/>
      <c r="N9" s="936" t="s">
        <v>24</v>
      </c>
      <c r="O9" s="937"/>
      <c r="P9" s="894" t="s">
        <v>54</v>
      </c>
      <c r="Q9" s="91"/>
      <c r="R9" s="894" t="s">
        <v>211</v>
      </c>
      <c r="S9" s="887"/>
      <c r="T9" s="936" t="s">
        <v>24</v>
      </c>
      <c r="U9" s="937"/>
      <c r="V9" s="894" t="s">
        <v>54</v>
      </c>
      <c r="W9" s="91"/>
      <c r="X9" s="894" t="s">
        <v>211</v>
      </c>
      <c r="Y9" s="887"/>
      <c r="Z9" s="936" t="s">
        <v>24</v>
      </c>
      <c r="AA9" s="937"/>
      <c r="AB9" s="894" t="s">
        <v>212</v>
      </c>
      <c r="AC9" s="91"/>
      <c r="AD9" s="894" t="s">
        <v>211</v>
      </c>
      <c r="AE9" s="887"/>
      <c r="AF9" s="936" t="s">
        <v>24</v>
      </c>
      <c r="AG9" s="937"/>
      <c r="AH9" s="887" t="s">
        <v>212</v>
      </c>
      <c r="AI9" s="894"/>
      <c r="BM9" s="39">
        <v>22</v>
      </c>
    </row>
    <row r="10" spans="4:65" ht="24" customHeight="1">
      <c r="D10" s="935"/>
      <c r="E10" s="935"/>
      <c r="F10" s="940"/>
      <c r="G10" s="940"/>
      <c r="H10" s="941"/>
      <c r="I10" s="942"/>
      <c r="J10" s="936"/>
      <c r="K10" s="93"/>
      <c r="L10" s="92" t="s">
        <v>213</v>
      </c>
      <c r="M10" s="89" t="s">
        <v>214</v>
      </c>
      <c r="N10" s="938"/>
      <c r="O10" s="939"/>
      <c r="P10" s="935"/>
      <c r="Q10" s="91"/>
      <c r="R10" s="92" t="s">
        <v>213</v>
      </c>
      <c r="S10" s="89" t="s">
        <v>214</v>
      </c>
      <c r="T10" s="938"/>
      <c r="U10" s="939"/>
      <c r="V10" s="935"/>
      <c r="W10" s="91"/>
      <c r="X10" s="92" t="s">
        <v>213</v>
      </c>
      <c r="Y10" s="89" t="s">
        <v>214</v>
      </c>
      <c r="Z10" s="938"/>
      <c r="AA10" s="939"/>
      <c r="AB10" s="935"/>
      <c r="AC10" s="91"/>
      <c r="AD10" s="92" t="s">
        <v>213</v>
      </c>
      <c r="AE10" s="89" t="s">
        <v>214</v>
      </c>
      <c r="AF10" s="938"/>
      <c r="AG10" s="939"/>
      <c r="AH10" s="936"/>
      <c r="AI10" s="935"/>
      <c r="AK10" s="94" t="s">
        <v>215</v>
      </c>
      <c r="AL10" s="94" t="s">
        <v>55</v>
      </c>
      <c r="BM10" s="39">
        <v>23</v>
      </c>
    </row>
    <row r="11" spans="4:65" ht="15" customHeight="1">
      <c r="D11" s="943" t="s">
        <v>31</v>
      </c>
      <c r="E11" s="945" t="s">
        <v>216</v>
      </c>
      <c r="F11" s="945" t="s">
        <v>217</v>
      </c>
      <c r="G11" s="948" t="s">
        <v>3</v>
      </c>
      <c r="H11" s="97"/>
      <c r="I11" s="950"/>
      <c r="J11" s="908"/>
      <c r="K11" s="72"/>
      <c r="L11" s="902"/>
      <c r="M11" s="902"/>
      <c r="N11" s="98"/>
      <c r="O11" s="902"/>
      <c r="P11" s="908"/>
      <c r="Q11" s="72"/>
      <c r="R11" s="902"/>
      <c r="S11" s="902"/>
      <c r="T11" s="99"/>
      <c r="U11" s="902"/>
      <c r="V11" s="908"/>
      <c r="W11" s="73"/>
      <c r="X11" s="902"/>
      <c r="Y11" s="902"/>
      <c r="Z11" s="98"/>
      <c r="AA11" s="902"/>
      <c r="AB11" s="908"/>
      <c r="AC11" s="100"/>
      <c r="AD11" s="902"/>
      <c r="AE11" s="902"/>
      <c r="AF11" s="73"/>
      <c r="AG11" s="73"/>
      <c r="AH11" s="98"/>
      <c r="AI11" s="75"/>
      <c r="BM11" s="39">
        <v>14</v>
      </c>
    </row>
    <row r="12" spans="4:65" ht="14.65" customHeight="1">
      <c r="D12" s="943"/>
      <c r="E12" s="945"/>
      <c r="F12" s="945"/>
      <c r="G12" s="949"/>
      <c r="H12" s="102"/>
      <c r="I12" s="885"/>
      <c r="J12" s="885"/>
      <c r="L12" s="885"/>
      <c r="M12" s="885"/>
      <c r="O12" s="885"/>
      <c r="P12" s="885"/>
      <c r="R12" s="885"/>
      <c r="S12" s="885"/>
      <c r="U12" s="885"/>
      <c r="V12" s="885"/>
      <c r="X12" s="885"/>
      <c r="Y12" s="885"/>
      <c r="AA12" s="885"/>
      <c r="AB12" s="885"/>
      <c r="AD12" s="885"/>
      <c r="AE12" s="885"/>
      <c r="AH12" s="885"/>
      <c r="AI12" s="953"/>
      <c r="BM12" s="39">
        <v>14</v>
      </c>
    </row>
    <row r="13" spans="4:65" ht="14.65" customHeight="1">
      <c r="D13" s="943"/>
      <c r="E13" s="945"/>
      <c r="F13" s="945"/>
      <c r="G13" s="949"/>
      <c r="H13" s="102"/>
      <c r="I13" s="885"/>
      <c r="J13" s="885"/>
      <c r="L13" s="885"/>
      <c r="M13" s="885"/>
      <c r="O13" s="885"/>
      <c r="P13" s="885"/>
      <c r="R13" s="885"/>
      <c r="S13" s="885"/>
      <c r="U13" s="885"/>
      <c r="V13" s="885"/>
      <c r="X13" s="885"/>
      <c r="Y13" s="885"/>
      <c r="AB13" s="885"/>
      <c r="AC13" s="885"/>
      <c r="AD13" s="885"/>
      <c r="AE13" s="885"/>
      <c r="AF13" s="885"/>
      <c r="AG13" s="885"/>
      <c r="AH13" s="885"/>
      <c r="AI13" s="953"/>
      <c r="BM13" s="39">
        <v>14</v>
      </c>
    </row>
    <row r="14" spans="4:65" ht="14.65" customHeight="1">
      <c r="D14" s="943"/>
      <c r="E14" s="945"/>
      <c r="F14" s="945"/>
      <c r="G14" s="949"/>
      <c r="H14" s="102"/>
      <c r="I14" s="885"/>
      <c r="J14" s="885"/>
      <c r="L14" s="885"/>
      <c r="M14" s="885"/>
      <c r="O14" s="885"/>
      <c r="P14" s="885"/>
      <c r="R14" s="885"/>
      <c r="S14" s="885"/>
      <c r="V14" s="885"/>
      <c r="W14" s="885"/>
      <c r="X14" s="885"/>
      <c r="Y14" s="885"/>
      <c r="Z14" s="885"/>
      <c r="AA14" s="885"/>
      <c r="AB14" s="885"/>
      <c r="AC14" s="885"/>
      <c r="AD14" s="885"/>
      <c r="AE14" s="885"/>
      <c r="AF14" s="885"/>
      <c r="AG14" s="885"/>
      <c r="AH14" s="885"/>
      <c r="AI14" s="953"/>
      <c r="BM14" s="39">
        <v>14</v>
      </c>
    </row>
    <row r="15" spans="4:65" ht="11.45" customHeight="1">
      <c r="D15" s="943"/>
      <c r="E15" s="945"/>
      <c r="F15" s="945"/>
      <c r="G15" s="949"/>
      <c r="H15" s="103"/>
      <c r="I15" s="885"/>
      <c r="J15" s="885"/>
      <c r="L15" s="885"/>
      <c r="M15" s="885"/>
      <c r="P15" s="885"/>
      <c r="Q15" s="885"/>
      <c r="R15" s="885"/>
      <c r="S15" s="885"/>
      <c r="T15" s="885"/>
      <c r="U15" s="885"/>
      <c r="V15" s="885"/>
      <c r="W15" s="885"/>
      <c r="X15" s="885"/>
      <c r="Y15" s="885"/>
      <c r="Z15" s="885"/>
      <c r="AA15" s="885"/>
      <c r="AB15" s="885"/>
      <c r="AC15" s="885"/>
      <c r="AD15" s="885"/>
      <c r="AE15" s="885"/>
      <c r="AF15" s="885"/>
      <c r="AG15" s="885"/>
      <c r="AH15" s="885"/>
      <c r="AI15" s="953"/>
      <c r="BM15" s="39">
        <v>11</v>
      </c>
    </row>
    <row r="16" spans="4:65" ht="11.45" customHeight="1">
      <c r="D16" s="944"/>
      <c r="E16" s="946"/>
      <c r="F16" s="947"/>
      <c r="G16" s="900"/>
      <c r="H16" s="106"/>
      <c r="I16" s="107"/>
      <c r="J16" s="951"/>
      <c r="K16" s="951"/>
      <c r="L16" s="951"/>
      <c r="M16" s="951"/>
      <c r="N16" s="951"/>
      <c r="O16" s="951"/>
      <c r="P16" s="951"/>
      <c r="Q16" s="951"/>
      <c r="R16" s="951"/>
      <c r="S16" s="951"/>
      <c r="T16" s="951"/>
      <c r="U16" s="951"/>
      <c r="V16" s="951"/>
      <c r="W16" s="951"/>
      <c r="X16" s="951"/>
      <c r="Y16" s="951"/>
      <c r="Z16" s="951"/>
      <c r="AA16" s="951"/>
      <c r="AB16" s="951"/>
      <c r="AC16" s="951"/>
      <c r="AD16" s="951"/>
      <c r="AE16" s="951"/>
      <c r="AF16" s="951"/>
      <c r="AG16" s="951"/>
      <c r="AH16" s="951"/>
      <c r="AI16" s="952"/>
      <c r="BM16" s="88">
        <v>11</v>
      </c>
    </row>
    <row r="17" spans="4:65" ht="15" customHeight="1">
      <c r="D17" s="943" t="s">
        <v>39</v>
      </c>
      <c r="E17" s="945" t="s">
        <v>216</v>
      </c>
      <c r="F17" s="945" t="s">
        <v>218</v>
      </c>
      <c r="G17" s="948" t="s">
        <v>3</v>
      </c>
      <c r="H17" s="97"/>
      <c r="I17" s="950"/>
      <c r="J17" s="908"/>
      <c r="K17" s="72"/>
      <c r="L17" s="902"/>
      <c r="M17" s="902"/>
      <c r="N17" s="98"/>
      <c r="O17" s="902"/>
      <c r="P17" s="908"/>
      <c r="Q17" s="72"/>
      <c r="R17" s="902"/>
      <c r="S17" s="902"/>
      <c r="T17" s="99"/>
      <c r="U17" s="902"/>
      <c r="V17" s="908"/>
      <c r="W17" s="73"/>
      <c r="X17" s="902"/>
      <c r="Y17" s="902"/>
      <c r="Z17" s="98"/>
      <c r="AA17" s="902"/>
      <c r="AB17" s="908"/>
      <c r="AC17" s="100"/>
      <c r="AD17" s="902"/>
      <c r="AE17" s="902"/>
      <c r="AF17" s="73"/>
      <c r="AG17" s="73"/>
      <c r="AH17" s="98"/>
      <c r="AI17" s="75"/>
      <c r="BM17" s="39">
        <v>14</v>
      </c>
    </row>
    <row r="18" spans="4:65" ht="14.65" customHeight="1">
      <c r="D18" s="943"/>
      <c r="E18" s="945"/>
      <c r="F18" s="945"/>
      <c r="G18" s="949"/>
      <c r="H18" s="102"/>
      <c r="I18" s="885"/>
      <c r="J18" s="885"/>
      <c r="L18" s="885"/>
      <c r="M18" s="885"/>
      <c r="O18" s="885"/>
      <c r="P18" s="885"/>
      <c r="R18" s="885"/>
      <c r="S18" s="885"/>
      <c r="U18" s="885"/>
      <c r="V18" s="885"/>
      <c r="X18" s="885"/>
      <c r="Y18" s="885"/>
      <c r="AA18" s="885"/>
      <c r="AB18" s="885"/>
      <c r="AD18" s="885"/>
      <c r="AE18" s="885"/>
      <c r="AH18" s="885"/>
      <c r="AI18" s="953"/>
      <c r="BM18" s="39">
        <v>14</v>
      </c>
    </row>
    <row r="19" spans="4:65" ht="14.65" customHeight="1">
      <c r="D19" s="943"/>
      <c r="E19" s="945"/>
      <c r="F19" s="945"/>
      <c r="G19" s="949"/>
      <c r="H19" s="102"/>
      <c r="I19" s="885"/>
      <c r="J19" s="885"/>
      <c r="L19" s="885"/>
      <c r="M19" s="885"/>
      <c r="O19" s="885"/>
      <c r="P19" s="885"/>
      <c r="R19" s="885"/>
      <c r="S19" s="885"/>
      <c r="U19" s="885"/>
      <c r="V19" s="885"/>
      <c r="X19" s="885"/>
      <c r="Y19" s="885"/>
      <c r="AB19" s="885"/>
      <c r="AC19" s="885"/>
      <c r="AD19" s="885"/>
      <c r="AE19" s="885"/>
      <c r="AF19" s="885"/>
      <c r="AG19" s="885"/>
      <c r="AH19" s="885"/>
      <c r="AI19" s="953"/>
      <c r="BM19" s="39">
        <v>14</v>
      </c>
    </row>
    <row r="20" spans="4:65" ht="14.65" customHeight="1">
      <c r="D20" s="943"/>
      <c r="E20" s="945"/>
      <c r="F20" s="945"/>
      <c r="G20" s="949"/>
      <c r="H20" s="102"/>
      <c r="I20" s="885"/>
      <c r="J20" s="885"/>
      <c r="L20" s="885"/>
      <c r="M20" s="885"/>
      <c r="O20" s="885"/>
      <c r="P20" s="885"/>
      <c r="R20" s="885"/>
      <c r="S20" s="885"/>
      <c r="V20" s="885"/>
      <c r="W20" s="885"/>
      <c r="X20" s="885"/>
      <c r="Y20" s="885"/>
      <c r="Z20" s="885"/>
      <c r="AA20" s="885"/>
      <c r="AB20" s="885"/>
      <c r="AC20" s="885"/>
      <c r="AD20" s="885"/>
      <c r="AE20" s="885"/>
      <c r="AF20" s="885"/>
      <c r="AG20" s="885"/>
      <c r="AH20" s="885"/>
      <c r="AI20" s="953"/>
      <c r="BM20" s="39">
        <v>14</v>
      </c>
    </row>
    <row r="21" spans="4:65" ht="11.45" customHeight="1">
      <c r="D21" s="943"/>
      <c r="E21" s="945"/>
      <c r="F21" s="945"/>
      <c r="G21" s="949"/>
      <c r="H21" s="103"/>
      <c r="I21" s="885"/>
      <c r="J21" s="885"/>
      <c r="L21" s="885"/>
      <c r="M21" s="885"/>
      <c r="P21" s="885"/>
      <c r="Q21" s="885"/>
      <c r="R21" s="885"/>
      <c r="S21" s="885"/>
      <c r="T21" s="885"/>
      <c r="U21" s="885"/>
      <c r="V21" s="885"/>
      <c r="W21" s="885"/>
      <c r="X21" s="885"/>
      <c r="Y21" s="885"/>
      <c r="Z21" s="885"/>
      <c r="AA21" s="885"/>
      <c r="AB21" s="885"/>
      <c r="AC21" s="885"/>
      <c r="AD21" s="885"/>
      <c r="AE21" s="885"/>
      <c r="AF21" s="885"/>
      <c r="AG21" s="885"/>
      <c r="AH21" s="885"/>
      <c r="AI21" s="953"/>
      <c r="BM21" s="39">
        <v>11</v>
      </c>
    </row>
    <row r="22" spans="4:65" ht="11.45" customHeight="1">
      <c r="D22" s="944"/>
      <c r="E22" s="946"/>
      <c r="F22" s="947"/>
      <c r="G22" s="900"/>
      <c r="H22" s="106"/>
      <c r="I22" s="107"/>
      <c r="J22" s="951"/>
      <c r="K22" s="951"/>
      <c r="L22" s="951"/>
      <c r="M22" s="951"/>
      <c r="N22" s="951"/>
      <c r="O22" s="951"/>
      <c r="P22" s="951"/>
      <c r="Q22" s="951"/>
      <c r="R22" s="951"/>
      <c r="S22" s="951"/>
      <c r="T22" s="951"/>
      <c r="U22" s="951"/>
      <c r="V22" s="951"/>
      <c r="W22" s="951"/>
      <c r="X22" s="951"/>
      <c r="Y22" s="951"/>
      <c r="Z22" s="951"/>
      <c r="AA22" s="951"/>
      <c r="AB22" s="951"/>
      <c r="AC22" s="951"/>
      <c r="AD22" s="951"/>
      <c r="AE22" s="951"/>
      <c r="AF22" s="951"/>
      <c r="AG22" s="951"/>
      <c r="AH22" s="951"/>
      <c r="AI22" s="952"/>
      <c r="BM22" s="88">
        <v>11</v>
      </c>
    </row>
    <row r="23" spans="4:65" ht="15" customHeight="1">
      <c r="D23" s="943" t="s">
        <v>26</v>
      </c>
      <c r="E23" s="945" t="s">
        <v>216</v>
      </c>
      <c r="F23" s="945" t="s">
        <v>219</v>
      </c>
      <c r="G23" s="948" t="s">
        <v>3</v>
      </c>
      <c r="H23" s="97"/>
      <c r="I23" s="950"/>
      <c r="J23" s="908"/>
      <c r="K23" s="72"/>
      <c r="L23" s="902"/>
      <c r="M23" s="902"/>
      <c r="N23" s="98"/>
      <c r="O23" s="902"/>
      <c r="P23" s="908"/>
      <c r="Q23" s="72"/>
      <c r="R23" s="902"/>
      <c r="S23" s="902"/>
      <c r="T23" s="99"/>
      <c r="U23" s="902"/>
      <c r="V23" s="908"/>
      <c r="W23" s="73"/>
      <c r="X23" s="902"/>
      <c r="Y23" s="902"/>
      <c r="Z23" s="98"/>
      <c r="AA23" s="902"/>
      <c r="AB23" s="908"/>
      <c r="AC23" s="100"/>
      <c r="AD23" s="902"/>
      <c r="AE23" s="902"/>
      <c r="AF23" s="73"/>
      <c r="AG23" s="73"/>
      <c r="AH23" s="98"/>
      <c r="AI23" s="75"/>
      <c r="AK23" s="108" t="s">
        <v>30</v>
      </c>
      <c r="BM23" s="39">
        <v>14</v>
      </c>
    </row>
    <row r="24" spans="4:65" ht="14.65" customHeight="1">
      <c r="D24" s="943"/>
      <c r="E24" s="945"/>
      <c r="F24" s="945"/>
      <c r="G24" s="949"/>
      <c r="H24" s="102"/>
      <c r="I24" s="885"/>
      <c r="J24" s="885"/>
      <c r="L24" s="885"/>
      <c r="M24" s="885"/>
      <c r="O24" s="885"/>
      <c r="P24" s="885"/>
      <c r="R24" s="885"/>
      <c r="S24" s="885"/>
      <c r="U24" s="885"/>
      <c r="V24" s="885"/>
      <c r="X24" s="885"/>
      <c r="Y24" s="885"/>
      <c r="AA24" s="885"/>
      <c r="AB24" s="885"/>
      <c r="AD24" s="885"/>
      <c r="AE24" s="885"/>
      <c r="AH24" s="885"/>
      <c r="AI24" s="953"/>
      <c r="BM24" s="39">
        <v>14</v>
      </c>
    </row>
    <row r="25" spans="4:65" ht="14.65" customHeight="1">
      <c r="D25" s="943"/>
      <c r="E25" s="945"/>
      <c r="F25" s="945"/>
      <c r="G25" s="949"/>
      <c r="H25" s="102"/>
      <c r="I25" s="885"/>
      <c r="J25" s="885"/>
      <c r="L25" s="885"/>
      <c r="M25" s="885"/>
      <c r="O25" s="885"/>
      <c r="P25" s="885"/>
      <c r="R25" s="885"/>
      <c r="S25" s="885"/>
      <c r="U25" s="885"/>
      <c r="V25" s="885"/>
      <c r="X25" s="885"/>
      <c r="Y25" s="885"/>
      <c r="AB25" s="885"/>
      <c r="AC25" s="885"/>
      <c r="AD25" s="885"/>
      <c r="AE25" s="885"/>
      <c r="AF25" s="885"/>
      <c r="AG25" s="885"/>
      <c r="AH25" s="885"/>
      <c r="AI25" s="953"/>
      <c r="BM25" s="39">
        <v>14</v>
      </c>
    </row>
    <row r="26" spans="4:65" ht="14.65" customHeight="1">
      <c r="D26" s="943"/>
      <c r="E26" s="945"/>
      <c r="F26" s="945"/>
      <c r="G26" s="949"/>
      <c r="H26" s="102"/>
      <c r="I26" s="885"/>
      <c r="J26" s="885"/>
      <c r="L26" s="885"/>
      <c r="M26" s="885"/>
      <c r="O26" s="885"/>
      <c r="P26" s="885"/>
      <c r="R26" s="885"/>
      <c r="S26" s="885"/>
      <c r="V26" s="885"/>
      <c r="W26" s="885"/>
      <c r="X26" s="885"/>
      <c r="Y26" s="885"/>
      <c r="Z26" s="885"/>
      <c r="AA26" s="885"/>
      <c r="AB26" s="885"/>
      <c r="AC26" s="885"/>
      <c r="AD26" s="885"/>
      <c r="AE26" s="885"/>
      <c r="AF26" s="885"/>
      <c r="AG26" s="885"/>
      <c r="AH26" s="885"/>
      <c r="AI26" s="953"/>
      <c r="BM26" s="39">
        <v>14</v>
      </c>
    </row>
    <row r="27" spans="4:65" ht="11.45" customHeight="1">
      <c r="D27" s="943"/>
      <c r="E27" s="945"/>
      <c r="F27" s="945"/>
      <c r="G27" s="949"/>
      <c r="H27" s="103"/>
      <c r="I27" s="885"/>
      <c r="J27" s="885"/>
      <c r="L27" s="885"/>
      <c r="M27" s="885"/>
      <c r="P27" s="885"/>
      <c r="Q27" s="885"/>
      <c r="R27" s="885"/>
      <c r="S27" s="885"/>
      <c r="T27" s="885"/>
      <c r="U27" s="885"/>
      <c r="V27" s="885"/>
      <c r="W27" s="885"/>
      <c r="X27" s="885"/>
      <c r="Y27" s="885"/>
      <c r="Z27" s="885"/>
      <c r="AA27" s="885"/>
      <c r="AB27" s="885"/>
      <c r="AC27" s="885"/>
      <c r="AD27" s="885"/>
      <c r="AE27" s="885"/>
      <c r="AF27" s="885"/>
      <c r="AG27" s="885"/>
      <c r="AH27" s="885"/>
      <c r="AI27" s="953"/>
      <c r="BM27" s="39">
        <v>11</v>
      </c>
    </row>
    <row r="28" spans="4:65" ht="11.45" customHeight="1">
      <c r="D28" s="944"/>
      <c r="E28" s="946"/>
      <c r="F28" s="947"/>
      <c r="G28" s="900"/>
      <c r="H28" s="106"/>
      <c r="I28" s="107"/>
      <c r="J28" s="951"/>
      <c r="K28" s="951"/>
      <c r="L28" s="951"/>
      <c r="M28" s="951"/>
      <c r="N28" s="951"/>
      <c r="O28" s="951"/>
      <c r="P28" s="951"/>
      <c r="Q28" s="951"/>
      <c r="R28" s="951"/>
      <c r="S28" s="951"/>
      <c r="T28" s="951"/>
      <c r="U28" s="951"/>
      <c r="V28" s="951"/>
      <c r="W28" s="951"/>
      <c r="X28" s="951"/>
      <c r="Y28" s="951"/>
      <c r="Z28" s="951"/>
      <c r="AA28" s="951"/>
      <c r="AB28" s="951"/>
      <c r="AC28" s="951"/>
      <c r="AD28" s="951"/>
      <c r="AE28" s="951"/>
      <c r="AF28" s="951"/>
      <c r="AG28" s="951"/>
      <c r="AH28" s="951"/>
      <c r="AI28" s="952"/>
      <c r="BM28" s="88">
        <v>11</v>
      </c>
    </row>
    <row r="29" spans="4:65" ht="15" customHeight="1">
      <c r="D29" s="943" t="s">
        <v>27</v>
      </c>
      <c r="E29" s="945" t="s">
        <v>216</v>
      </c>
      <c r="F29" s="945" t="s">
        <v>220</v>
      </c>
      <c r="G29" s="948" t="s">
        <v>3</v>
      </c>
      <c r="H29" s="97"/>
      <c r="I29" s="950"/>
      <c r="J29" s="908"/>
      <c r="K29" s="72"/>
      <c r="L29" s="902"/>
      <c r="M29" s="902"/>
      <c r="N29" s="98"/>
      <c r="O29" s="902"/>
      <c r="P29" s="908"/>
      <c r="Q29" s="72"/>
      <c r="R29" s="902"/>
      <c r="S29" s="902"/>
      <c r="T29" s="99"/>
      <c r="U29" s="902"/>
      <c r="V29" s="908"/>
      <c r="W29" s="73"/>
      <c r="X29" s="902"/>
      <c r="Y29" s="902"/>
      <c r="Z29" s="98"/>
      <c r="AA29" s="902"/>
      <c r="AB29" s="908"/>
      <c r="AC29" s="100"/>
      <c r="AD29" s="902"/>
      <c r="AE29" s="902"/>
      <c r="AF29" s="73"/>
      <c r="AG29" s="73"/>
      <c r="AH29" s="98"/>
      <c r="AI29" s="75"/>
      <c r="BM29" s="39">
        <v>14</v>
      </c>
    </row>
    <row r="30" spans="4:65" ht="14.65" customHeight="1">
      <c r="D30" s="943"/>
      <c r="E30" s="945"/>
      <c r="F30" s="945"/>
      <c r="G30" s="949"/>
      <c r="H30" s="102"/>
      <c r="I30" s="885"/>
      <c r="J30" s="885"/>
      <c r="L30" s="885"/>
      <c r="M30" s="885"/>
      <c r="O30" s="885"/>
      <c r="P30" s="885"/>
      <c r="R30" s="885"/>
      <c r="S30" s="885"/>
      <c r="U30" s="885"/>
      <c r="V30" s="885"/>
      <c r="X30" s="885"/>
      <c r="Y30" s="885"/>
      <c r="AA30" s="885"/>
      <c r="AB30" s="885"/>
      <c r="AD30" s="885"/>
      <c r="AE30" s="885"/>
      <c r="AH30" s="885"/>
      <c r="AI30" s="953"/>
      <c r="BM30" s="39">
        <v>14</v>
      </c>
    </row>
    <row r="31" spans="4:65" ht="14.65" customHeight="1">
      <c r="D31" s="943"/>
      <c r="E31" s="945"/>
      <c r="F31" s="945"/>
      <c r="G31" s="949"/>
      <c r="H31" s="102"/>
      <c r="I31" s="885"/>
      <c r="J31" s="885"/>
      <c r="L31" s="885"/>
      <c r="M31" s="885"/>
      <c r="O31" s="885"/>
      <c r="P31" s="885"/>
      <c r="R31" s="885"/>
      <c r="S31" s="885"/>
      <c r="U31" s="885"/>
      <c r="V31" s="885"/>
      <c r="X31" s="885"/>
      <c r="Y31" s="885"/>
      <c r="AB31" s="885"/>
      <c r="AC31" s="885"/>
      <c r="AD31" s="885"/>
      <c r="AE31" s="885"/>
      <c r="AF31" s="885"/>
      <c r="AG31" s="885"/>
      <c r="AH31" s="885"/>
      <c r="AI31" s="953"/>
      <c r="BM31" s="39">
        <v>14</v>
      </c>
    </row>
    <row r="32" spans="4:65" ht="14.65" customHeight="1">
      <c r="D32" s="943"/>
      <c r="E32" s="945"/>
      <c r="F32" s="945"/>
      <c r="G32" s="949"/>
      <c r="H32" s="102"/>
      <c r="I32" s="885"/>
      <c r="J32" s="885"/>
      <c r="L32" s="885"/>
      <c r="M32" s="885"/>
      <c r="O32" s="885"/>
      <c r="P32" s="885"/>
      <c r="R32" s="885"/>
      <c r="S32" s="885"/>
      <c r="V32" s="885"/>
      <c r="W32" s="885"/>
      <c r="X32" s="885"/>
      <c r="Y32" s="885"/>
      <c r="Z32" s="885"/>
      <c r="AA32" s="885"/>
      <c r="AB32" s="885"/>
      <c r="AC32" s="885"/>
      <c r="AD32" s="885"/>
      <c r="AE32" s="885"/>
      <c r="AF32" s="885"/>
      <c r="AG32" s="885"/>
      <c r="AH32" s="885"/>
      <c r="AI32" s="953"/>
      <c r="BM32" s="39">
        <v>14</v>
      </c>
    </row>
    <row r="33" spans="4:65" ht="11.45" customHeight="1">
      <c r="D33" s="943"/>
      <c r="E33" s="945"/>
      <c r="F33" s="945"/>
      <c r="G33" s="949"/>
      <c r="H33" s="103"/>
      <c r="I33" s="885"/>
      <c r="J33" s="885"/>
      <c r="L33" s="885"/>
      <c r="M33" s="885"/>
      <c r="P33" s="885"/>
      <c r="Q33" s="885"/>
      <c r="R33" s="885"/>
      <c r="S33" s="885"/>
      <c r="T33" s="885"/>
      <c r="U33" s="885"/>
      <c r="V33" s="885"/>
      <c r="W33" s="885"/>
      <c r="X33" s="885"/>
      <c r="Y33" s="885"/>
      <c r="Z33" s="885"/>
      <c r="AA33" s="885"/>
      <c r="AB33" s="885"/>
      <c r="AC33" s="885"/>
      <c r="AD33" s="885"/>
      <c r="AE33" s="885"/>
      <c r="AF33" s="885"/>
      <c r="AG33" s="885"/>
      <c r="AH33" s="885"/>
      <c r="AI33" s="953"/>
      <c r="BM33" s="39">
        <v>11</v>
      </c>
    </row>
    <row r="34" spans="4:65" ht="11.45" customHeight="1">
      <c r="D34" s="944"/>
      <c r="E34" s="946"/>
      <c r="F34" s="947"/>
      <c r="G34" s="900"/>
      <c r="H34" s="106"/>
      <c r="I34" s="107"/>
      <c r="J34" s="951"/>
      <c r="K34" s="951"/>
      <c r="L34" s="951"/>
      <c r="M34" s="951"/>
      <c r="N34" s="951"/>
      <c r="O34" s="951"/>
      <c r="P34" s="951"/>
      <c r="Q34" s="951"/>
      <c r="R34" s="951"/>
      <c r="S34" s="951"/>
      <c r="T34" s="951"/>
      <c r="U34" s="951"/>
      <c r="V34" s="951"/>
      <c r="W34" s="951"/>
      <c r="X34" s="951"/>
      <c r="Y34" s="951"/>
      <c r="Z34" s="951"/>
      <c r="AA34" s="951"/>
      <c r="AB34" s="951"/>
      <c r="AC34" s="951"/>
      <c r="AD34" s="951"/>
      <c r="AE34" s="951"/>
      <c r="AF34" s="951"/>
      <c r="AG34" s="951"/>
      <c r="AH34" s="951"/>
      <c r="AI34" s="952"/>
      <c r="BM34" s="88">
        <v>11</v>
      </c>
    </row>
    <row r="35" spans="4:65" ht="15" customHeight="1">
      <c r="D35" s="943" t="s">
        <v>40</v>
      </c>
      <c r="E35" s="945" t="s">
        <v>216</v>
      </c>
      <c r="F35" s="945" t="s">
        <v>221</v>
      </c>
      <c r="G35" s="948" t="s">
        <v>3</v>
      </c>
      <c r="H35" s="97"/>
      <c r="I35" s="950"/>
      <c r="J35" s="908"/>
      <c r="K35" s="72"/>
      <c r="L35" s="902"/>
      <c r="M35" s="902"/>
      <c r="N35" s="98"/>
      <c r="O35" s="902"/>
      <c r="P35" s="908"/>
      <c r="Q35" s="72"/>
      <c r="R35" s="902"/>
      <c r="S35" s="902"/>
      <c r="T35" s="99"/>
      <c r="U35" s="902"/>
      <c r="V35" s="908"/>
      <c r="W35" s="73"/>
      <c r="X35" s="902"/>
      <c r="Y35" s="902"/>
      <c r="Z35" s="98"/>
      <c r="AA35" s="902"/>
      <c r="AB35" s="908"/>
      <c r="AC35" s="100"/>
      <c r="AD35" s="902"/>
      <c r="AE35" s="902"/>
      <c r="AF35" s="73"/>
      <c r="AG35" s="73"/>
      <c r="AH35" s="98"/>
      <c r="AI35" s="75"/>
      <c r="BM35" s="39">
        <v>14</v>
      </c>
    </row>
    <row r="36" spans="4:65" ht="14.65" customHeight="1">
      <c r="D36" s="943"/>
      <c r="E36" s="945"/>
      <c r="F36" s="945"/>
      <c r="G36" s="949"/>
      <c r="H36" s="102"/>
      <c r="I36" s="885"/>
      <c r="J36" s="885"/>
      <c r="L36" s="885"/>
      <c r="M36" s="885"/>
      <c r="O36" s="885"/>
      <c r="P36" s="885"/>
      <c r="R36" s="885"/>
      <c r="S36" s="885"/>
      <c r="U36" s="885"/>
      <c r="V36" s="885"/>
      <c r="X36" s="885"/>
      <c r="Y36" s="885"/>
      <c r="AA36" s="885"/>
      <c r="AB36" s="885"/>
      <c r="AD36" s="885"/>
      <c r="AE36" s="885"/>
      <c r="AH36" s="885"/>
      <c r="AI36" s="953"/>
      <c r="BM36" s="39">
        <v>14</v>
      </c>
    </row>
    <row r="37" spans="4:65" ht="14.65" customHeight="1">
      <c r="D37" s="943"/>
      <c r="E37" s="945"/>
      <c r="F37" s="945"/>
      <c r="G37" s="949"/>
      <c r="H37" s="102"/>
      <c r="I37" s="885"/>
      <c r="J37" s="885"/>
      <c r="L37" s="885"/>
      <c r="M37" s="885"/>
      <c r="O37" s="885"/>
      <c r="P37" s="885"/>
      <c r="R37" s="885"/>
      <c r="S37" s="885"/>
      <c r="U37" s="885"/>
      <c r="V37" s="885"/>
      <c r="X37" s="885"/>
      <c r="Y37" s="885"/>
      <c r="AB37" s="885"/>
      <c r="AC37" s="885"/>
      <c r="AD37" s="885"/>
      <c r="AE37" s="885"/>
      <c r="AF37" s="885"/>
      <c r="AG37" s="885"/>
      <c r="AH37" s="885"/>
      <c r="AI37" s="953"/>
      <c r="BM37" s="39">
        <v>14</v>
      </c>
    </row>
    <row r="38" spans="4:65" ht="14.65" customHeight="1">
      <c r="D38" s="943"/>
      <c r="E38" s="945"/>
      <c r="F38" s="945"/>
      <c r="G38" s="949"/>
      <c r="H38" s="102"/>
      <c r="I38" s="885"/>
      <c r="J38" s="885"/>
      <c r="L38" s="885"/>
      <c r="M38" s="885"/>
      <c r="O38" s="885"/>
      <c r="P38" s="885"/>
      <c r="R38" s="885"/>
      <c r="S38" s="885"/>
      <c r="V38" s="885"/>
      <c r="W38" s="885"/>
      <c r="X38" s="885"/>
      <c r="Y38" s="885"/>
      <c r="Z38" s="885"/>
      <c r="AA38" s="885"/>
      <c r="AB38" s="885"/>
      <c r="AC38" s="885"/>
      <c r="AD38" s="885"/>
      <c r="AE38" s="885"/>
      <c r="AF38" s="885"/>
      <c r="AG38" s="885"/>
      <c r="AH38" s="885"/>
      <c r="AI38" s="953"/>
      <c r="BM38" s="39">
        <v>14</v>
      </c>
    </row>
    <row r="39" spans="4:65" ht="11.45" customHeight="1">
      <c r="D39" s="943"/>
      <c r="E39" s="945"/>
      <c r="F39" s="945"/>
      <c r="G39" s="949"/>
      <c r="H39" s="103"/>
      <c r="I39" s="885"/>
      <c r="J39" s="885"/>
      <c r="L39" s="885"/>
      <c r="M39" s="885"/>
      <c r="P39" s="885"/>
      <c r="Q39" s="885"/>
      <c r="R39" s="885"/>
      <c r="S39" s="885"/>
      <c r="T39" s="885"/>
      <c r="U39" s="885"/>
      <c r="V39" s="885"/>
      <c r="W39" s="885"/>
      <c r="X39" s="885"/>
      <c r="Y39" s="885"/>
      <c r="Z39" s="885"/>
      <c r="AA39" s="885"/>
      <c r="AB39" s="885"/>
      <c r="AC39" s="885"/>
      <c r="AD39" s="885"/>
      <c r="AE39" s="885"/>
      <c r="AF39" s="885"/>
      <c r="AG39" s="885"/>
      <c r="AH39" s="885"/>
      <c r="AI39" s="953"/>
      <c r="BM39" s="39">
        <v>11</v>
      </c>
    </row>
    <row r="40" spans="4:65" ht="11.45" customHeight="1">
      <c r="D40" s="943"/>
      <c r="E40" s="945"/>
      <c r="F40" s="954"/>
      <c r="G40" s="900"/>
      <c r="H40" s="106"/>
      <c r="I40" s="107"/>
      <c r="J40" s="951"/>
      <c r="K40" s="951"/>
      <c r="L40" s="951"/>
      <c r="M40" s="951"/>
      <c r="N40" s="951"/>
      <c r="O40" s="951"/>
      <c r="P40" s="951"/>
      <c r="Q40" s="951"/>
      <c r="R40" s="951"/>
      <c r="S40" s="951"/>
      <c r="T40" s="951"/>
      <c r="U40" s="951"/>
      <c r="V40" s="951"/>
      <c r="W40" s="951"/>
      <c r="X40" s="951"/>
      <c r="Y40" s="951"/>
      <c r="Z40" s="951"/>
      <c r="AA40" s="951"/>
      <c r="AB40" s="951"/>
      <c r="AC40" s="951"/>
      <c r="AD40" s="951"/>
      <c r="AE40" s="951"/>
      <c r="AF40" s="951"/>
      <c r="AG40" s="951"/>
      <c r="AH40" s="951"/>
      <c r="AI40" s="952"/>
      <c r="BM40" s="88">
        <v>11</v>
      </c>
    </row>
    <row r="41" spans="4:65" ht="11.45" customHeight="1">
      <c r="BM41" s="39">
        <v>11</v>
      </c>
    </row>
    <row r="42" spans="4:65" ht="11.45" customHeight="1">
      <c r="BM42" s="39">
        <v>11</v>
      </c>
    </row>
    <row r="43" spans="4:65" ht="11.45" customHeight="1">
      <c r="BM43" s="39">
        <v>11</v>
      </c>
    </row>
    <row r="44" spans="4:65" ht="11.45" customHeight="1">
      <c r="BM44" s="39">
        <v>11</v>
      </c>
    </row>
    <row r="45" spans="4:65" ht="11.45" customHeight="1">
      <c r="BM45" s="39">
        <v>11</v>
      </c>
    </row>
    <row r="46" spans="4:65" ht="11.45" customHeight="1">
      <c r="BM46" s="39">
        <v>11</v>
      </c>
    </row>
    <row r="47" spans="4:65" ht="11.45" customHeight="1">
      <c r="BM47" s="39">
        <v>11</v>
      </c>
    </row>
    <row r="48" spans="4:65" ht="11.45" customHeight="1">
      <c r="BM48" s="39">
        <v>11</v>
      </c>
    </row>
    <row r="49" spans="1:65" ht="11.45" customHeight="1">
      <c r="BM49" s="39">
        <v>11</v>
      </c>
    </row>
    <row r="50" spans="1:65" ht="11.25" hidden="1" customHeight="1">
      <c r="A50" s="39" t="s">
        <v>18</v>
      </c>
      <c r="B50" s="39">
        <v>0</v>
      </c>
      <c r="C50" s="39">
        <v>3</v>
      </c>
      <c r="D50" s="39">
        <v>3</v>
      </c>
      <c r="E50" s="39">
        <v>15</v>
      </c>
      <c r="F50" s="39">
        <v>15</v>
      </c>
      <c r="G50" s="39">
        <v>11</v>
      </c>
      <c r="H50" s="39">
        <v>3</v>
      </c>
      <c r="I50" s="39">
        <v>3</v>
      </c>
      <c r="J50" s="39">
        <v>12</v>
      </c>
      <c r="K50" s="39">
        <v>0</v>
      </c>
      <c r="L50" s="39">
        <v>10</v>
      </c>
      <c r="M50" s="39">
        <v>10</v>
      </c>
      <c r="N50" s="39">
        <v>3</v>
      </c>
      <c r="O50" s="39">
        <v>3</v>
      </c>
      <c r="P50" s="39">
        <v>19</v>
      </c>
      <c r="Q50" s="39">
        <v>0</v>
      </c>
      <c r="R50" s="39">
        <v>10</v>
      </c>
      <c r="S50" s="39">
        <v>10</v>
      </c>
      <c r="T50" s="39">
        <v>3</v>
      </c>
      <c r="U50" s="39">
        <v>3</v>
      </c>
      <c r="V50" s="39">
        <v>25</v>
      </c>
      <c r="W50" s="39">
        <v>0</v>
      </c>
      <c r="X50" s="39">
        <v>10</v>
      </c>
      <c r="Y50" s="39">
        <v>10</v>
      </c>
      <c r="Z50" s="39">
        <v>3</v>
      </c>
      <c r="AA50" s="39">
        <v>3</v>
      </c>
      <c r="AB50" s="39">
        <v>16</v>
      </c>
      <c r="AC50" s="39">
        <v>0</v>
      </c>
      <c r="AD50" s="39">
        <v>10</v>
      </c>
      <c r="AE50" s="39">
        <v>10</v>
      </c>
      <c r="AF50" s="39">
        <v>3</v>
      </c>
      <c r="AG50" s="39">
        <v>3</v>
      </c>
      <c r="AH50" s="39">
        <v>8</v>
      </c>
      <c r="AI50" s="39">
        <v>21</v>
      </c>
      <c r="AJ50" s="39">
        <v>8</v>
      </c>
      <c r="AK50" s="108">
        <v>8</v>
      </c>
      <c r="AL50" s="39">
        <v>8</v>
      </c>
      <c r="AM50" s="39">
        <v>8</v>
      </c>
      <c r="AN50" s="39">
        <v>8</v>
      </c>
      <c r="AO50" s="39">
        <v>8</v>
      </c>
      <c r="AP50" s="39">
        <v>8</v>
      </c>
      <c r="AQ50" s="39">
        <v>8</v>
      </c>
      <c r="AR50" s="39">
        <v>8</v>
      </c>
      <c r="AS50" s="39">
        <v>8</v>
      </c>
      <c r="AT50" s="39">
        <v>8</v>
      </c>
      <c r="AU50" s="39">
        <v>8</v>
      </c>
      <c r="AV50" s="39">
        <v>8</v>
      </c>
      <c r="AW50" s="39">
        <v>8</v>
      </c>
      <c r="AX50" s="39">
        <v>8</v>
      </c>
      <c r="AY50" s="39">
        <v>8</v>
      </c>
      <c r="AZ50" s="39">
        <v>8</v>
      </c>
      <c r="BA50" s="39">
        <v>8</v>
      </c>
      <c r="BB50" s="39">
        <v>8</v>
      </c>
      <c r="BC50" s="39">
        <v>8</v>
      </c>
      <c r="BD50" s="39">
        <v>8</v>
      </c>
      <c r="BE50" s="39">
        <v>8</v>
      </c>
      <c r="BF50" s="39">
        <v>8</v>
      </c>
      <c r="BG50" s="39">
        <v>8</v>
      </c>
      <c r="BH50" s="39">
        <v>8</v>
      </c>
      <c r="BI50" s="39">
        <v>8</v>
      </c>
      <c r="BJ50" s="39">
        <v>8</v>
      </c>
      <c r="BK50" s="39">
        <v>8</v>
      </c>
      <c r="BL50" s="39">
        <v>8</v>
      </c>
      <c r="BM50" s="3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4.140625" hidden="1" customWidth="1"/>
    <col min="10" max="10" width="9.85546875" hidden="1" customWidth="1"/>
    <col min="11" max="11" width="14.710937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4" width="24.7109375" hidden="1" customWidth="1"/>
    <col min="25" max="25" width="11.7109375" hidden="1" customWidth="1"/>
    <col min="26" max="26" width="3.7109375" hidden="1" customWidth="1"/>
    <col min="27" max="27" width="11.7109375" hidden="1" customWidth="1"/>
    <col min="28" max="28" width="8.5703125" hidden="1" customWidth="1"/>
    <col min="29" max="29" width="24.7109375" customWidth="1"/>
    <col min="30" max="31" width="24" customWidth="1"/>
    <col min="32" max="32" width="11" customWidth="1"/>
    <col min="33" max="33" width="3.7109375" customWidth="1"/>
    <col min="34" max="34" width="11" customWidth="1"/>
    <col min="35" max="35" width="8.5703125" hidden="1" customWidth="1"/>
    <col min="36" max="36" width="4" customWidth="1"/>
    <col min="37" max="37" width="115" customWidth="1"/>
    <col min="38" max="42" width="10" customWidth="1"/>
    <col min="43" max="43" width="10.5703125" hidden="1"/>
  </cols>
  <sheetData>
    <row r="1" spans="5:43" ht="22.5" hidden="1" customHeight="1">
      <c r="AQ1" s="3" t="s">
        <v>1</v>
      </c>
    </row>
    <row r="2" spans="5:43" ht="23.25" hidden="1" customHeight="1">
      <c r="E2" s="1000">
        <v>1</v>
      </c>
      <c r="R2" s="225"/>
      <c r="S2" s="226" t="e">
        <f>INDEX(PT_DIFFERENTIATION_NUM_NTAR,MATCH(A2,PT_DIFFERENTIATION_NTAR_ID,0))</f>
        <v>#N/A</v>
      </c>
      <c r="T2" s="227" t="s">
        <v>48</v>
      </c>
      <c r="U2" s="228"/>
      <c r="V2" s="995"/>
      <c r="W2" s="996"/>
      <c r="X2" s="996"/>
      <c r="Y2" s="996"/>
      <c r="Z2" s="996"/>
      <c r="AA2" s="996"/>
      <c r="AB2" s="997"/>
      <c r="AC2" s="995" t="e">
        <f>INDEX(PT_DIFFERENTIATION_NTAR,MATCH(A2,PT_DIFFERENTIATION_NTAR_ID,0))</f>
        <v>#N/A</v>
      </c>
      <c r="AD2" s="996"/>
      <c r="AE2" s="996"/>
      <c r="AF2" s="996"/>
      <c r="AG2" s="996"/>
      <c r="AH2" s="996"/>
      <c r="AI2" s="996"/>
      <c r="AJ2" s="997"/>
      <c r="AK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2" s="29" t="str">
        <f t="shared" ref="AN2:AN13" si="0">IF(T2="","",T2)</f>
        <v>Наименование тарифа</v>
      </c>
      <c r="AQ2" s="3">
        <v>0</v>
      </c>
    </row>
    <row r="3" spans="5:43" ht="23.25" hidden="1" customHeight="1">
      <c r="E3" s="1001"/>
      <c r="F3" s="1000">
        <v>1</v>
      </c>
      <c r="Q3" s="231"/>
      <c r="R3" s="232"/>
      <c r="S3" s="226" t="e">
        <f>INDEX(PT_DIFFERENTIATION_NUM_TER,MATCH(B3,PT_DIFFERENTIATION_TER_ID,0))</f>
        <v>#N/A</v>
      </c>
      <c r="T3" s="233" t="s">
        <v>320</v>
      </c>
      <c r="U3" s="228"/>
      <c r="V3" s="995"/>
      <c r="W3" s="996"/>
      <c r="X3" s="996"/>
      <c r="Y3" s="996"/>
      <c r="Z3" s="996"/>
      <c r="AA3" s="996"/>
      <c r="AB3" s="997"/>
      <c r="AC3" s="995" t="e">
        <f>INDEX(PT_DIFFERENTIATION_TER,MATCH(B3,PT_DIFFERENTIATION_TER_ID,0))</f>
        <v>#N/A</v>
      </c>
      <c r="AD3" s="996"/>
      <c r="AE3" s="996"/>
      <c r="AF3" s="996"/>
      <c r="AG3" s="996"/>
      <c r="AH3" s="996"/>
      <c r="AI3" s="996"/>
      <c r="AJ3" s="997"/>
      <c r="AK3" s="230" t="s">
        <v>321</v>
      </c>
      <c r="AN3" s="29" t="str">
        <f t="shared" si="0"/>
        <v>Территория действия тарифа</v>
      </c>
      <c r="AQ3" s="3">
        <v>0</v>
      </c>
    </row>
    <row r="4" spans="5:43" ht="23.25" hidden="1" customHeight="1">
      <c r="E4" s="1001"/>
      <c r="F4" s="1001"/>
      <c r="G4" s="1000">
        <v>1</v>
      </c>
      <c r="Q4" s="231"/>
      <c r="R4" s="232"/>
      <c r="S4" s="226" t="e">
        <f>INDEX(PT_DIFFERENTIATION_NUM_CS,MATCH(C4,PT_DIFFERENTIATION_CS_ID,0))</f>
        <v>#N/A</v>
      </c>
      <c r="T4" s="234" t="s">
        <v>404</v>
      </c>
      <c r="U4" s="228"/>
      <c r="V4" s="995"/>
      <c r="W4" s="996"/>
      <c r="X4" s="996"/>
      <c r="Y4" s="996"/>
      <c r="Z4" s="996"/>
      <c r="AA4" s="996"/>
      <c r="AB4" s="997"/>
      <c r="AC4" s="995" t="e">
        <f>INDEX(PT_DIFFERENTIATION_CS,MATCH(C4,PT_DIFFERENTIATION_CS_ID,0))</f>
        <v>#N/A</v>
      </c>
      <c r="AD4" s="996"/>
      <c r="AE4" s="996"/>
      <c r="AF4" s="996"/>
      <c r="AG4" s="996"/>
      <c r="AH4" s="996"/>
      <c r="AI4" s="996"/>
      <c r="AJ4" s="997"/>
      <c r="AK4" s="230" t="s">
        <v>405</v>
      </c>
      <c r="AN4" s="29" t="str">
        <f t="shared" si="0"/>
        <v>Наименование централизованной системы холодного водоснабжения</v>
      </c>
      <c r="AQ4" s="3">
        <v>0</v>
      </c>
    </row>
    <row r="5" spans="5:43" ht="23.25" hidden="1" customHeight="1">
      <c r="E5" s="1001"/>
      <c r="F5" s="1001"/>
      <c r="G5" s="1001"/>
      <c r="H5" s="1001"/>
      <c r="I5" s="1002" t="e">
        <f>S4&amp;".1"</f>
        <v>#N/A</v>
      </c>
      <c r="P5" s="1004">
        <v>1</v>
      </c>
      <c r="R5" s="238"/>
      <c r="S5" s="226" t="e">
        <f>$I5</f>
        <v>#N/A</v>
      </c>
      <c r="T5" s="239" t="s">
        <v>406</v>
      </c>
      <c r="U5" s="228"/>
      <c r="V5" s="1068"/>
      <c r="W5" s="1069"/>
      <c r="X5" s="1069"/>
      <c r="Y5" s="1069"/>
      <c r="Z5" s="1069"/>
      <c r="AA5" s="1069"/>
      <c r="AB5" s="1070"/>
      <c r="AC5" s="1071"/>
      <c r="AD5" s="1072"/>
      <c r="AE5" s="1072"/>
      <c r="AF5" s="1072"/>
      <c r="AG5" s="1072"/>
      <c r="AH5" s="1072"/>
      <c r="AI5" s="1072"/>
      <c r="AJ5" s="1073"/>
      <c r="AK5" s="230" t="s">
        <v>407</v>
      </c>
      <c r="AN5" s="29" t="str">
        <f t="shared" si="0"/>
        <v>Наименование признака дифференциации</v>
      </c>
      <c r="AQ5" s="3">
        <v>0</v>
      </c>
    </row>
    <row r="6" spans="5:43" ht="23.25" hidden="1" customHeight="1">
      <c r="E6" s="1001"/>
      <c r="F6" s="1001"/>
      <c r="G6" s="1001"/>
      <c r="H6" s="1001"/>
      <c r="I6" s="1003"/>
      <c r="J6" s="1002" t="e">
        <f>I5&amp;".1"</f>
        <v>#N/A</v>
      </c>
      <c r="L6" s="237" t="s">
        <v>329</v>
      </c>
      <c r="P6" s="885"/>
      <c r="Q6" s="1004">
        <v>1</v>
      </c>
      <c r="R6" s="240"/>
      <c r="S6" s="226" t="e">
        <f>$J6</f>
        <v>#N/A</v>
      </c>
      <c r="T6" s="241" t="s">
        <v>330</v>
      </c>
      <c r="U6" s="228"/>
      <c r="V6" s="989"/>
      <c r="W6" s="990"/>
      <c r="X6" s="990"/>
      <c r="Y6" s="990"/>
      <c r="Z6" s="990"/>
      <c r="AA6" s="990"/>
      <c r="AB6" s="991"/>
      <c r="AC6" s="989"/>
      <c r="AD6" s="990"/>
      <c r="AE6" s="990"/>
      <c r="AF6" s="990"/>
      <c r="AG6" s="990"/>
      <c r="AH6" s="990"/>
      <c r="AI6" s="990"/>
      <c r="AJ6" s="991"/>
      <c r="AK6" s="317" t="s">
        <v>408</v>
      </c>
      <c r="AN6" s="29" t="str">
        <f t="shared" si="0"/>
        <v>Группа потребителей</v>
      </c>
      <c r="AQ6" s="3">
        <v>0</v>
      </c>
    </row>
    <row r="7" spans="5:43" ht="23.25" hidden="1" customHeight="1">
      <c r="E7" s="1001"/>
      <c r="F7" s="1001"/>
      <c r="G7" s="1001"/>
      <c r="H7" s="1001"/>
      <c r="I7" s="1003"/>
      <c r="J7" s="1003"/>
      <c r="K7" s="1002" t="e">
        <f>J6&amp;".1"</f>
        <v>#N/A</v>
      </c>
      <c r="P7" s="885"/>
      <c r="Q7" s="885"/>
      <c r="R7" s="240">
        <v>1</v>
      </c>
      <c r="S7" s="226" t="e">
        <f>$K7</f>
        <v>#N/A</v>
      </c>
      <c r="T7" s="357"/>
      <c r="U7" s="228"/>
      <c r="V7" s="243"/>
      <c r="W7" s="243"/>
      <c r="X7" s="245"/>
      <c r="Y7" s="1005"/>
      <c r="Z7" s="895" t="s">
        <v>17</v>
      </c>
      <c r="AA7" s="1005"/>
      <c r="AB7" s="895" t="s">
        <v>17</v>
      </c>
      <c r="AC7" s="243"/>
      <c r="AD7" s="243"/>
      <c r="AE7" s="245"/>
      <c r="AF7" s="1005"/>
      <c r="AG7" s="895" t="s">
        <v>17</v>
      </c>
      <c r="AH7" s="1007"/>
      <c r="AI7" s="895" t="s">
        <v>17</v>
      </c>
      <c r="AJ7" s="358"/>
      <c r="AK7" s="10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24" t="e">
        <f ca="1">STRCHECKDATE(V8:AJ8)</f>
        <v>#NAME?</v>
      </c>
      <c r="AN7" s="29" t="str">
        <f t="shared" si="0"/>
        <v/>
      </c>
      <c r="AQ7" s="3">
        <v>0</v>
      </c>
    </row>
    <row r="8" spans="5:43" ht="14.25" hidden="1" customHeight="1">
      <c r="E8" s="1001"/>
      <c r="F8" s="1001"/>
      <c r="G8" s="1001"/>
      <c r="H8" s="1001"/>
      <c r="I8" s="1003"/>
      <c r="J8" s="1003"/>
      <c r="K8" s="1002"/>
      <c r="P8" s="885"/>
      <c r="Q8" s="885"/>
      <c r="R8" s="240"/>
      <c r="S8" s="209"/>
      <c r="T8" s="228"/>
      <c r="U8" s="228"/>
      <c r="V8" s="244"/>
      <c r="W8" s="244"/>
      <c r="X8" s="247" t="str">
        <f>Y7&amp;"-"&amp;AA7</f>
        <v>-</v>
      </c>
      <c r="Y8" s="1006"/>
      <c r="Z8" s="895"/>
      <c r="AA8" s="1006"/>
      <c r="AB8" s="895"/>
      <c r="AC8" s="244"/>
      <c r="AD8" s="244"/>
      <c r="AE8" s="247" t="str">
        <f>AF7&amp;"-"&amp;AH7</f>
        <v>-</v>
      </c>
      <c r="AF8" s="1006"/>
      <c r="AG8" s="895"/>
      <c r="AH8" s="1008"/>
      <c r="AI8" s="895"/>
      <c r="AJ8" s="359"/>
      <c r="AK8" s="1074"/>
      <c r="AN8" s="29" t="str">
        <f t="shared" si="0"/>
        <v/>
      </c>
      <c r="AQ8" s="3">
        <v>0</v>
      </c>
    </row>
    <row r="9" spans="5:43" ht="21" hidden="1" customHeight="1">
      <c r="E9" s="1001"/>
      <c r="F9" s="1001"/>
      <c r="G9" s="1001"/>
      <c r="H9" s="1001"/>
      <c r="I9" s="1003"/>
      <c r="J9" s="1002"/>
      <c r="P9" s="885"/>
      <c r="Q9" s="885"/>
      <c r="R9" s="238"/>
      <c r="S9" s="249"/>
      <c r="T9" s="252" t="s">
        <v>409</v>
      </c>
      <c r="U9" s="54"/>
      <c r="V9" s="54"/>
      <c r="W9" s="54"/>
      <c r="X9" s="54"/>
      <c r="Y9" s="54"/>
      <c r="Z9" s="54"/>
      <c r="AA9" s="54"/>
      <c r="AB9" s="54"/>
      <c r="AC9" s="54"/>
      <c r="AD9" s="54"/>
      <c r="AE9" s="54"/>
      <c r="AF9" s="54"/>
      <c r="AG9" s="54"/>
      <c r="AH9" s="54"/>
      <c r="AI9" s="54"/>
      <c r="AJ9" s="54"/>
      <c r="AK9" s="230" t="s">
        <v>410</v>
      </c>
      <c r="AN9" s="29" t="str">
        <f t="shared" si="0"/>
        <v>Добавить значение признака дифференциации</v>
      </c>
      <c r="AQ9" s="3">
        <v>0</v>
      </c>
    </row>
    <row r="10" spans="5:43" ht="21" hidden="1" customHeight="1">
      <c r="E10" s="1001"/>
      <c r="F10" s="1001"/>
      <c r="G10" s="1001"/>
      <c r="H10" s="1001"/>
      <c r="I10" s="1002"/>
      <c r="P10" s="885"/>
      <c r="R10" s="238"/>
      <c r="S10" s="249"/>
      <c r="T10" s="255" t="s">
        <v>335</v>
      </c>
      <c r="U10" s="54"/>
      <c r="V10" s="54"/>
      <c r="W10" s="54"/>
      <c r="X10" s="54"/>
      <c r="Y10" s="54"/>
      <c r="Z10" s="54"/>
      <c r="AA10" s="54"/>
      <c r="AB10" s="253"/>
      <c r="AC10" s="54"/>
      <c r="AD10" s="54"/>
      <c r="AE10" s="54"/>
      <c r="AF10" s="54"/>
      <c r="AG10" s="54"/>
      <c r="AH10" s="54"/>
      <c r="AI10" s="253"/>
      <c r="AJ10" s="54"/>
      <c r="AK10" s="360"/>
      <c r="AN10" s="29" t="str">
        <f t="shared" si="0"/>
        <v>Добавить группу потребителей</v>
      </c>
      <c r="AQ10" s="3">
        <v>0</v>
      </c>
    </row>
    <row r="11" spans="5:43" ht="21" hidden="1" customHeight="1">
      <c r="E11" s="1001"/>
      <c r="F11" s="1001"/>
      <c r="G11" s="1001"/>
      <c r="H11" s="1000"/>
      <c r="R11" s="225"/>
      <c r="S11" s="249"/>
      <c r="T11" s="361" t="s">
        <v>411</v>
      </c>
      <c r="U11" s="54"/>
      <c r="V11" s="54"/>
      <c r="W11" s="54"/>
      <c r="X11" s="54"/>
      <c r="Y11" s="54"/>
      <c r="Z11" s="54"/>
      <c r="AA11" s="54"/>
      <c r="AB11" s="253"/>
      <c r="AC11" s="54"/>
      <c r="AD11" s="54"/>
      <c r="AE11" s="54"/>
      <c r="AF11" s="54"/>
      <c r="AG11" s="54"/>
      <c r="AH11" s="54"/>
      <c r="AI11" s="253"/>
      <c r="AJ11" s="54"/>
      <c r="AK11" s="254"/>
      <c r="AN11" s="29" t="str">
        <f t="shared" si="0"/>
        <v>Добавить наименование признака дифференциации</v>
      </c>
      <c r="AQ11" s="3">
        <v>0</v>
      </c>
    </row>
    <row r="12" spans="5:43" ht="14.25" hidden="1" customHeight="1">
      <c r="E12" s="1001"/>
      <c r="F12" s="1000"/>
      <c r="T12" s="260" t="s">
        <v>338</v>
      </c>
      <c r="AN12" s="29" t="str">
        <f t="shared" si="0"/>
        <v>Добавить централизованную систему для дифференциации</v>
      </c>
      <c r="AQ12" s="24">
        <v>0</v>
      </c>
    </row>
    <row r="13" spans="5:43" ht="14.25" hidden="1" customHeight="1">
      <c r="E13" s="1000"/>
      <c r="T13" s="260" t="s">
        <v>339</v>
      </c>
      <c r="AN13" s="29" t="str">
        <f t="shared" si="0"/>
        <v>Добавить территорию для дифференциации</v>
      </c>
      <c r="AQ13" s="24">
        <v>0</v>
      </c>
    </row>
    <row r="14" spans="5:43" ht="14.25" hidden="1" customHeight="1">
      <c r="AQ14" s="3">
        <v>0</v>
      </c>
    </row>
    <row r="15" spans="5:43" ht="14.25" hidden="1" customHeight="1">
      <c r="AC15" s="261"/>
      <c r="AD15" s="261"/>
      <c r="AE15" s="262"/>
      <c r="AF15" s="999"/>
      <c r="AG15" s="998" t="s">
        <v>17</v>
      </c>
      <c r="AH15" s="999"/>
      <c r="AI15" s="998" t="s">
        <v>17</v>
      </c>
      <c r="AQ15" s="3">
        <v>0</v>
      </c>
    </row>
    <row r="16" spans="5:43" ht="14.25" hidden="1" customHeight="1">
      <c r="AC16" s="261"/>
      <c r="AD16" s="261"/>
      <c r="AE16" s="247" t="str">
        <f>AF15&amp;"-"&amp;AH15</f>
        <v>-</v>
      </c>
      <c r="AF16" s="998"/>
      <c r="AG16" s="998"/>
      <c r="AH16" s="998"/>
      <c r="AI16" s="998"/>
      <c r="AQ16" s="3">
        <v>0</v>
      </c>
    </row>
    <row r="17" spans="15:43" ht="14.25" hidden="1" customHeight="1">
      <c r="AQ17" s="3">
        <v>0</v>
      </c>
    </row>
    <row r="18" spans="15:43" ht="22.5" hidden="1" customHeight="1">
      <c r="O18" s="263" t="s">
        <v>340</v>
      </c>
      <c r="Y18" s="263"/>
      <c r="AA18" s="263"/>
      <c r="AF18" s="263"/>
      <c r="AH18" s="263"/>
      <c r="AQ18" s="11">
        <v>0</v>
      </c>
    </row>
    <row r="19" spans="15:43" ht="14.25" hidden="1" customHeight="1">
      <c r="AQ19" s="11">
        <v>0</v>
      </c>
    </row>
    <row r="20" spans="15:43" ht="12" hidden="1" customHeight="1">
      <c r="O20" s="237" t="s">
        <v>341</v>
      </c>
      <c r="T20" s="11" t="s">
        <v>342</v>
      </c>
      <c r="Z20" s="60" t="s">
        <v>343</v>
      </c>
      <c r="AB20" s="60" t="s">
        <v>344</v>
      </c>
      <c r="AC20" s="11" t="s">
        <v>342</v>
      </c>
      <c r="AG20" s="60" t="s">
        <v>345</v>
      </c>
      <c r="AI20" s="60" t="s">
        <v>344</v>
      </c>
      <c r="AQ20" s="11">
        <v>0</v>
      </c>
    </row>
    <row r="21" spans="15:43" ht="14.25" hidden="1" customHeight="1">
      <c r="AQ21" s="3">
        <v>0</v>
      </c>
    </row>
    <row r="22" spans="15:43" ht="14.25" hidden="1" customHeight="1">
      <c r="AQ22" s="3">
        <v>0</v>
      </c>
    </row>
    <row r="23" spans="15:43" ht="14.65" customHeight="1">
      <c r="Q23" s="264"/>
      <c r="R23" s="264"/>
      <c r="S23" s="265"/>
      <c r="T23" s="12"/>
      <c r="U23" s="12"/>
      <c r="AQ23" s="3">
        <v>14</v>
      </c>
    </row>
    <row r="24" spans="15:43" ht="14.65" customHeight="1">
      <c r="Q24" s="264"/>
      <c r="R24" s="264"/>
      <c r="S24" s="98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982"/>
      <c r="U24" s="982"/>
      <c r="V24" s="982"/>
      <c r="W24" s="982"/>
      <c r="X24" s="982"/>
      <c r="Y24" s="982"/>
      <c r="Z24" s="982"/>
      <c r="AA24" s="982"/>
      <c r="AB24" s="982"/>
      <c r="AC24" s="982"/>
      <c r="AD24" s="982"/>
      <c r="AE24" s="982"/>
      <c r="AF24" s="982"/>
      <c r="AG24" s="982"/>
      <c r="AH24" s="982"/>
      <c r="AQ24" s="3">
        <v>14</v>
      </c>
    </row>
    <row r="25" spans="15:43" ht="14.65" customHeight="1">
      <c r="Q25" s="264"/>
      <c r="R25" s="264"/>
      <c r="S25" s="955" t="e">
        <f>IF(org=0,"Не определено",org)</f>
        <v>#REF!</v>
      </c>
      <c r="T25" s="955"/>
      <c r="U25" s="955"/>
      <c r="V25" s="955"/>
      <c r="W25" s="955"/>
      <c r="X25" s="955"/>
      <c r="Y25" s="955"/>
      <c r="Z25" s="955"/>
      <c r="AA25" s="955"/>
      <c r="AB25" s="955"/>
      <c r="AC25" s="955"/>
      <c r="AD25" s="955"/>
      <c r="AE25" s="955"/>
      <c r="AF25" s="955"/>
      <c r="AG25" s="955"/>
      <c r="AH25" s="955"/>
      <c r="AQ25" s="3">
        <v>14</v>
      </c>
    </row>
    <row r="26" spans="15:43" ht="14.25" hidden="1" customHeight="1">
      <c r="Q26" s="264"/>
      <c r="R26" s="264"/>
      <c r="S26" s="265"/>
      <c r="T26" s="12"/>
      <c r="U26" s="12"/>
      <c r="V26" s="266"/>
      <c r="W26" s="266"/>
      <c r="X26" s="266"/>
      <c r="Y26" s="266"/>
      <c r="Z26" s="266"/>
      <c r="AA26" s="266"/>
      <c r="AB26" s="266"/>
      <c r="AC26" s="266"/>
      <c r="AD26" s="266"/>
      <c r="AE26" s="266"/>
      <c r="AF26" s="266"/>
      <c r="AG26" s="266"/>
      <c r="AH26" s="266"/>
      <c r="AI26" s="266"/>
      <c r="AQ26" s="3">
        <v>0</v>
      </c>
    </row>
    <row r="27" spans="15:43" ht="25.5" hidden="1" customHeight="1">
      <c r="S27" s="992" t="s">
        <v>9</v>
      </c>
      <c r="T27" s="992"/>
      <c r="U27" s="268"/>
      <c r="V27" s="994" t="e">
        <f>IF(TITLE_NAME_OR_PR_CHANGE="",IF(TITLE_NAME_OR_PR="","",TITLE_NAME_OR_PR),TITLE_NAME_OR_PR_CHANGE)</f>
        <v>#REF!</v>
      </c>
      <c r="W27" s="994"/>
      <c r="X27" s="994"/>
      <c r="Y27" s="994"/>
      <c r="Z27" s="994"/>
      <c r="AA27" s="994"/>
      <c r="AC27" s="994" t="e">
        <f>IF(TITLE_NAME_OR_PR_CHANGE="",IF(TITLE_NAME_OR_PR="","",TITLE_NAME_OR_PR),TITLE_NAME_OR_PR_CHANGE)</f>
        <v>#REF!</v>
      </c>
      <c r="AD27" s="994"/>
      <c r="AE27" s="994"/>
      <c r="AF27" s="994"/>
      <c r="AG27" s="994"/>
      <c r="AH27" s="994"/>
      <c r="AQ27" s="50">
        <v>0</v>
      </c>
    </row>
    <row r="28" spans="15:43" ht="18.75" hidden="1" customHeight="1">
      <c r="S28" s="992" t="s">
        <v>346</v>
      </c>
      <c r="T28" s="992"/>
      <c r="U28" s="268"/>
      <c r="V28" s="993" t="e">
        <f>IF(TITLE_DATE_PR_CHANGE="",IF(TITLE_DATE_PR="","",TITLE_DATE_PR),TITLE_DATE_PR_CHANGE)</f>
        <v>#REF!</v>
      </c>
      <c r="W28" s="993"/>
      <c r="X28" s="993"/>
      <c r="Y28" s="993"/>
      <c r="Z28" s="993"/>
      <c r="AA28" s="993"/>
      <c r="AC28" s="993" t="e">
        <f>IF(TITLE_DATE_PR_CHANGE="",IF(TITLE_DATE_PR="","",TITLE_DATE_PR),TITLE_DATE_PR_CHANGE)</f>
        <v>#REF!</v>
      </c>
      <c r="AD28" s="993"/>
      <c r="AE28" s="993"/>
      <c r="AF28" s="993"/>
      <c r="AG28" s="993"/>
      <c r="AH28" s="993"/>
      <c r="AQ28" s="50">
        <v>0</v>
      </c>
    </row>
    <row r="29" spans="15:43" ht="18.75" hidden="1" customHeight="1">
      <c r="S29" s="992" t="s">
        <v>347</v>
      </c>
      <c r="T29" s="992"/>
      <c r="U29" s="268"/>
      <c r="V29" s="994" t="e">
        <f>IF(TITLE_NUMBER_PR_CHANGE="",IF(TITLE_NUMBER_PR="","",TITLE_NUMBER_PR),TITLE_NUMBER_PR_CHANGE)</f>
        <v>#REF!</v>
      </c>
      <c r="W29" s="994"/>
      <c r="X29" s="994"/>
      <c r="Y29" s="994"/>
      <c r="Z29" s="994"/>
      <c r="AA29" s="994"/>
      <c r="AC29" s="994" t="e">
        <f>IF(TITLE_NUMBER_PR_CHANGE="",IF(TITLE_NUMBER_PR="","",TITLE_NUMBER_PR),TITLE_NUMBER_PR_CHANGE)</f>
        <v>#REF!</v>
      </c>
      <c r="AD29" s="994"/>
      <c r="AE29" s="994"/>
      <c r="AF29" s="994"/>
      <c r="AG29" s="994"/>
      <c r="AH29" s="994"/>
      <c r="AQ29" s="50">
        <v>0</v>
      </c>
    </row>
    <row r="30" spans="15:43" ht="18.75" hidden="1" customHeight="1">
      <c r="S30" s="992" t="s">
        <v>10</v>
      </c>
      <c r="T30" s="992"/>
      <c r="U30" s="268"/>
      <c r="V30" s="994" t="e">
        <f>IF(TITLE_IST_PUB_CHANGE="",IF(TITLE_IST_PUB="","",TITLE_IST_PUB),TITLE_IST_PUB_CHANGE)</f>
        <v>#REF!</v>
      </c>
      <c r="W30" s="994"/>
      <c r="X30" s="994"/>
      <c r="Y30" s="994"/>
      <c r="Z30" s="994"/>
      <c r="AA30" s="994"/>
      <c r="AC30" s="994" t="e">
        <f>IF(TITLE_IST_PUB_CHANGE="",IF(TITLE_IST_PUB="","",TITLE_IST_PUB),TITLE_IST_PUB_CHANGE)</f>
        <v>#REF!</v>
      </c>
      <c r="AD30" s="994"/>
      <c r="AE30" s="994"/>
      <c r="AF30" s="994"/>
      <c r="AG30" s="994"/>
      <c r="AH30" s="994"/>
      <c r="AQ30" s="50">
        <v>0</v>
      </c>
    </row>
    <row r="31" spans="15:43" ht="14.25" hidden="1" customHeight="1">
      <c r="Q31" s="264"/>
      <c r="R31" s="264"/>
      <c r="S31" s="265"/>
      <c r="T31" s="12"/>
      <c r="U31" s="12"/>
      <c r="V31" s="266"/>
      <c r="W31" s="266"/>
      <c r="X31" s="266"/>
      <c r="Y31" s="266"/>
      <c r="Z31" s="266"/>
      <c r="AA31" s="266"/>
      <c r="AB31" s="266"/>
      <c r="AC31" s="266"/>
      <c r="AD31" s="266"/>
      <c r="AE31" s="266"/>
      <c r="AF31" s="266"/>
      <c r="AG31" s="266"/>
      <c r="AH31" s="266"/>
      <c r="AI31" s="266"/>
      <c r="AQ31" s="3">
        <v>0</v>
      </c>
    </row>
    <row r="32" spans="15:43" ht="18.75" hidden="1" customHeight="1">
      <c r="S32" s="992" t="s">
        <v>348</v>
      </c>
      <c r="T32" s="992"/>
      <c r="U32" s="268"/>
      <c r="V32" s="993" t="e">
        <f>IF(TITLE_DATE_PR_CHANGE="",IF(TITLE_DATE_PR="","",TITLE_DATE_PR),TITLE_DATE_PR_CHANGE)</f>
        <v>#REF!</v>
      </c>
      <c r="W32" s="993"/>
      <c r="X32" s="993"/>
      <c r="Y32" s="993"/>
      <c r="Z32" s="993"/>
      <c r="AA32" s="993"/>
      <c r="AC32" s="993" t="e">
        <f>IF(TITLE_DATE_PR_CHANGE="",IF(TITLE_DATE_PR="","",TITLE_DATE_PR),TITLE_DATE_PR_CHANGE)</f>
        <v>#REF!</v>
      </c>
      <c r="AD32" s="993"/>
      <c r="AE32" s="993"/>
      <c r="AF32" s="993"/>
      <c r="AG32" s="993"/>
      <c r="AH32" s="993"/>
      <c r="AQ32" s="50">
        <v>0</v>
      </c>
    </row>
    <row r="33" spans="1:43" ht="18.75" hidden="1" customHeight="1">
      <c r="S33" s="992" t="s">
        <v>349</v>
      </c>
      <c r="T33" s="992"/>
      <c r="U33" s="268"/>
      <c r="V33" s="994" t="e">
        <f>IF(TITLE_NUMBER_PR_CHANGE="",IF(TITLE_NUMBER_PR="","",TITLE_NUMBER_PR),TITLE_NUMBER_PR_CHANGE)</f>
        <v>#REF!</v>
      </c>
      <c r="W33" s="994"/>
      <c r="X33" s="994"/>
      <c r="Y33" s="994"/>
      <c r="Z33" s="994"/>
      <c r="AA33" s="994"/>
      <c r="AC33" s="994" t="e">
        <f>IF(TITLE_NUMBER_PR_CHANGE="",IF(TITLE_NUMBER_PR="","",TITLE_NUMBER_PR),TITLE_NUMBER_PR_CHANGE)</f>
        <v>#REF!</v>
      </c>
      <c r="AD33" s="994"/>
      <c r="AE33" s="994"/>
      <c r="AF33" s="994"/>
      <c r="AG33" s="994"/>
      <c r="AH33" s="994"/>
      <c r="AQ33" s="50">
        <v>0</v>
      </c>
    </row>
    <row r="34" spans="1:43" ht="1.1499999999999999" customHeight="1">
      <c r="AB34" s="24" t="s">
        <v>350</v>
      </c>
      <c r="AI34" s="24" t="s">
        <v>350</v>
      </c>
      <c r="AQ34" s="50">
        <v>1</v>
      </c>
    </row>
    <row r="35" spans="1:43" ht="14.65" customHeight="1">
      <c r="Q35" s="264"/>
      <c r="R35" s="264"/>
      <c r="S35" s="265"/>
      <c r="T35" s="12"/>
      <c r="U35" s="270"/>
      <c r="V35" s="1012"/>
      <c r="W35" s="1012"/>
      <c r="X35" s="1012"/>
      <c r="Y35" s="1012"/>
      <c r="Z35" s="1012"/>
      <c r="AA35" s="1012"/>
      <c r="AB35" s="1012"/>
      <c r="AC35" s="1012"/>
      <c r="AD35" s="1012"/>
      <c r="AE35" s="1012"/>
      <c r="AF35" s="1012"/>
      <c r="AG35" s="1012"/>
      <c r="AH35" s="1012"/>
      <c r="AI35" s="1012"/>
      <c r="AQ35" s="3">
        <v>14</v>
      </c>
    </row>
    <row r="36" spans="1:43" ht="14.65" customHeight="1">
      <c r="Q36" s="264"/>
      <c r="R36" s="264"/>
      <c r="S36" s="894" t="s">
        <v>223</v>
      </c>
      <c r="T36" s="894"/>
      <c r="U36" s="894"/>
      <c r="V36" s="894"/>
      <c r="W36" s="894"/>
      <c r="X36" s="894"/>
      <c r="Y36" s="894"/>
      <c r="Z36" s="894"/>
      <c r="AA36" s="894"/>
      <c r="AB36" s="894"/>
      <c r="AC36" s="894"/>
      <c r="AD36" s="894"/>
      <c r="AE36" s="894"/>
      <c r="AF36" s="894"/>
      <c r="AG36" s="894"/>
      <c r="AH36" s="894"/>
      <c r="AI36" s="894"/>
      <c r="AJ36" s="894"/>
      <c r="AK36" s="894" t="s">
        <v>224</v>
      </c>
      <c r="AQ36" s="3">
        <v>14</v>
      </c>
    </row>
    <row r="37" spans="1:43" ht="14.65" customHeight="1">
      <c r="Q37" s="264"/>
      <c r="R37" s="264"/>
      <c r="S37" s="1013" t="s">
        <v>24</v>
      </c>
      <c r="T37" s="962" t="s">
        <v>351</v>
      </c>
      <c r="U37" s="272"/>
      <c r="V37" s="1014" t="s">
        <v>352</v>
      </c>
      <c r="W37" s="1015"/>
      <c r="X37" s="1015"/>
      <c r="Y37" s="1015"/>
      <c r="Z37" s="1015"/>
      <c r="AA37" s="1016"/>
      <c r="AB37" s="1017" t="s">
        <v>353</v>
      </c>
      <c r="AC37" s="1014" t="s">
        <v>352</v>
      </c>
      <c r="AD37" s="1015"/>
      <c r="AE37" s="1015"/>
      <c r="AF37" s="1015"/>
      <c r="AG37" s="1015"/>
      <c r="AH37" s="1016"/>
      <c r="AI37" s="1017" t="s">
        <v>354</v>
      </c>
      <c r="AJ37" s="1020" t="s">
        <v>355</v>
      </c>
      <c r="AK37" s="894"/>
      <c r="AQ37" s="3">
        <v>14</v>
      </c>
    </row>
    <row r="38" spans="1:43" ht="35.65" customHeight="1">
      <c r="Q38" s="264"/>
      <c r="R38" s="264"/>
      <c r="S38" s="1013"/>
      <c r="T38" s="962"/>
      <c r="U38" s="274"/>
      <c r="V38" s="92" t="s">
        <v>412</v>
      </c>
      <c r="W38" s="887" t="s">
        <v>358</v>
      </c>
      <c r="X38" s="886"/>
      <c r="Y38" s="887" t="s">
        <v>359</v>
      </c>
      <c r="Z38" s="890"/>
      <c r="AA38" s="886"/>
      <c r="AB38" s="1018"/>
      <c r="AC38" s="92" t="s">
        <v>412</v>
      </c>
      <c r="AD38" s="887" t="s">
        <v>358</v>
      </c>
      <c r="AE38" s="886"/>
      <c r="AF38" s="887" t="s">
        <v>359</v>
      </c>
      <c r="AG38" s="890"/>
      <c r="AH38" s="886"/>
      <c r="AI38" s="1018"/>
      <c r="AJ38" s="1021"/>
      <c r="AK38" s="894"/>
      <c r="AQ38" s="3">
        <v>34</v>
      </c>
    </row>
    <row r="39" spans="1:43" ht="35.65" customHeight="1">
      <c r="B39" s="60" t="s">
        <v>60</v>
      </c>
      <c r="C39" s="60" t="s">
        <v>61</v>
      </c>
      <c r="D39" s="60" t="s">
        <v>62</v>
      </c>
      <c r="E39" s="237" t="s">
        <v>360</v>
      </c>
      <c r="F39" s="237" t="s">
        <v>361</v>
      </c>
      <c r="G39" s="237" t="s">
        <v>362</v>
      </c>
      <c r="I39" s="237" t="s">
        <v>413</v>
      </c>
      <c r="J39" s="237" t="s">
        <v>365</v>
      </c>
      <c r="K39" s="237" t="s">
        <v>414</v>
      </c>
      <c r="L39" s="237" t="s">
        <v>341</v>
      </c>
      <c r="Q39" s="264"/>
      <c r="R39" s="264"/>
      <c r="S39" s="1013"/>
      <c r="T39" s="962"/>
      <c r="U39" s="275"/>
      <c r="V39" s="92" t="s">
        <v>415</v>
      </c>
      <c r="W39" s="65" t="s">
        <v>416</v>
      </c>
      <c r="X39" s="65" t="s">
        <v>417</v>
      </c>
      <c r="Y39" s="65" t="s">
        <v>369</v>
      </c>
      <c r="Z39" s="967" t="s">
        <v>370</v>
      </c>
      <c r="AA39" s="981"/>
      <c r="AB39" s="1019"/>
      <c r="AC39" s="92" t="s">
        <v>415</v>
      </c>
      <c r="AD39" s="65" t="s">
        <v>416</v>
      </c>
      <c r="AE39" s="65" t="s">
        <v>417</v>
      </c>
      <c r="AF39" s="65" t="s">
        <v>369</v>
      </c>
      <c r="AG39" s="967" t="s">
        <v>370</v>
      </c>
      <c r="AH39" s="981"/>
      <c r="AI39" s="1019"/>
      <c r="AJ39" s="1022"/>
      <c r="AK39" s="894"/>
      <c r="AQ39" s="3">
        <v>34</v>
      </c>
    </row>
    <row r="40" spans="1:43" ht="0" hidden="1" customHeight="1">
      <c r="Q40" s="278"/>
      <c r="R40" s="279">
        <v>1</v>
      </c>
      <c r="S40" s="280" t="s">
        <v>31</v>
      </c>
      <c r="T40" s="281" t="s">
        <v>39</v>
      </c>
      <c r="U40" s="282" t="str">
        <f ca="1">OFFSET(U40,0,-1)</f>
        <v>2</v>
      </c>
      <c r="V40" s="283">
        <f ca="1">OFFSET(V40,0,-1)+1</f>
        <v>3</v>
      </c>
      <c r="W40" s="283">
        <f ca="1">OFFSET(W40,0,-1)+1</f>
        <v>4</v>
      </c>
      <c r="X40" s="283">
        <f ca="1">OFFSET(X40,0,-1)+1</f>
        <v>5</v>
      </c>
      <c r="Y40" s="283">
        <f ca="1">OFFSET(Y40,0,-1)+1</f>
        <v>6</v>
      </c>
      <c r="Z40" s="1011">
        <f ca="1">OFFSET(Z40,0,-1)+1</f>
        <v>7</v>
      </c>
      <c r="AA40" s="1011"/>
      <c r="AB40" s="283">
        <f ca="1">OFFSET(AB40,0,-2)+1</f>
        <v>8</v>
      </c>
      <c r="AC40" s="283">
        <f ca="1">OFFSET(AC40,0,-1)+1</f>
        <v>9</v>
      </c>
      <c r="AD40" s="283">
        <f ca="1">OFFSET(AD40,0,-1)+1</f>
        <v>10</v>
      </c>
      <c r="AE40" s="283">
        <f ca="1">OFFSET(AE40,0,-1)+1</f>
        <v>11</v>
      </c>
      <c r="AF40" s="283">
        <f ca="1">OFFSET(AF40,0,-1)+1</f>
        <v>12</v>
      </c>
      <c r="AG40" s="1011">
        <f ca="1">OFFSET(AG40,0,-1)+1</f>
        <v>13</v>
      </c>
      <c r="AH40" s="1011"/>
      <c r="AI40" s="283">
        <f ca="1">OFFSET(AI40,0,-2)+1</f>
        <v>14</v>
      </c>
      <c r="AJ40" s="282">
        <f ca="1">OFFSET(AJ40,0,-1)</f>
        <v>14</v>
      </c>
      <c r="AK40" s="283">
        <f ca="1">OFFSET(AK40,0,-1)+1</f>
        <v>15</v>
      </c>
      <c r="AQ40" s="189">
        <v>0</v>
      </c>
    </row>
    <row r="41" spans="1:43" ht="24" customHeight="1">
      <c r="A41" s="284" t="s">
        <v>164</v>
      </c>
      <c r="E41" s="1000">
        <v>1</v>
      </c>
      <c r="R41" s="225"/>
      <c r="S41" s="226">
        <f>INDEX(PT_DIFFERENTIATION_NUM_NTAR,MATCH(A41,PT_DIFFERENTIATION_NTAR_ID,0))</f>
        <v>0</v>
      </c>
      <c r="T41" s="227" t="s">
        <v>48</v>
      </c>
      <c r="U41" s="228"/>
      <c r="V41" s="995"/>
      <c r="W41" s="996"/>
      <c r="X41" s="996"/>
      <c r="Y41" s="996"/>
      <c r="Z41" s="996"/>
      <c r="AA41" s="996"/>
      <c r="AB41" s="997"/>
      <c r="AC41" s="995" t="str">
        <f>INDEX(PT_DIFFERENTIATION_NTAR,MATCH(A41,PT_DIFFERENTIATION_NTAR_ID,0))</f>
        <v/>
      </c>
      <c r="AD41" s="996"/>
      <c r="AE41" s="996"/>
      <c r="AF41" s="996"/>
      <c r="AG41" s="996"/>
      <c r="AH41" s="996"/>
      <c r="AI41" s="996"/>
      <c r="AJ41" s="997"/>
      <c r="AK41"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41" s="29" t="str">
        <f t="shared" ref="AN41:AN53" si="1">IF(T41="","",T41)</f>
        <v>Наименование тарифа</v>
      </c>
      <c r="AQ41" s="3">
        <v>23</v>
      </c>
    </row>
    <row r="42" spans="1:43" ht="24" customHeight="1">
      <c r="A42" s="284" t="s">
        <v>164</v>
      </c>
      <c r="B42" s="284" t="s">
        <v>165</v>
      </c>
      <c r="E42" s="1001"/>
      <c r="F42" s="1000">
        <v>1</v>
      </c>
      <c r="Q42" s="231"/>
      <c r="R42" s="232"/>
      <c r="S42" s="226" t="str">
        <f>INDEX(PT_DIFFERENTIATION_NUM_TER,MATCH(B42,PT_DIFFERENTIATION_TER_ID,0))</f>
        <v>.</v>
      </c>
      <c r="T42" s="233" t="s">
        <v>320</v>
      </c>
      <c r="U42" s="228"/>
      <c r="V42" s="995"/>
      <c r="W42" s="996"/>
      <c r="X42" s="996"/>
      <c r="Y42" s="996"/>
      <c r="Z42" s="996"/>
      <c r="AA42" s="996"/>
      <c r="AB42" s="997"/>
      <c r="AC42" s="995" t="str">
        <f>INDEX(PT_DIFFERENTIATION_TER,MATCH(B42,PT_DIFFERENTIATION_TER_ID,0))</f>
        <v/>
      </c>
      <c r="AD42" s="996"/>
      <c r="AE42" s="996"/>
      <c r="AF42" s="996"/>
      <c r="AG42" s="996"/>
      <c r="AH42" s="996"/>
      <c r="AI42" s="996"/>
      <c r="AJ42" s="997"/>
      <c r="AK42" s="230" t="s">
        <v>321</v>
      </c>
      <c r="AN42" s="29" t="str">
        <f t="shared" si="1"/>
        <v>Территория действия тарифа</v>
      </c>
      <c r="AQ42" s="3">
        <v>23</v>
      </c>
    </row>
    <row r="43" spans="1:43" ht="24" customHeight="1">
      <c r="A43" s="284" t="s">
        <v>164</v>
      </c>
      <c r="B43" s="284" t="s">
        <v>165</v>
      </c>
      <c r="C43" s="284" t="s">
        <v>166</v>
      </c>
      <c r="E43" s="1001"/>
      <c r="F43" s="1001"/>
      <c r="G43" s="1000">
        <v>1</v>
      </c>
      <c r="Q43" s="231"/>
      <c r="R43" s="232"/>
      <c r="S43" s="226" t="str">
        <f>INDEX(PT_DIFFERENTIATION_NUM_CS,MATCH(C43,PT_DIFFERENTIATION_CS_ID,0))</f>
        <v>..</v>
      </c>
      <c r="T43" s="234" t="s">
        <v>404</v>
      </c>
      <c r="U43" s="228"/>
      <c r="V43" s="995"/>
      <c r="W43" s="996"/>
      <c r="X43" s="996"/>
      <c r="Y43" s="996"/>
      <c r="Z43" s="996"/>
      <c r="AA43" s="996"/>
      <c r="AB43" s="997"/>
      <c r="AC43" s="995" t="str">
        <f>INDEX(PT_DIFFERENTIATION_CS,MATCH(C43,PT_DIFFERENTIATION_CS_ID,0))</f>
        <v/>
      </c>
      <c r="AD43" s="996"/>
      <c r="AE43" s="996"/>
      <c r="AF43" s="996"/>
      <c r="AG43" s="996"/>
      <c r="AH43" s="996"/>
      <c r="AI43" s="996"/>
      <c r="AJ43" s="997"/>
      <c r="AK43" s="230" t="s">
        <v>405</v>
      </c>
      <c r="AN43" s="29" t="str">
        <f t="shared" si="1"/>
        <v>Наименование централизованной системы холодного водоснабжения</v>
      </c>
      <c r="AQ43" s="3">
        <v>23</v>
      </c>
    </row>
    <row r="44" spans="1:43" ht="24" customHeight="1">
      <c r="A44" s="284" t="s">
        <v>164</v>
      </c>
      <c r="B44" s="284" t="s">
        <v>165</v>
      </c>
      <c r="C44" s="284" t="s">
        <v>166</v>
      </c>
      <c r="D44" s="284" t="s">
        <v>421</v>
      </c>
      <c r="E44" s="1001"/>
      <c r="F44" s="1001"/>
      <c r="G44" s="1001"/>
      <c r="H44" s="1001"/>
      <c r="I44" s="1002" t="str">
        <f>S43&amp;".1"</f>
        <v>...1</v>
      </c>
      <c r="P44" s="1004">
        <v>1</v>
      </c>
      <c r="R44" s="238"/>
      <c r="S44" s="226" t="str">
        <f>$I44</f>
        <v>...1</v>
      </c>
      <c r="T44" s="239" t="s">
        <v>406</v>
      </c>
      <c r="U44" s="228"/>
      <c r="V44" s="1068"/>
      <c r="W44" s="1069"/>
      <c r="X44" s="1069"/>
      <c r="Y44" s="1069"/>
      <c r="Z44" s="1069"/>
      <c r="AA44" s="1069"/>
      <c r="AB44" s="1070"/>
      <c r="AC44" s="1071"/>
      <c r="AD44" s="1072"/>
      <c r="AE44" s="1072"/>
      <c r="AF44" s="1072"/>
      <c r="AG44" s="1072"/>
      <c r="AH44" s="1072"/>
      <c r="AI44" s="1072"/>
      <c r="AJ44" s="1073"/>
      <c r="AK44" s="230" t="s">
        <v>407</v>
      </c>
      <c r="AN44" s="29" t="str">
        <f t="shared" si="1"/>
        <v>Наименование признака дифференциации</v>
      </c>
      <c r="AQ44" s="3">
        <v>23</v>
      </c>
    </row>
    <row r="45" spans="1:43" ht="24" customHeight="1">
      <c r="A45" s="284" t="s">
        <v>164</v>
      </c>
      <c r="B45" s="284" t="s">
        <v>165</v>
      </c>
      <c r="C45" s="284" t="s">
        <v>166</v>
      </c>
      <c r="D45" s="284" t="s">
        <v>421</v>
      </c>
      <c r="E45" s="1001"/>
      <c r="F45" s="1001"/>
      <c r="G45" s="1001"/>
      <c r="H45" s="1001"/>
      <c r="I45" s="1003"/>
      <c r="J45" s="1002" t="str">
        <f>I44&amp;".1"</f>
        <v>...1.1</v>
      </c>
      <c r="L45" s="237" t="s">
        <v>329</v>
      </c>
      <c r="P45" s="885"/>
      <c r="Q45" s="1004">
        <v>1</v>
      </c>
      <c r="R45" s="240"/>
      <c r="S45" s="226" t="str">
        <f>$J45</f>
        <v>...1.1</v>
      </c>
      <c r="T45" s="241" t="s">
        <v>330</v>
      </c>
      <c r="U45" s="228"/>
      <c r="V45" s="989"/>
      <c r="W45" s="990"/>
      <c r="X45" s="990"/>
      <c r="Y45" s="990"/>
      <c r="Z45" s="990"/>
      <c r="AA45" s="990"/>
      <c r="AB45" s="991"/>
      <c r="AC45" s="989"/>
      <c r="AD45" s="990"/>
      <c r="AE45" s="990"/>
      <c r="AF45" s="990"/>
      <c r="AG45" s="990"/>
      <c r="AH45" s="990"/>
      <c r="AI45" s="990"/>
      <c r="AJ45" s="991"/>
      <c r="AK45" s="317" t="s">
        <v>408</v>
      </c>
      <c r="AN45" s="29" t="str">
        <f t="shared" si="1"/>
        <v>Группа потребителей</v>
      </c>
      <c r="AQ45" s="3">
        <v>23</v>
      </c>
    </row>
    <row r="46" spans="1:43" ht="24" customHeight="1">
      <c r="A46" s="284" t="s">
        <v>164</v>
      </c>
      <c r="B46" s="284" t="s">
        <v>165</v>
      </c>
      <c r="C46" s="284" t="s">
        <v>166</v>
      </c>
      <c r="D46" s="284" t="s">
        <v>421</v>
      </c>
      <c r="E46" s="1001"/>
      <c r="F46" s="1001"/>
      <c r="G46" s="1001"/>
      <c r="H46" s="1001"/>
      <c r="I46" s="1003"/>
      <c r="J46" s="1003"/>
      <c r="K46" s="1002" t="str">
        <f>J45&amp;".1"</f>
        <v>...1.1.1</v>
      </c>
      <c r="P46" s="885"/>
      <c r="Q46" s="885"/>
      <c r="R46" s="240">
        <v>1</v>
      </c>
      <c r="S46" s="226" t="str">
        <f>$K46</f>
        <v>...1.1.1</v>
      </c>
      <c r="T46" s="357"/>
      <c r="U46" s="228"/>
      <c r="V46" s="243"/>
      <c r="W46" s="243"/>
      <c r="X46" s="245"/>
      <c r="Y46" s="1005"/>
      <c r="Z46" s="895" t="s">
        <v>17</v>
      </c>
      <c r="AA46" s="1005"/>
      <c r="AB46" s="895" t="s">
        <v>17</v>
      </c>
      <c r="AC46" s="243"/>
      <c r="AD46" s="243"/>
      <c r="AE46" s="245"/>
      <c r="AF46" s="1005"/>
      <c r="AG46" s="895" t="s">
        <v>17</v>
      </c>
      <c r="AH46" s="1007"/>
      <c r="AI46" s="895" t="s">
        <v>17</v>
      </c>
      <c r="AJ46" s="358"/>
      <c r="AK46" s="10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24" t="e">
        <f ca="1">STRCHECKDATE(V47:AJ47)</f>
        <v>#NAME?</v>
      </c>
      <c r="AN46" s="29" t="str">
        <f t="shared" si="1"/>
        <v/>
      </c>
      <c r="AQ46" s="3">
        <v>23</v>
      </c>
    </row>
    <row r="47" spans="1:43" ht="0" hidden="1" customHeight="1">
      <c r="A47" s="284" t="s">
        <v>164</v>
      </c>
      <c r="B47" s="284" t="s">
        <v>165</v>
      </c>
      <c r="C47" s="284" t="s">
        <v>166</v>
      </c>
      <c r="D47" s="284" t="s">
        <v>421</v>
      </c>
      <c r="E47" s="1001"/>
      <c r="F47" s="1001"/>
      <c r="G47" s="1001"/>
      <c r="H47" s="1001"/>
      <c r="I47" s="1003"/>
      <c r="J47" s="1003"/>
      <c r="K47" s="1002"/>
      <c r="P47" s="885"/>
      <c r="Q47" s="885"/>
      <c r="R47" s="240"/>
      <c r="S47" s="209"/>
      <c r="T47" s="228"/>
      <c r="U47" s="228"/>
      <c r="V47" s="244"/>
      <c r="W47" s="244"/>
      <c r="X47" s="247" t="str">
        <f>Y46&amp;"-"&amp;AA46</f>
        <v>-</v>
      </c>
      <c r="Y47" s="1006"/>
      <c r="Z47" s="895"/>
      <c r="AA47" s="1006"/>
      <c r="AB47" s="895"/>
      <c r="AC47" s="244"/>
      <c r="AD47" s="244"/>
      <c r="AE47" s="247" t="str">
        <f>AF46&amp;"-"&amp;AH46</f>
        <v>-</v>
      </c>
      <c r="AF47" s="1006"/>
      <c r="AG47" s="895"/>
      <c r="AH47" s="1008"/>
      <c r="AI47" s="895"/>
      <c r="AJ47" s="359"/>
      <c r="AK47" s="1074"/>
      <c r="AN47" s="29" t="str">
        <f t="shared" si="1"/>
        <v/>
      </c>
      <c r="AQ47" s="3">
        <v>0</v>
      </c>
    </row>
    <row r="48" spans="1:43" ht="21" customHeight="1">
      <c r="A48" s="284" t="s">
        <v>164</v>
      </c>
      <c r="B48" s="284" t="s">
        <v>165</v>
      </c>
      <c r="C48" s="284" t="s">
        <v>166</v>
      </c>
      <c r="D48" s="284" t="s">
        <v>421</v>
      </c>
      <c r="E48" s="1001"/>
      <c r="F48" s="1001"/>
      <c r="G48" s="1001"/>
      <c r="H48" s="1001"/>
      <c r="I48" s="1003"/>
      <c r="J48" s="1002"/>
      <c r="P48" s="885"/>
      <c r="Q48" s="885"/>
      <c r="R48" s="238"/>
      <c r="S48" s="249"/>
      <c r="T48" s="252" t="s">
        <v>409</v>
      </c>
      <c r="U48" s="54"/>
      <c r="V48" s="54"/>
      <c r="W48" s="54"/>
      <c r="X48" s="54"/>
      <c r="Y48" s="54"/>
      <c r="Z48" s="54"/>
      <c r="AA48" s="54"/>
      <c r="AB48" s="54"/>
      <c r="AC48" s="54"/>
      <c r="AD48" s="54"/>
      <c r="AE48" s="54"/>
      <c r="AF48" s="54"/>
      <c r="AG48" s="54"/>
      <c r="AH48" s="54"/>
      <c r="AI48" s="54"/>
      <c r="AJ48" s="54"/>
      <c r="AK48" s="230" t="s">
        <v>410</v>
      </c>
      <c r="AN48" s="29" t="str">
        <f t="shared" si="1"/>
        <v>Добавить значение признака дифференциации</v>
      </c>
      <c r="AQ48" s="3">
        <v>20</v>
      </c>
    </row>
    <row r="49" spans="1:43" ht="21.95" customHeight="1">
      <c r="A49" s="284" t="s">
        <v>164</v>
      </c>
      <c r="B49" s="284" t="s">
        <v>165</v>
      </c>
      <c r="C49" s="284" t="s">
        <v>166</v>
      </c>
      <c r="D49" s="284" t="s">
        <v>421</v>
      </c>
      <c r="E49" s="1001"/>
      <c r="F49" s="1001"/>
      <c r="G49" s="1001"/>
      <c r="H49" s="1001"/>
      <c r="I49" s="1002"/>
      <c r="P49" s="885"/>
      <c r="R49" s="238"/>
      <c r="S49" s="249"/>
      <c r="T49" s="255" t="s">
        <v>335</v>
      </c>
      <c r="U49" s="54"/>
      <c r="V49" s="54"/>
      <c r="W49" s="54"/>
      <c r="X49" s="54"/>
      <c r="Y49" s="54"/>
      <c r="Z49" s="54"/>
      <c r="AA49" s="54"/>
      <c r="AB49" s="253"/>
      <c r="AC49" s="54"/>
      <c r="AD49" s="54"/>
      <c r="AE49" s="54"/>
      <c r="AF49" s="54"/>
      <c r="AG49" s="54"/>
      <c r="AH49" s="54"/>
      <c r="AI49" s="253"/>
      <c r="AJ49" s="54"/>
      <c r="AK49" s="360"/>
      <c r="AN49" s="29" t="str">
        <f t="shared" si="1"/>
        <v>Добавить группу потребителей</v>
      </c>
      <c r="AQ49" s="3">
        <v>21</v>
      </c>
    </row>
    <row r="50" spans="1:43" ht="21.95" customHeight="1">
      <c r="A50" s="284" t="s">
        <v>164</v>
      </c>
      <c r="B50" s="284" t="s">
        <v>165</v>
      </c>
      <c r="C50" s="284" t="s">
        <v>166</v>
      </c>
      <c r="D50" s="284" t="s">
        <v>421</v>
      </c>
      <c r="E50" s="1001"/>
      <c r="F50" s="1001"/>
      <c r="G50" s="1001"/>
      <c r="H50" s="1000"/>
      <c r="R50" s="225"/>
      <c r="S50" s="249"/>
      <c r="T50" s="361" t="s">
        <v>411</v>
      </c>
      <c r="U50" s="54"/>
      <c r="V50" s="54"/>
      <c r="W50" s="54"/>
      <c r="X50" s="54"/>
      <c r="Y50" s="54"/>
      <c r="Z50" s="54"/>
      <c r="AA50" s="54"/>
      <c r="AB50" s="253"/>
      <c r="AC50" s="54"/>
      <c r="AD50" s="54"/>
      <c r="AE50" s="54"/>
      <c r="AF50" s="54"/>
      <c r="AG50" s="54"/>
      <c r="AH50" s="54"/>
      <c r="AI50" s="253"/>
      <c r="AJ50" s="54"/>
      <c r="AK50" s="254"/>
      <c r="AN50" s="29" t="str">
        <f t="shared" si="1"/>
        <v>Добавить наименование признака дифференциации</v>
      </c>
      <c r="AQ50" s="3">
        <v>21</v>
      </c>
    </row>
    <row r="51" spans="1:43" ht="0" hidden="1" customHeight="1">
      <c r="A51" s="21" t="s">
        <v>164</v>
      </c>
      <c r="B51" s="21" t="s">
        <v>165</v>
      </c>
      <c r="E51" s="1001"/>
      <c r="F51" s="1000"/>
      <c r="T51" s="260" t="s">
        <v>338</v>
      </c>
      <c r="AN51" s="29" t="str">
        <f t="shared" si="1"/>
        <v>Добавить централизованную систему для дифференциации</v>
      </c>
      <c r="AQ51" s="24">
        <v>0</v>
      </c>
    </row>
    <row r="52" spans="1:43" ht="0" hidden="1" customHeight="1">
      <c r="A52" s="21" t="s">
        <v>164</v>
      </c>
      <c r="E52" s="1000"/>
      <c r="T52" s="260" t="s">
        <v>339</v>
      </c>
      <c r="AN52" s="29" t="str">
        <f t="shared" si="1"/>
        <v>Добавить территорию для дифференциации</v>
      </c>
      <c r="AQ52" s="24">
        <v>0</v>
      </c>
    </row>
    <row r="53" spans="1:43" ht="0" hidden="1" customHeight="1">
      <c r="T53" s="260" t="s">
        <v>371</v>
      </c>
      <c r="AN53" s="29" t="str">
        <f t="shared" si="1"/>
        <v>Добавить наименование тарифа</v>
      </c>
      <c r="AQ53" s="24">
        <v>0</v>
      </c>
    </row>
    <row r="54" spans="1:43" ht="11.45" customHeight="1">
      <c r="AQ54" s="3">
        <v>11</v>
      </c>
    </row>
    <row r="55" spans="1:43" ht="14.65" customHeight="1">
      <c r="T55" s="885"/>
      <c r="U55" s="885"/>
      <c r="V55" s="885"/>
      <c r="W55" s="885"/>
      <c r="X55" s="885"/>
      <c r="Y55" s="885"/>
      <c r="Z55" s="885"/>
      <c r="AA55" s="885"/>
      <c r="AB55" s="885"/>
      <c r="AC55" s="885"/>
      <c r="AD55" s="885"/>
      <c r="AE55" s="885"/>
      <c r="AF55" s="885"/>
      <c r="AG55" s="885"/>
      <c r="AH55" s="885"/>
      <c r="AI55" s="885"/>
      <c r="AJ55" s="885"/>
      <c r="AK55" s="885"/>
      <c r="AQ55" s="3">
        <v>14</v>
      </c>
    </row>
    <row r="56" spans="1:43" ht="14.65" customHeight="1">
      <c r="AQ56" s="3">
        <v>14</v>
      </c>
    </row>
    <row r="57" spans="1:43" ht="14.65" customHeight="1">
      <c r="T57" s="885"/>
      <c r="U57" s="885"/>
      <c r="V57" s="885"/>
      <c r="W57" s="885"/>
      <c r="X57" s="885"/>
      <c r="Y57" s="885"/>
      <c r="Z57" s="885"/>
      <c r="AA57" s="885"/>
      <c r="AB57" s="885"/>
      <c r="AC57" s="885"/>
      <c r="AD57" s="885"/>
      <c r="AE57" s="885"/>
      <c r="AF57" s="885"/>
      <c r="AG57" s="885"/>
      <c r="AH57" s="885"/>
      <c r="AI57" s="885"/>
      <c r="AJ57" s="885"/>
      <c r="AK57" s="885"/>
      <c r="AQ57" s="3">
        <v>14</v>
      </c>
    </row>
    <row r="58" spans="1:43" ht="22.5" hidden="1" customHeight="1">
      <c r="A58" s="11" t="s">
        <v>18</v>
      </c>
      <c r="B58" s="11">
        <v>0</v>
      </c>
      <c r="C58" s="11">
        <v>0</v>
      </c>
      <c r="D58" s="11">
        <v>0</v>
      </c>
      <c r="E58" s="11">
        <v>0</v>
      </c>
      <c r="F58" s="11">
        <v>0</v>
      </c>
      <c r="G58" s="11">
        <v>0</v>
      </c>
      <c r="H58" s="11">
        <v>0</v>
      </c>
      <c r="I58" s="11">
        <v>0</v>
      </c>
      <c r="J58" s="11">
        <v>0</v>
      </c>
      <c r="K58" s="11">
        <v>0</v>
      </c>
      <c r="L58" s="171">
        <v>0</v>
      </c>
      <c r="M58" s="13">
        <v>0</v>
      </c>
      <c r="N58" s="13">
        <v>0</v>
      </c>
      <c r="O58" s="13">
        <v>0</v>
      </c>
      <c r="P58" s="287">
        <v>3</v>
      </c>
      <c r="Q58" s="288">
        <v>3</v>
      </c>
      <c r="R58" s="288">
        <v>3</v>
      </c>
      <c r="S58" s="9">
        <v>12</v>
      </c>
      <c r="T58" s="3">
        <v>35</v>
      </c>
      <c r="U58" s="3">
        <v>0</v>
      </c>
      <c r="V58" s="3">
        <v>0</v>
      </c>
      <c r="W58" s="3">
        <v>0</v>
      </c>
      <c r="X58" s="3">
        <v>0</v>
      </c>
      <c r="Y58" s="3">
        <v>0</v>
      </c>
      <c r="Z58" s="3">
        <v>0</v>
      </c>
      <c r="AA58" s="3">
        <v>0</v>
      </c>
      <c r="AB58" s="3">
        <v>0</v>
      </c>
      <c r="AC58" s="3">
        <v>24</v>
      </c>
      <c r="AD58" s="3">
        <v>24</v>
      </c>
      <c r="AE58" s="3">
        <v>24</v>
      </c>
      <c r="AF58" s="3">
        <v>11</v>
      </c>
      <c r="AG58" s="3">
        <v>3</v>
      </c>
      <c r="AH58" s="3">
        <v>11</v>
      </c>
      <c r="AI58" s="3">
        <v>0</v>
      </c>
      <c r="AJ58" s="3">
        <v>4</v>
      </c>
      <c r="AK58" s="3">
        <v>115</v>
      </c>
      <c r="AL58" s="24">
        <v>10</v>
      </c>
      <c r="AM58" s="24">
        <v>10</v>
      </c>
      <c r="AN58" s="24">
        <v>10</v>
      </c>
      <c r="AO58" s="24">
        <v>10</v>
      </c>
      <c r="AP58" s="24">
        <v>10</v>
      </c>
      <c r="AQ58" s="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hidden="1" customWidth="1"/>
    <col min="4" max="4" width="11.85546875" hidden="1" customWidth="1"/>
    <col min="5" max="15" width="10.140625" hidden="1" customWidth="1"/>
    <col min="16" max="18" width="3" customWidth="1"/>
    <col min="19" max="19" width="12" customWidth="1"/>
    <col min="20" max="20" width="31" customWidth="1"/>
    <col min="21" max="21" width="0.140625" customWidth="1"/>
    <col min="22" max="23" width="21.7109375" hidden="1" customWidth="1"/>
    <col min="24" max="24" width="11.7109375" hidden="1" customWidth="1"/>
    <col min="25" max="25" width="3.7109375" hidden="1" customWidth="1"/>
    <col min="26" max="26" width="11.7109375" hidden="1" customWidth="1"/>
    <col min="27" max="27" width="8.5703125" hidden="1" customWidth="1"/>
    <col min="28" max="28" width="27" customWidth="1"/>
    <col min="29" max="29" width="24.5703125" customWidth="1"/>
    <col min="30" max="31" width="21" customWidth="1"/>
    <col min="32" max="32" width="11" customWidth="1"/>
    <col min="33" max="33" width="3.7109375" customWidth="1"/>
    <col min="34" max="34" width="11" customWidth="1"/>
    <col min="35" max="35" width="8.5703125" hidden="1" customWidth="1"/>
    <col min="36" max="36" width="4" customWidth="1"/>
    <col min="37" max="37" width="115" customWidth="1"/>
    <col min="38" max="42" width="10" customWidth="1"/>
    <col min="43" max="43" width="10.5703125" hidden="1"/>
  </cols>
  <sheetData>
    <row r="1" spans="5:43" ht="0.75" hidden="1" customHeight="1">
      <c r="AQ1" s="3" t="s">
        <v>1</v>
      </c>
    </row>
    <row r="2" spans="5:43" ht="21" hidden="1" customHeight="1">
      <c r="E2" s="1026">
        <v>1</v>
      </c>
      <c r="R2" s="225"/>
      <c r="S2" s="226" t="e">
        <f>INDEX(PT_DIFFERENTIATION_NUM_NTAR,MATCH(A2,PT_DIFFERENTIATION_NTAR_ID,0))</f>
        <v>#N/A</v>
      </c>
      <c r="T2" s="227" t="s">
        <v>48</v>
      </c>
      <c r="U2" s="228"/>
      <c r="V2" s="996"/>
      <c r="W2" s="996"/>
      <c r="X2" s="996"/>
      <c r="Y2" s="996"/>
      <c r="Z2" s="996"/>
      <c r="AA2" s="997"/>
      <c r="AB2" s="229"/>
      <c r="AC2" s="996" t="e">
        <f>INDEX(PT_DIFFERENTIATION_NTAR,MATCH(A2,PT_DIFFERENTIATION_NTAR_ID,0))</f>
        <v>#N/A</v>
      </c>
      <c r="AD2" s="996"/>
      <c r="AE2" s="996"/>
      <c r="AF2" s="996"/>
      <c r="AG2" s="996"/>
      <c r="AH2" s="996"/>
      <c r="AI2" s="996"/>
      <c r="AJ2" s="997"/>
      <c r="AK2" s="230" t="s">
        <v>319</v>
      </c>
      <c r="AN2" s="29" t="str">
        <f t="shared" ref="AN2:AN14" si="0">IF(T2="","",T2)</f>
        <v>Наименование тарифа</v>
      </c>
      <c r="AQ2" s="3">
        <v>0</v>
      </c>
    </row>
    <row r="3" spans="5:43" ht="21" hidden="1" customHeight="1">
      <c r="E3" s="1027"/>
      <c r="F3" s="1026">
        <v>1</v>
      </c>
      <c r="Q3" s="328"/>
      <c r="R3" s="232"/>
      <c r="S3" s="226" t="e">
        <f>INDEX(PT_DIFFERENTIATION_NUM_TER,MATCH(B3,PT_DIFFERENTIATION_TER_ID,0))</f>
        <v>#N/A</v>
      </c>
      <c r="T3" s="233" t="s">
        <v>320</v>
      </c>
      <c r="U3" s="228"/>
      <c r="V3" s="996"/>
      <c r="W3" s="996"/>
      <c r="X3" s="996"/>
      <c r="Y3" s="996"/>
      <c r="Z3" s="996"/>
      <c r="AA3" s="997"/>
      <c r="AB3" s="229"/>
      <c r="AC3" s="996" t="e">
        <f>INDEX(PT_DIFFERENTIATION_TER,MATCH(B3,PT_DIFFERENTIATION_TER_ID,0))</f>
        <v>#N/A</v>
      </c>
      <c r="AD3" s="996"/>
      <c r="AE3" s="996"/>
      <c r="AF3" s="996"/>
      <c r="AG3" s="996"/>
      <c r="AH3" s="996"/>
      <c r="AI3" s="996"/>
      <c r="AJ3" s="997"/>
      <c r="AK3" s="230" t="s">
        <v>321</v>
      </c>
      <c r="AN3" s="29" t="str">
        <f t="shared" si="0"/>
        <v>Территория действия тарифа</v>
      </c>
      <c r="AQ3" s="3">
        <v>0</v>
      </c>
    </row>
    <row r="4" spans="5:43" ht="22.5" hidden="1" customHeight="1">
      <c r="E4" s="1027"/>
      <c r="F4" s="1027"/>
      <c r="G4" s="1026">
        <v>1</v>
      </c>
      <c r="Q4" s="328"/>
      <c r="R4" s="232"/>
      <c r="S4" s="226" t="e">
        <f>INDEX(PT_DIFFERENTIATION_NUM_CS,MATCH(C4,PT_DIFFERENTIATION_CS_ID,0))</f>
        <v>#N/A</v>
      </c>
      <c r="T4" s="234" t="s">
        <v>322</v>
      </c>
      <c r="U4" s="228"/>
      <c r="V4" s="996"/>
      <c r="W4" s="996"/>
      <c r="X4" s="996"/>
      <c r="Y4" s="996"/>
      <c r="Z4" s="996"/>
      <c r="AA4" s="997"/>
      <c r="AB4" s="229"/>
      <c r="AC4" s="996" t="e">
        <f>INDEX(PT_DIFFERENTIATION_CS,MATCH(C4,PT_DIFFERENTIATION_CS_ID,0))</f>
        <v>#N/A</v>
      </c>
      <c r="AD4" s="996"/>
      <c r="AE4" s="996"/>
      <c r="AF4" s="996"/>
      <c r="AG4" s="996"/>
      <c r="AH4" s="996"/>
      <c r="AI4" s="996"/>
      <c r="AJ4" s="997"/>
      <c r="AK4" s="230" t="s">
        <v>323</v>
      </c>
      <c r="AN4" s="29" t="str">
        <f t="shared" si="0"/>
        <v xml:space="preserve">Наименование системы теплоснабжения </v>
      </c>
      <c r="AQ4" s="3">
        <v>0</v>
      </c>
    </row>
    <row r="5" spans="5:43" ht="21" hidden="1" customHeight="1">
      <c r="E5" s="1027"/>
      <c r="F5" s="1027"/>
      <c r="G5" s="1027"/>
      <c r="H5" s="1026">
        <v>1</v>
      </c>
      <c r="Q5" s="328"/>
      <c r="R5" s="232"/>
      <c r="S5" s="226" t="e">
        <f>INDEX(PT_DIFFERENTIATION_NUM_IST_TE,MATCH(D5,PT_DIFFERENTIATION_IST_TE_ID,0))</f>
        <v>#N/A</v>
      </c>
      <c r="T5" s="235" t="s">
        <v>324</v>
      </c>
      <c r="U5" s="228"/>
      <c r="V5" s="996"/>
      <c r="W5" s="996"/>
      <c r="X5" s="996"/>
      <c r="Y5" s="996"/>
      <c r="Z5" s="996"/>
      <c r="AA5" s="997"/>
      <c r="AB5" s="229"/>
      <c r="AC5" s="996" t="e">
        <f>INDEX(PT_DIFFERENTIATION_IST_TE,MATCH(D5,PT_DIFFERENTIATION_IST_TE_ID,0))</f>
        <v>#N/A</v>
      </c>
      <c r="AD5" s="996"/>
      <c r="AE5" s="996"/>
      <c r="AF5" s="996"/>
      <c r="AG5" s="996"/>
      <c r="AH5" s="996"/>
      <c r="AI5" s="996"/>
      <c r="AJ5" s="997"/>
      <c r="AK5" s="230" t="s">
        <v>325</v>
      </c>
      <c r="AN5" s="29" t="str">
        <f t="shared" si="0"/>
        <v xml:space="preserve">Источник тепловой энергии  </v>
      </c>
      <c r="AQ5" s="3">
        <v>0</v>
      </c>
    </row>
    <row r="6" spans="5:43" ht="0.75" hidden="1" customHeight="1">
      <c r="E6" s="1027"/>
      <c r="F6" s="1027"/>
      <c r="G6" s="1027"/>
      <c r="H6" s="1027"/>
      <c r="I6" s="894" t="e">
        <f>S5&amp;".1"</f>
        <v>#N/A</v>
      </c>
      <c r="L6" s="327" t="s">
        <v>326</v>
      </c>
      <c r="P6" s="1004">
        <v>1</v>
      </c>
      <c r="R6" s="238"/>
      <c r="S6" s="124"/>
      <c r="T6" s="294"/>
      <c r="U6" s="295"/>
      <c r="V6" s="1032"/>
      <c r="W6" s="1032"/>
      <c r="X6" s="1032"/>
      <c r="Y6" s="1032"/>
      <c r="Z6" s="1032"/>
      <c r="AA6" s="1033"/>
      <c r="AB6" s="296"/>
      <c r="AC6" s="1032"/>
      <c r="AD6" s="1032"/>
      <c r="AE6" s="1032"/>
      <c r="AF6" s="1032"/>
      <c r="AG6" s="1032"/>
      <c r="AH6" s="1032"/>
      <c r="AI6" s="1032"/>
      <c r="AJ6" s="1033"/>
      <c r="AK6" s="297"/>
      <c r="AN6" s="29" t="str">
        <f t="shared" si="0"/>
        <v/>
      </c>
      <c r="AQ6" s="24">
        <v>0</v>
      </c>
    </row>
    <row r="7" spans="5:43" ht="0.75" hidden="1" customHeight="1">
      <c r="E7" s="1027"/>
      <c r="F7" s="1027"/>
      <c r="G7" s="1027"/>
      <c r="H7" s="1027"/>
      <c r="I7" s="887"/>
      <c r="J7" s="894" t="e">
        <f>S5&amp;".1"</f>
        <v>#N/A</v>
      </c>
      <c r="P7" s="885"/>
      <c r="Q7" s="1004">
        <v>1</v>
      </c>
      <c r="R7" s="240"/>
      <c r="S7" s="124"/>
      <c r="T7" s="329"/>
      <c r="U7" s="295"/>
      <c r="V7" s="1032"/>
      <c r="W7" s="1032"/>
      <c r="X7" s="1032"/>
      <c r="Y7" s="1032"/>
      <c r="Z7" s="1032"/>
      <c r="AA7" s="1033"/>
      <c r="AB7" s="296"/>
      <c r="AC7" s="1032"/>
      <c r="AD7" s="1032"/>
      <c r="AE7" s="1032"/>
      <c r="AF7" s="1032"/>
      <c r="AG7" s="1032"/>
      <c r="AH7" s="1032"/>
      <c r="AI7" s="1032"/>
      <c r="AJ7" s="1033"/>
      <c r="AK7" s="297"/>
      <c r="AN7" s="29" t="str">
        <f t="shared" si="0"/>
        <v/>
      </c>
      <c r="AQ7" s="24">
        <v>0</v>
      </c>
    </row>
    <row r="8" spans="5:43" ht="21" hidden="1" customHeight="1">
      <c r="E8" s="1027"/>
      <c r="F8" s="1027"/>
      <c r="G8" s="1027"/>
      <c r="H8" s="1027"/>
      <c r="I8" s="887"/>
      <c r="J8" s="887"/>
      <c r="K8" s="30" t="e">
        <f>S5&amp;".1"</f>
        <v>#N/A</v>
      </c>
      <c r="P8" s="885"/>
      <c r="Q8" s="885"/>
      <c r="R8" s="330">
        <v>1</v>
      </c>
      <c r="S8" s="303" t="e">
        <f>$K8</f>
        <v>#N/A</v>
      </c>
      <c r="T8" s="331"/>
      <c r="U8" s="228"/>
      <c r="V8" s="243"/>
      <c r="W8" s="245"/>
      <c r="X8" s="246"/>
      <c r="Y8" s="56" t="s">
        <v>17</v>
      </c>
      <c r="Z8" s="246"/>
      <c r="AA8" s="56" t="s">
        <v>17</v>
      </c>
      <c r="AB8" s="362"/>
      <c r="AC8" s="363" t="s">
        <v>4</v>
      </c>
      <c r="AD8" s="243"/>
      <c r="AE8" s="245"/>
      <c r="AF8" s="246"/>
      <c r="AG8" s="56" t="s">
        <v>17</v>
      </c>
      <c r="AH8" s="246"/>
      <c r="AI8" s="56" t="s">
        <v>17</v>
      </c>
      <c r="AJ8" s="285"/>
      <c r="AK8" s="1023" t="s">
        <v>387</v>
      </c>
      <c r="AL8" s="24" t="e">
        <f ca="1">STRCHECKDATE(#REF!)</f>
        <v>#NAME?</v>
      </c>
      <c r="AN8" s="29" t="str">
        <f t="shared" si="0"/>
        <v/>
      </c>
      <c r="AQ8" s="3">
        <v>0</v>
      </c>
    </row>
    <row r="9" spans="5:43" ht="11.25" hidden="1" customHeight="1">
      <c r="E9" s="1027"/>
      <c r="F9" s="1027"/>
      <c r="G9" s="1027"/>
      <c r="H9" s="1027"/>
      <c r="I9" s="887"/>
      <c r="J9" s="894"/>
      <c r="P9" s="885"/>
      <c r="Q9" s="885"/>
      <c r="R9" s="238"/>
      <c r="S9" s="249"/>
      <c r="T9" s="252" t="s">
        <v>391</v>
      </c>
      <c r="U9" s="54"/>
      <c r="V9" s="54"/>
      <c r="W9" s="54"/>
      <c r="X9" s="54"/>
      <c r="Y9" s="54"/>
      <c r="Z9" s="54"/>
      <c r="AA9" s="54"/>
      <c r="AB9" s="54"/>
      <c r="AC9" s="54"/>
      <c r="AD9" s="54"/>
      <c r="AE9" s="54"/>
      <c r="AF9" s="54"/>
      <c r="AG9" s="54"/>
      <c r="AH9" s="54"/>
      <c r="AI9" s="54"/>
      <c r="AJ9" s="251"/>
      <c r="AK9" s="1025"/>
      <c r="AN9" s="29" t="str">
        <f t="shared" si="0"/>
        <v>Добавить строку</v>
      </c>
      <c r="AQ9" s="3">
        <v>0</v>
      </c>
    </row>
    <row r="10" spans="5:43" ht="0.75" hidden="1" customHeight="1">
      <c r="E10" s="1027"/>
      <c r="F10" s="1027"/>
      <c r="G10" s="1027"/>
      <c r="H10" s="1027"/>
      <c r="I10" s="894"/>
      <c r="P10" s="885"/>
      <c r="R10" s="238"/>
      <c r="S10" s="298"/>
      <c r="T10" s="299"/>
      <c r="U10" s="300"/>
      <c r="V10" s="300"/>
      <c r="W10" s="300"/>
      <c r="X10" s="300"/>
      <c r="Y10" s="300"/>
      <c r="Z10" s="300"/>
      <c r="AA10" s="300"/>
      <c r="AB10" s="300"/>
      <c r="AC10" s="300"/>
      <c r="AD10" s="300"/>
      <c r="AE10" s="300"/>
      <c r="AF10" s="300"/>
      <c r="AG10" s="300"/>
      <c r="AH10" s="300"/>
      <c r="AI10" s="300"/>
      <c r="AJ10" s="300"/>
      <c r="AK10" s="301"/>
      <c r="AN10" s="29" t="str">
        <f t="shared" si="0"/>
        <v/>
      </c>
      <c r="AQ10" s="24">
        <v>0</v>
      </c>
    </row>
    <row r="11" spans="5:43" ht="0.75" hidden="1" customHeight="1">
      <c r="E11" s="1027"/>
      <c r="F11" s="1027"/>
      <c r="G11" s="1027"/>
      <c r="H11" s="1026"/>
      <c r="R11" s="341"/>
      <c r="S11" s="298"/>
      <c r="T11" s="299"/>
      <c r="U11" s="300"/>
      <c r="V11" s="300"/>
      <c r="W11" s="300"/>
      <c r="X11" s="300"/>
      <c r="Y11" s="300"/>
      <c r="Z11" s="300"/>
      <c r="AA11" s="300"/>
      <c r="AB11" s="300"/>
      <c r="AC11" s="300"/>
      <c r="AD11" s="300"/>
      <c r="AE11" s="300"/>
      <c r="AF11" s="300"/>
      <c r="AG11" s="300"/>
      <c r="AH11" s="300"/>
      <c r="AI11" s="300"/>
      <c r="AJ11" s="300"/>
      <c r="AK11" s="301"/>
      <c r="AN11" s="29" t="str">
        <f t="shared" si="0"/>
        <v/>
      </c>
      <c r="AQ11" s="24">
        <v>0</v>
      </c>
    </row>
    <row r="12" spans="5:43" ht="0.75" hidden="1" customHeight="1">
      <c r="E12" s="1027"/>
      <c r="F12" s="1027"/>
      <c r="G12" s="1026"/>
      <c r="T12" s="260" t="s">
        <v>337</v>
      </c>
      <c r="AN12" s="29" t="str">
        <f t="shared" si="0"/>
        <v>Добавить источник для дифференциации</v>
      </c>
      <c r="AQ12" s="24">
        <v>0</v>
      </c>
    </row>
    <row r="13" spans="5:43" ht="0.75" hidden="1" customHeight="1">
      <c r="E13" s="1027"/>
      <c r="F13" s="1026"/>
      <c r="T13" s="260" t="s">
        <v>338</v>
      </c>
      <c r="AN13" s="29" t="str">
        <f t="shared" si="0"/>
        <v>Добавить централизованную систему для дифференциации</v>
      </c>
      <c r="AQ13" s="24">
        <v>0</v>
      </c>
    </row>
    <row r="14" spans="5:43" ht="0.75" hidden="1" customHeight="1">
      <c r="E14" s="1026"/>
      <c r="T14" s="260" t="s">
        <v>339</v>
      </c>
      <c r="AN14" s="29" t="str">
        <f t="shared" si="0"/>
        <v>Добавить территорию для дифференциации</v>
      </c>
      <c r="AQ14" s="24">
        <v>0</v>
      </c>
    </row>
    <row r="15" spans="5:43" ht="14.25" hidden="1" customHeight="1">
      <c r="AQ15" s="3">
        <v>0</v>
      </c>
    </row>
    <row r="16" spans="5:43" ht="14.25" hidden="1" customHeight="1">
      <c r="AD16" s="344"/>
      <c r="AE16" s="345"/>
      <c r="AF16" s="346"/>
      <c r="AG16" s="347" t="s">
        <v>17</v>
      </c>
      <c r="AH16" s="346"/>
      <c r="AI16" s="347" t="s">
        <v>17</v>
      </c>
      <c r="AQ16" s="3">
        <v>0</v>
      </c>
    </row>
    <row r="17" spans="15:43" ht="14.25" hidden="1" customHeight="1">
      <c r="AQ17" s="3">
        <v>0</v>
      </c>
    </row>
    <row r="18" spans="15:43" ht="14.25" hidden="1" customHeight="1">
      <c r="O18" s="290" t="s">
        <v>340</v>
      </c>
      <c r="X18" s="290"/>
      <c r="Z18" s="290"/>
      <c r="AF18" s="290"/>
      <c r="AH18" s="290"/>
      <c r="AQ18" s="3">
        <v>0</v>
      </c>
    </row>
    <row r="19" spans="15:43" ht="14.25" hidden="1" customHeight="1">
      <c r="AQ19" s="3">
        <v>0</v>
      </c>
    </row>
    <row r="20" spans="15:43" ht="14.25" hidden="1" customHeight="1">
      <c r="O20" s="364" t="s">
        <v>341</v>
      </c>
      <c r="Y20" s="348" t="s">
        <v>343</v>
      </c>
      <c r="AA20" s="348" t="s">
        <v>344</v>
      </c>
      <c r="AC20" s="348" t="s">
        <v>393</v>
      </c>
      <c r="AG20" s="348" t="s">
        <v>343</v>
      </c>
      <c r="AI20" s="348" t="s">
        <v>344</v>
      </c>
      <c r="AQ20" s="348">
        <v>0</v>
      </c>
    </row>
    <row r="21" spans="15:43" ht="14.25" hidden="1" customHeight="1">
      <c r="AQ21" s="3">
        <v>0</v>
      </c>
    </row>
    <row r="22" spans="15:43" ht="14.25" hidden="1" customHeight="1">
      <c r="AQ22" s="3">
        <v>0</v>
      </c>
    </row>
    <row r="23" spans="15:43" ht="14.65" customHeight="1">
      <c r="Q23" s="349"/>
      <c r="R23" s="264"/>
      <c r="S23" s="265"/>
      <c r="T23" s="12"/>
      <c r="U23" s="12"/>
      <c r="AQ23" s="3">
        <v>14</v>
      </c>
    </row>
    <row r="24" spans="15:43" ht="39.75" customHeight="1">
      <c r="Q24" s="349"/>
      <c r="R24" s="264"/>
      <c r="S24" s="98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982"/>
      <c r="U24" s="982"/>
      <c r="V24" s="982"/>
      <c r="W24" s="982"/>
      <c r="X24" s="982"/>
      <c r="Y24" s="982"/>
      <c r="Z24" s="982"/>
      <c r="AA24" s="982"/>
      <c r="AB24" s="982"/>
      <c r="AC24" s="982"/>
      <c r="AD24" s="982"/>
      <c r="AE24" s="982"/>
      <c r="AF24" s="982"/>
      <c r="AG24" s="982"/>
      <c r="AH24" s="982"/>
      <c r="AQ24" s="3">
        <v>38</v>
      </c>
    </row>
    <row r="25" spans="15:43" ht="14.65" customHeight="1">
      <c r="Q25" s="349"/>
      <c r="R25" s="264"/>
      <c r="S25" s="955" t="e">
        <f>IF(org=0,"Не определено",org)</f>
        <v>#REF!</v>
      </c>
      <c r="T25" s="955"/>
      <c r="U25" s="955"/>
      <c r="V25" s="955"/>
      <c r="W25" s="955"/>
      <c r="X25" s="955"/>
      <c r="Y25" s="955"/>
      <c r="Z25" s="955"/>
      <c r="AA25" s="955"/>
      <c r="AB25" s="955"/>
      <c r="AC25" s="955"/>
      <c r="AD25" s="955"/>
      <c r="AE25" s="955"/>
      <c r="AF25" s="955"/>
      <c r="AG25" s="955"/>
      <c r="AH25" s="955"/>
      <c r="AQ25" s="3">
        <v>14</v>
      </c>
    </row>
    <row r="26" spans="15:43" ht="14.25" hidden="1" customHeight="1">
      <c r="Q26" s="349"/>
      <c r="R26" s="264"/>
      <c r="S26" s="265"/>
      <c r="T26" s="12"/>
      <c r="U26" s="12"/>
      <c r="V26" s="266"/>
      <c r="W26" s="266"/>
      <c r="X26" s="266"/>
      <c r="Y26" s="266"/>
      <c r="Z26" s="266"/>
      <c r="AA26" s="266"/>
      <c r="AB26" s="266"/>
      <c r="AC26" s="266"/>
      <c r="AD26" s="266"/>
      <c r="AE26" s="266"/>
      <c r="AF26" s="266"/>
      <c r="AG26" s="266"/>
      <c r="AH26" s="266"/>
      <c r="AI26" s="266"/>
      <c r="AQ26" s="3">
        <v>0</v>
      </c>
    </row>
    <row r="27" spans="15:43" ht="25.5" hidden="1" customHeight="1">
      <c r="S27" s="992" t="s">
        <v>9</v>
      </c>
      <c r="T27" s="992"/>
      <c r="U27" s="268"/>
      <c r="V27" s="994" t="e">
        <f>IF(TITLE_NAME_OR_PR_CHANGE="",IF(TITLE_NAME_OR_PR="","",TITLE_NAME_OR_PR),TITLE_NAME_OR_PR_CHANGE)</f>
        <v>#REF!</v>
      </c>
      <c r="W27" s="994"/>
      <c r="X27" s="994"/>
      <c r="Y27" s="994"/>
      <c r="Z27" s="994"/>
      <c r="AC27" s="994"/>
      <c r="AD27" s="994"/>
      <c r="AE27" s="994"/>
      <c r="AF27" s="994"/>
      <c r="AG27" s="994"/>
      <c r="AH27" s="994"/>
      <c r="AQ27" s="50">
        <v>0</v>
      </c>
    </row>
    <row r="28" spans="15:43" ht="18.75" hidden="1" customHeight="1">
      <c r="S28" s="992" t="s">
        <v>346</v>
      </c>
      <c r="T28" s="992"/>
      <c r="U28" s="268"/>
      <c r="V28" s="993" t="e">
        <f>IF(TITLE_DATE_PR_CHANGE="",IF(TITLE_DATE_PR="","",TITLE_DATE_PR),TITLE_DATE_PR_CHANGE)</f>
        <v>#REF!</v>
      </c>
      <c r="W28" s="993"/>
      <c r="X28" s="993"/>
      <c r="Y28" s="993"/>
      <c r="Z28" s="993"/>
      <c r="AC28" s="993"/>
      <c r="AD28" s="993"/>
      <c r="AE28" s="993"/>
      <c r="AF28" s="993"/>
      <c r="AG28" s="993"/>
      <c r="AH28" s="993"/>
      <c r="AQ28" s="50">
        <v>0</v>
      </c>
    </row>
    <row r="29" spans="15:43" ht="18.75" hidden="1" customHeight="1">
      <c r="S29" s="992" t="s">
        <v>347</v>
      </c>
      <c r="T29" s="992"/>
      <c r="U29" s="268"/>
      <c r="V29" s="994" t="e">
        <f>IF(TITLE_NUMBER_PR_CHANGE="",IF(TITLE_NUMBER_PR="","",TITLE_NUMBER_PR),TITLE_NUMBER_PR_CHANGE)</f>
        <v>#REF!</v>
      </c>
      <c r="W29" s="994"/>
      <c r="X29" s="994"/>
      <c r="Y29" s="994"/>
      <c r="Z29" s="994"/>
      <c r="AC29" s="994"/>
      <c r="AD29" s="994"/>
      <c r="AE29" s="994"/>
      <c r="AF29" s="994"/>
      <c r="AG29" s="994"/>
      <c r="AH29" s="994"/>
      <c r="AQ29" s="50">
        <v>0</v>
      </c>
    </row>
    <row r="30" spans="15:43" ht="18.75" hidden="1" customHeight="1">
      <c r="S30" s="992" t="s">
        <v>10</v>
      </c>
      <c r="T30" s="992"/>
      <c r="U30" s="268"/>
      <c r="V30" s="994" t="e">
        <f>IF(TITLE_IST_PUB_CHANGE="",IF(TITLE_IST_PUB="","",TITLE_IST_PUB),TITLE_IST_PUB_CHANGE)</f>
        <v>#REF!</v>
      </c>
      <c r="W30" s="994"/>
      <c r="X30" s="994"/>
      <c r="Y30" s="994"/>
      <c r="Z30" s="994"/>
      <c r="AC30" s="994"/>
      <c r="AD30" s="994"/>
      <c r="AE30" s="994"/>
      <c r="AF30" s="994"/>
      <c r="AG30" s="994"/>
      <c r="AH30" s="994"/>
      <c r="AQ30" s="50">
        <v>0</v>
      </c>
    </row>
    <row r="31" spans="15:43" ht="14.25" hidden="1" customHeight="1">
      <c r="Q31" s="349"/>
      <c r="R31" s="264"/>
      <c r="S31" s="265"/>
      <c r="T31" s="12"/>
      <c r="U31" s="12"/>
      <c r="V31" s="266"/>
      <c r="W31" s="266"/>
      <c r="X31" s="266"/>
      <c r="Y31" s="266"/>
      <c r="Z31" s="266"/>
      <c r="AA31" s="266"/>
      <c r="AB31" s="266"/>
      <c r="AC31" s="266"/>
      <c r="AD31" s="266"/>
      <c r="AE31" s="266"/>
      <c r="AF31" s="266"/>
      <c r="AG31" s="266"/>
      <c r="AH31" s="266"/>
      <c r="AI31" s="266"/>
      <c r="AQ31" s="3">
        <v>0</v>
      </c>
    </row>
    <row r="32" spans="15:43" ht="18.75" hidden="1" customHeight="1">
      <c r="S32" s="992" t="s">
        <v>346</v>
      </c>
      <c r="T32" s="992"/>
      <c r="U32" s="268"/>
      <c r="V32" s="993" t="e">
        <f>IF(TITLE_DATE_PR_CHANGE="",IF(TITLE_DATE_PR="","",TITLE_DATE_PR),TITLE_DATE_PR_CHANGE)</f>
        <v>#REF!</v>
      </c>
      <c r="W32" s="993"/>
      <c r="X32" s="993"/>
      <c r="Y32" s="993"/>
      <c r="Z32" s="993"/>
      <c r="AC32" s="993"/>
      <c r="AD32" s="993"/>
      <c r="AE32" s="993"/>
      <c r="AF32" s="993"/>
      <c r="AG32" s="993"/>
      <c r="AH32" s="993"/>
      <c r="AQ32" s="50">
        <v>0</v>
      </c>
    </row>
    <row r="33" spans="1:43" ht="18" hidden="1" customHeight="1">
      <c r="S33" s="992" t="s">
        <v>347</v>
      </c>
      <c r="T33" s="992"/>
      <c r="U33" s="268"/>
      <c r="V33" s="994" t="e">
        <f>IF(TITLE_NUMBER_PR_CHANGE="",IF(TITLE_NUMBER_PR="","",TITLE_NUMBER_PR),TITLE_NUMBER_PR_CHANGE)</f>
        <v>#REF!</v>
      </c>
      <c r="W33" s="994"/>
      <c r="X33" s="994"/>
      <c r="Y33" s="994"/>
      <c r="Z33" s="994"/>
      <c r="AC33" s="994"/>
      <c r="AD33" s="994"/>
      <c r="AE33" s="994"/>
      <c r="AF33" s="994"/>
      <c r="AG33" s="994"/>
      <c r="AH33" s="994"/>
      <c r="AQ33" s="50">
        <v>0</v>
      </c>
    </row>
    <row r="34" spans="1:43" ht="1.1499999999999999" customHeight="1">
      <c r="AA34" s="24" t="s">
        <v>350</v>
      </c>
      <c r="AI34" s="24" t="s">
        <v>350</v>
      </c>
      <c r="AQ34" s="50">
        <v>1</v>
      </c>
    </row>
    <row r="35" spans="1:43" ht="14.65" customHeight="1">
      <c r="Q35" s="349"/>
      <c r="R35" s="264"/>
      <c r="S35" s="265"/>
      <c r="T35" s="12"/>
      <c r="U35" s="270"/>
      <c r="V35" s="1012"/>
      <c r="W35" s="1012"/>
      <c r="X35" s="1012"/>
      <c r="Y35" s="1012"/>
      <c r="Z35" s="1012"/>
      <c r="AA35" s="1012"/>
      <c r="AB35" s="271"/>
      <c r="AC35" s="1012"/>
      <c r="AD35" s="1012"/>
      <c r="AE35" s="1012"/>
      <c r="AF35" s="1012"/>
      <c r="AG35" s="1012"/>
      <c r="AH35" s="1012"/>
      <c r="AI35" s="1012"/>
      <c r="AQ35" s="3">
        <v>14</v>
      </c>
    </row>
    <row r="36" spans="1:43" ht="14.65" customHeight="1">
      <c r="Q36" s="349"/>
      <c r="R36" s="264"/>
      <c r="S36" s="894" t="s">
        <v>223</v>
      </c>
      <c r="T36" s="894"/>
      <c r="U36" s="894"/>
      <c r="V36" s="894"/>
      <c r="W36" s="894"/>
      <c r="X36" s="894"/>
      <c r="Y36" s="894"/>
      <c r="Z36" s="894"/>
      <c r="AA36" s="935"/>
      <c r="AB36" s="935"/>
      <c r="AC36" s="935"/>
      <c r="AD36" s="894"/>
      <c r="AE36" s="894"/>
      <c r="AF36" s="894"/>
      <c r="AG36" s="894"/>
      <c r="AH36" s="894"/>
      <c r="AI36" s="894"/>
      <c r="AJ36" s="894"/>
      <c r="AK36" s="894" t="s">
        <v>224</v>
      </c>
      <c r="AQ36" s="3">
        <v>14</v>
      </c>
    </row>
    <row r="37" spans="1:43" ht="14.65" customHeight="1">
      <c r="Q37" s="349"/>
      <c r="R37" s="264"/>
      <c r="S37" s="1013" t="s">
        <v>24</v>
      </c>
      <c r="T37" s="962" t="s">
        <v>422</v>
      </c>
      <c r="U37" s="272"/>
      <c r="V37" s="1015"/>
      <c r="W37" s="1015"/>
      <c r="X37" s="1015"/>
      <c r="Y37" s="1015"/>
      <c r="Z37" s="1015"/>
      <c r="AA37" s="962" t="s">
        <v>353</v>
      </c>
      <c r="AB37" s="961" t="s">
        <v>423</v>
      </c>
      <c r="AC37" s="961" t="s">
        <v>397</v>
      </c>
      <c r="AD37" s="1030" t="s">
        <v>352</v>
      </c>
      <c r="AE37" s="1030"/>
      <c r="AF37" s="1015"/>
      <c r="AG37" s="1015"/>
      <c r="AH37" s="1016"/>
      <c r="AI37" s="1017" t="s">
        <v>353</v>
      </c>
      <c r="AJ37" s="1020" t="s">
        <v>355</v>
      </c>
      <c r="AK37" s="894"/>
      <c r="AQ37" s="3">
        <v>14</v>
      </c>
    </row>
    <row r="38" spans="1:43" ht="35.65" customHeight="1">
      <c r="Q38" s="349"/>
      <c r="R38" s="264"/>
      <c r="S38" s="1013"/>
      <c r="T38" s="962"/>
      <c r="U38" s="274"/>
      <c r="V38" s="886" t="s">
        <v>400</v>
      </c>
      <c r="W38" s="894"/>
      <c r="X38" s="936" t="s">
        <v>359</v>
      </c>
      <c r="Y38" s="1042"/>
      <c r="Z38" s="1042"/>
      <c r="AA38" s="962"/>
      <c r="AB38" s="961"/>
      <c r="AC38" s="961"/>
      <c r="AD38" s="886" t="s">
        <v>400</v>
      </c>
      <c r="AE38" s="894"/>
      <c r="AF38" s="1042" t="s">
        <v>359</v>
      </c>
      <c r="AG38" s="1042"/>
      <c r="AH38" s="937"/>
      <c r="AI38" s="1018"/>
      <c r="AJ38" s="1021"/>
      <c r="AK38" s="894"/>
      <c r="AQ38" s="3">
        <v>34</v>
      </c>
    </row>
    <row r="39" spans="1:43" ht="14.65" customHeight="1">
      <c r="Q39" s="349"/>
      <c r="R39" s="264"/>
      <c r="S39" s="1013"/>
      <c r="T39" s="962"/>
      <c r="U39" s="274"/>
      <c r="V39" s="1066" t="str">
        <f>IF($AD$39&lt;&gt;"",$AD$39,"")</f>
        <v/>
      </c>
      <c r="W39" s="1066"/>
      <c r="X39" s="941"/>
      <c r="Y39" s="1043"/>
      <c r="Z39" s="1043"/>
      <c r="AA39" s="962"/>
      <c r="AB39" s="961"/>
      <c r="AC39" s="961"/>
      <c r="AD39" s="1075"/>
      <c r="AE39" s="1065"/>
      <c r="AF39" s="1043"/>
      <c r="AG39" s="1043"/>
      <c r="AH39" s="942"/>
      <c r="AI39" s="1018"/>
      <c r="AJ39" s="1021"/>
      <c r="AK39" s="894"/>
      <c r="AQ39" s="3">
        <v>14</v>
      </c>
    </row>
    <row r="40" spans="1:43" ht="14.65" customHeight="1">
      <c r="B40" s="59" t="s">
        <v>60</v>
      </c>
      <c r="C40" s="59" t="s">
        <v>61</v>
      </c>
      <c r="D40" s="59" t="s">
        <v>62</v>
      </c>
      <c r="E40" s="289" t="s">
        <v>360</v>
      </c>
      <c r="F40" s="289" t="s">
        <v>361</v>
      </c>
      <c r="G40" s="289" t="s">
        <v>362</v>
      </c>
      <c r="H40" s="289" t="s">
        <v>363</v>
      </c>
      <c r="I40" s="289" t="s">
        <v>364</v>
      </c>
      <c r="J40" s="289" t="s">
        <v>365</v>
      </c>
      <c r="K40" s="289" t="s">
        <v>366</v>
      </c>
      <c r="L40" s="289" t="s">
        <v>341</v>
      </c>
      <c r="Q40" s="349"/>
      <c r="R40" s="264"/>
      <c r="S40" s="1013"/>
      <c r="T40" s="962"/>
      <c r="U40" s="275"/>
      <c r="V40" s="120" t="s">
        <v>401</v>
      </c>
      <c r="W40" s="120" t="s">
        <v>402</v>
      </c>
      <c r="X40" s="65" t="s">
        <v>369</v>
      </c>
      <c r="Y40" s="967" t="s">
        <v>370</v>
      </c>
      <c r="Z40" s="980"/>
      <c r="AA40" s="962"/>
      <c r="AB40" s="961"/>
      <c r="AC40" s="961"/>
      <c r="AD40" s="365" t="s">
        <v>401</v>
      </c>
      <c r="AE40" s="277" t="s">
        <v>402</v>
      </c>
      <c r="AF40" s="65" t="s">
        <v>369</v>
      </c>
      <c r="AG40" s="967" t="s">
        <v>370</v>
      </c>
      <c r="AH40" s="981"/>
      <c r="AI40" s="1019"/>
      <c r="AJ40" s="1022"/>
      <c r="AK40" s="894"/>
      <c r="AQ40" s="3">
        <v>14</v>
      </c>
    </row>
    <row r="41" spans="1:43" ht="11.25" hidden="1" customHeight="1">
      <c r="Q41" s="279"/>
      <c r="R41" s="279">
        <v>1</v>
      </c>
      <c r="S41" s="280" t="s">
        <v>31</v>
      </c>
      <c r="T41" s="281" t="s">
        <v>39</v>
      </c>
      <c r="U41" s="282" t="str">
        <f ca="1">OFFSET(U41,0,-1)</f>
        <v>2</v>
      </c>
      <c r="V41" s="283">
        <f ca="1">OFFSET(V41,0,-1)+1</f>
        <v>3</v>
      </c>
      <c r="W41" s="283">
        <f ca="1">OFFSET(W41,0,-1)+1</f>
        <v>4</v>
      </c>
      <c r="X41" s="283">
        <f ca="1">OFFSET(X41,0,-1)+1</f>
        <v>5</v>
      </c>
      <c r="Y41" s="1011">
        <f ca="1">OFFSET(Y41,0,-1)+1</f>
        <v>6</v>
      </c>
      <c r="Z41" s="1011"/>
      <c r="AA41" s="185">
        <f ca="1">OFFSET(AA41,0,-2)+1</f>
        <v>7</v>
      </c>
      <c r="AB41" s="185"/>
      <c r="AC41" s="185"/>
      <c r="AD41" s="283">
        <f ca="1">OFFSET(AD41,0,-1)+1</f>
        <v>1</v>
      </c>
      <c r="AE41" s="283">
        <f ca="1">OFFSET(AE41,0,-1)+1</f>
        <v>2</v>
      </c>
      <c r="AF41" s="283">
        <f ca="1">OFFSET(AF41,0,-1)+1</f>
        <v>3</v>
      </c>
      <c r="AG41" s="1011">
        <f ca="1">OFFSET(AG41,0,-1)+1</f>
        <v>4</v>
      </c>
      <c r="AH41" s="1011"/>
      <c r="AI41" s="283">
        <f ca="1">OFFSET(AI41,0,-2)+1</f>
        <v>5</v>
      </c>
      <c r="AJ41" s="282">
        <f ca="1">OFFSET(AJ41,0,-1)</f>
        <v>5</v>
      </c>
      <c r="AK41" s="283">
        <f ca="1">OFFSET(AK41,0,-1)+1</f>
        <v>6</v>
      </c>
      <c r="AQ41" s="189">
        <v>0</v>
      </c>
    </row>
    <row r="42" spans="1:43" ht="107.25" customHeight="1">
      <c r="A42" s="76" t="s">
        <v>129</v>
      </c>
      <c r="E42" s="1026">
        <v>1</v>
      </c>
      <c r="R42" s="225"/>
      <c r="S42" s="226">
        <f>INDEX(PT_DIFFERENTIATION_NUM_NTAR,MATCH(A42,PT_DIFFERENTIATION_NTAR_ID,0))</f>
        <v>0</v>
      </c>
      <c r="T42" s="227" t="s">
        <v>48</v>
      </c>
      <c r="U42" s="228"/>
      <c r="V42" s="996"/>
      <c r="W42" s="996"/>
      <c r="X42" s="996"/>
      <c r="Y42" s="996"/>
      <c r="Z42" s="996"/>
      <c r="AA42" s="997"/>
      <c r="AB42" s="229"/>
      <c r="AC42" s="996" t="str">
        <f>INDEX(PT_DIFFERENTIATION_NTAR,MATCH(A42,PT_DIFFERENTIATION_NTAR_ID,0))</f>
        <v/>
      </c>
      <c r="AD42" s="996"/>
      <c r="AE42" s="996"/>
      <c r="AF42" s="996"/>
      <c r="AG42" s="996"/>
      <c r="AH42" s="996"/>
      <c r="AI42" s="996"/>
      <c r="AJ42" s="997"/>
      <c r="AK42" s="23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N42" s="29" t="str">
        <f t="shared" ref="AN42:AN56" si="1">IF(T42="","",T42)</f>
        <v>Наименование тарифа</v>
      </c>
      <c r="AQ42" s="3">
        <v>102</v>
      </c>
    </row>
    <row r="43" spans="1:43" ht="21.95" customHeight="1">
      <c r="A43" s="76" t="s">
        <v>129</v>
      </c>
      <c r="B43" s="76" t="s">
        <v>130</v>
      </c>
      <c r="E43" s="1027"/>
      <c r="F43" s="1026">
        <v>1</v>
      </c>
      <c r="Q43" s="328"/>
      <c r="R43" s="232"/>
      <c r="S43" s="226" t="str">
        <f>INDEX(PT_DIFFERENTIATION_NUM_TER,MATCH(B43,PT_DIFFERENTIATION_TER_ID,0))</f>
        <v>.</v>
      </c>
      <c r="T43" s="233" t="s">
        <v>320</v>
      </c>
      <c r="U43" s="228"/>
      <c r="V43" s="996"/>
      <c r="W43" s="996"/>
      <c r="X43" s="996"/>
      <c r="Y43" s="996"/>
      <c r="Z43" s="996"/>
      <c r="AA43" s="997"/>
      <c r="AB43" s="229"/>
      <c r="AC43" s="996" t="str">
        <f>INDEX(PT_DIFFERENTIATION_TER,MATCH(B43,PT_DIFFERENTIATION_TER_ID,0))</f>
        <v/>
      </c>
      <c r="AD43" s="996"/>
      <c r="AE43" s="996"/>
      <c r="AF43" s="996"/>
      <c r="AG43" s="996"/>
      <c r="AH43" s="996"/>
      <c r="AI43" s="996"/>
      <c r="AJ43" s="997"/>
      <c r="AK43" s="230" t="s">
        <v>321</v>
      </c>
      <c r="AN43" s="29" t="str">
        <f t="shared" si="1"/>
        <v>Территория действия тарифа</v>
      </c>
      <c r="AQ43" s="3">
        <v>21</v>
      </c>
    </row>
    <row r="44" spans="1:43" ht="24" customHeight="1">
      <c r="A44" s="76" t="s">
        <v>129</v>
      </c>
      <c r="B44" s="76" t="s">
        <v>130</v>
      </c>
      <c r="C44" s="76" t="s">
        <v>131</v>
      </c>
      <c r="E44" s="1027"/>
      <c r="F44" s="1027"/>
      <c r="G44" s="1026">
        <v>1</v>
      </c>
      <c r="Q44" s="328"/>
      <c r="R44" s="232"/>
      <c r="S44" s="226" t="str">
        <f>INDEX(PT_DIFFERENTIATION_NUM_CS,MATCH(C44,PT_DIFFERENTIATION_CS_ID,0))</f>
        <v>..</v>
      </c>
      <c r="T44" s="234" t="s">
        <v>322</v>
      </c>
      <c r="U44" s="228"/>
      <c r="V44" s="996"/>
      <c r="W44" s="996"/>
      <c r="X44" s="996"/>
      <c r="Y44" s="996"/>
      <c r="Z44" s="996"/>
      <c r="AA44" s="997"/>
      <c r="AB44" s="229"/>
      <c r="AC44" s="996" t="str">
        <f>INDEX(PT_DIFFERENTIATION_CS,MATCH(C44,PT_DIFFERENTIATION_CS_ID,0))</f>
        <v/>
      </c>
      <c r="AD44" s="996"/>
      <c r="AE44" s="996"/>
      <c r="AF44" s="996"/>
      <c r="AG44" s="996"/>
      <c r="AH44" s="996"/>
      <c r="AI44" s="996"/>
      <c r="AJ44" s="997"/>
      <c r="AK44" s="230" t="s">
        <v>323</v>
      </c>
      <c r="AN44" s="29" t="str">
        <f t="shared" si="1"/>
        <v xml:space="preserve">Наименование системы теплоснабжения </v>
      </c>
      <c r="AQ44" s="3">
        <v>23</v>
      </c>
    </row>
    <row r="45" spans="1:43" ht="21.95" customHeight="1">
      <c r="A45" s="76" t="s">
        <v>129</v>
      </c>
      <c r="B45" s="76" t="s">
        <v>130</v>
      </c>
      <c r="C45" s="76" t="s">
        <v>131</v>
      </c>
      <c r="D45" s="76" t="s">
        <v>132</v>
      </c>
      <c r="E45" s="1027"/>
      <c r="F45" s="1027"/>
      <c r="G45" s="1027"/>
      <c r="H45" s="1026">
        <v>1</v>
      </c>
      <c r="Q45" s="328"/>
      <c r="R45" s="232"/>
      <c r="S45" s="226" t="str">
        <f>INDEX(PT_DIFFERENTIATION_NUM_IST_TE,MATCH(D45,PT_DIFFERENTIATION_IST_TE_ID,0))</f>
        <v>...</v>
      </c>
      <c r="T45" s="235" t="s">
        <v>324</v>
      </c>
      <c r="U45" s="228"/>
      <c r="V45" s="996"/>
      <c r="W45" s="996"/>
      <c r="X45" s="996"/>
      <c r="Y45" s="996"/>
      <c r="Z45" s="996"/>
      <c r="AA45" s="997"/>
      <c r="AB45" s="229"/>
      <c r="AC45" s="996" t="str">
        <f>INDEX(PT_DIFFERENTIATION_IST_TE,MATCH(D45,PT_DIFFERENTIATION_IST_TE_ID,0))</f>
        <v/>
      </c>
      <c r="AD45" s="996"/>
      <c r="AE45" s="996"/>
      <c r="AF45" s="996"/>
      <c r="AG45" s="996"/>
      <c r="AH45" s="996"/>
      <c r="AI45" s="996"/>
      <c r="AJ45" s="997"/>
      <c r="AK45" s="230" t="s">
        <v>325</v>
      </c>
      <c r="AN45" s="29" t="str">
        <f t="shared" si="1"/>
        <v xml:space="preserve">Источник тепловой энергии  </v>
      </c>
      <c r="AQ45" s="3">
        <v>21</v>
      </c>
    </row>
    <row r="46" spans="1:43" ht="0" hidden="1" customHeight="1">
      <c r="A46" s="291" t="s">
        <v>129</v>
      </c>
      <c r="B46" s="291" t="s">
        <v>130</v>
      </c>
      <c r="C46" s="291" t="s">
        <v>131</v>
      </c>
      <c r="D46" s="291" t="s">
        <v>132</v>
      </c>
      <c r="E46" s="1027"/>
      <c r="F46" s="1027"/>
      <c r="G46" s="1027"/>
      <c r="H46" s="1027"/>
      <c r="I46" s="894" t="str">
        <f>S45&amp;".1"</f>
        <v>....1</v>
      </c>
      <c r="L46" s="327" t="s">
        <v>326</v>
      </c>
      <c r="P46" s="1004">
        <v>1</v>
      </c>
      <c r="R46" s="238"/>
      <c r="S46" s="124"/>
      <c r="T46" s="294"/>
      <c r="U46" s="295"/>
      <c r="V46" s="1032"/>
      <c r="W46" s="1032"/>
      <c r="X46" s="1032"/>
      <c r="Y46" s="1032"/>
      <c r="Z46" s="1032"/>
      <c r="AA46" s="1033"/>
      <c r="AB46" s="296"/>
      <c r="AC46" s="1032"/>
      <c r="AD46" s="1032"/>
      <c r="AE46" s="1032"/>
      <c r="AF46" s="1032"/>
      <c r="AG46" s="1032"/>
      <c r="AH46" s="1032"/>
      <c r="AI46" s="1032"/>
      <c r="AJ46" s="1033"/>
      <c r="AK46" s="297"/>
      <c r="AN46" s="29" t="str">
        <f t="shared" si="1"/>
        <v/>
      </c>
      <c r="AQ46" s="24">
        <v>0</v>
      </c>
    </row>
    <row r="47" spans="1:43" ht="0" hidden="1" customHeight="1">
      <c r="A47" s="291" t="s">
        <v>129</v>
      </c>
      <c r="B47" s="291" t="s">
        <v>130</v>
      </c>
      <c r="C47" s="291" t="s">
        <v>131</v>
      </c>
      <c r="D47" s="291" t="s">
        <v>132</v>
      </c>
      <c r="E47" s="1027"/>
      <c r="F47" s="1027"/>
      <c r="G47" s="1027"/>
      <c r="H47" s="1027"/>
      <c r="I47" s="887"/>
      <c r="J47" s="894" t="str">
        <f>S45&amp;".1"</f>
        <v>....1</v>
      </c>
      <c r="P47" s="885"/>
      <c r="Q47" s="1004">
        <v>1</v>
      </c>
      <c r="R47" s="240"/>
      <c r="S47" s="124"/>
      <c r="T47" s="329"/>
      <c r="U47" s="295"/>
      <c r="V47" s="1032"/>
      <c r="W47" s="1032"/>
      <c r="X47" s="1032"/>
      <c r="Y47" s="1032"/>
      <c r="Z47" s="1032"/>
      <c r="AA47" s="1033"/>
      <c r="AB47" s="296"/>
      <c r="AC47" s="1032"/>
      <c r="AD47" s="1032"/>
      <c r="AE47" s="1032"/>
      <c r="AF47" s="1032"/>
      <c r="AG47" s="1032"/>
      <c r="AH47" s="1032"/>
      <c r="AI47" s="1032"/>
      <c r="AJ47" s="1033"/>
      <c r="AK47" s="297"/>
      <c r="AN47" s="29" t="str">
        <f t="shared" si="1"/>
        <v/>
      </c>
      <c r="AQ47" s="24">
        <v>0</v>
      </c>
    </row>
    <row r="48" spans="1:43" ht="21.95" customHeight="1">
      <c r="A48" s="76" t="s">
        <v>129</v>
      </c>
      <c r="B48" s="76" t="s">
        <v>130</v>
      </c>
      <c r="C48" s="76" t="s">
        <v>131</v>
      </c>
      <c r="D48" s="76" t="s">
        <v>132</v>
      </c>
      <c r="E48" s="1027"/>
      <c r="F48" s="1027"/>
      <c r="G48" s="1027"/>
      <c r="H48" s="1027"/>
      <c r="I48" s="887"/>
      <c r="J48" s="887"/>
      <c r="K48" s="30" t="str">
        <f>S45&amp;".1"</f>
        <v>....1</v>
      </c>
      <c r="P48" s="885"/>
      <c r="Q48" s="885"/>
      <c r="R48" s="240">
        <v>1</v>
      </c>
      <c r="S48" s="303" t="str">
        <f>$K48</f>
        <v>....1</v>
      </c>
      <c r="T48" s="331"/>
      <c r="U48" s="228"/>
      <c r="V48" s="243"/>
      <c r="W48" s="245"/>
      <c r="X48" s="246"/>
      <c r="Y48" s="56" t="s">
        <v>17</v>
      </c>
      <c r="Z48" s="246"/>
      <c r="AA48" s="56" t="s">
        <v>17</v>
      </c>
      <c r="AB48" s="362"/>
      <c r="AC48" s="363" t="s">
        <v>4</v>
      </c>
      <c r="AD48" s="243"/>
      <c r="AE48" s="245"/>
      <c r="AF48" s="246"/>
      <c r="AG48" s="56" t="s">
        <v>17</v>
      </c>
      <c r="AH48" s="246"/>
      <c r="AI48" s="56" t="s">
        <v>17</v>
      </c>
      <c r="AJ48" s="285"/>
      <c r="AK48" s="1023" t="s">
        <v>403</v>
      </c>
      <c r="AL48" s="24" t="e">
        <f ca="1">STRCHECKDATE(#REF!)</f>
        <v>#NAME?</v>
      </c>
      <c r="AN48" s="29" t="str">
        <f t="shared" si="1"/>
        <v/>
      </c>
      <c r="AQ48" s="3">
        <v>21</v>
      </c>
    </row>
    <row r="49" spans="1:43" ht="11.45" customHeight="1">
      <c r="A49" s="76" t="s">
        <v>129</v>
      </c>
      <c r="B49" s="76" t="s">
        <v>130</v>
      </c>
      <c r="C49" s="76" t="s">
        <v>131</v>
      </c>
      <c r="D49" s="76" t="s">
        <v>132</v>
      </c>
      <c r="E49" s="1027"/>
      <c r="F49" s="1027"/>
      <c r="G49" s="1027"/>
      <c r="H49" s="1027"/>
      <c r="I49" s="887"/>
      <c r="J49" s="894"/>
      <c r="P49" s="885"/>
      <c r="Q49" s="885"/>
      <c r="R49" s="238"/>
      <c r="S49" s="249"/>
      <c r="T49" s="252" t="s">
        <v>391</v>
      </c>
      <c r="U49" s="54"/>
      <c r="V49" s="54"/>
      <c r="W49" s="54"/>
      <c r="X49" s="54"/>
      <c r="Y49" s="54"/>
      <c r="Z49" s="54"/>
      <c r="AA49" s="251"/>
      <c r="AB49" s="54"/>
      <c r="AC49" s="54"/>
      <c r="AD49" s="54"/>
      <c r="AE49" s="54"/>
      <c r="AF49" s="54"/>
      <c r="AG49" s="54"/>
      <c r="AH49" s="54"/>
      <c r="AI49" s="54"/>
      <c r="AJ49" s="251"/>
      <c r="AK49" s="1025"/>
      <c r="AN49" s="29" t="str">
        <f t="shared" si="1"/>
        <v>Добавить строку</v>
      </c>
      <c r="AQ49" s="3">
        <v>11</v>
      </c>
    </row>
    <row r="50" spans="1:43" ht="1.1499999999999999" customHeight="1">
      <c r="A50" s="291" t="s">
        <v>129</v>
      </c>
      <c r="B50" s="291" t="s">
        <v>130</v>
      </c>
      <c r="C50" s="291" t="s">
        <v>131</v>
      </c>
      <c r="D50" s="291" t="s">
        <v>132</v>
      </c>
      <c r="E50" s="1027"/>
      <c r="F50" s="1027"/>
      <c r="G50" s="1027"/>
      <c r="H50" s="1027"/>
      <c r="I50" s="894"/>
      <c r="P50" s="885"/>
      <c r="R50" s="238"/>
      <c r="S50" s="298"/>
      <c r="T50" s="299" t="s">
        <v>335</v>
      </c>
      <c r="U50" s="300"/>
      <c r="V50" s="300"/>
      <c r="W50" s="300"/>
      <c r="X50" s="300"/>
      <c r="Y50" s="300"/>
      <c r="Z50" s="300"/>
      <c r="AA50" s="300"/>
      <c r="AB50" s="300"/>
      <c r="AC50" s="300"/>
      <c r="AD50" s="300"/>
      <c r="AE50" s="300"/>
      <c r="AF50" s="300"/>
      <c r="AG50" s="300"/>
      <c r="AH50" s="300"/>
      <c r="AI50" s="300"/>
      <c r="AJ50" s="300"/>
      <c r="AK50" s="301"/>
      <c r="AN50" s="29" t="str">
        <f t="shared" si="1"/>
        <v>Добавить группу потребителей</v>
      </c>
      <c r="AQ50" s="24">
        <v>1</v>
      </c>
    </row>
    <row r="51" spans="1:43" ht="1.1499999999999999" customHeight="1">
      <c r="A51" s="291" t="s">
        <v>129</v>
      </c>
      <c r="B51" s="291" t="s">
        <v>130</v>
      </c>
      <c r="C51" s="291" t="s">
        <v>131</v>
      </c>
      <c r="D51" s="291" t="s">
        <v>132</v>
      </c>
      <c r="E51" s="1027"/>
      <c r="F51" s="1027"/>
      <c r="G51" s="1027"/>
      <c r="H51" s="1026"/>
      <c r="R51" s="354"/>
      <c r="S51" s="298"/>
      <c r="T51" s="299"/>
      <c r="U51" s="300"/>
      <c r="V51" s="300"/>
      <c r="W51" s="300"/>
      <c r="X51" s="300"/>
      <c r="Y51" s="300"/>
      <c r="Z51" s="300"/>
      <c r="AA51" s="300"/>
      <c r="AB51" s="300"/>
      <c r="AC51" s="300"/>
      <c r="AD51" s="300"/>
      <c r="AE51" s="300"/>
      <c r="AF51" s="300"/>
      <c r="AG51" s="300"/>
      <c r="AH51" s="300"/>
      <c r="AI51" s="300"/>
      <c r="AJ51" s="300"/>
      <c r="AK51" s="301"/>
      <c r="AN51" s="29" t="str">
        <f t="shared" si="1"/>
        <v/>
      </c>
      <c r="AQ51" s="189">
        <v>1</v>
      </c>
    </row>
    <row r="52" spans="1:43" ht="1.1499999999999999" customHeight="1">
      <c r="A52" s="291" t="s">
        <v>129</v>
      </c>
      <c r="B52" s="291" t="s">
        <v>130</v>
      </c>
      <c r="C52" s="291" t="s">
        <v>131</v>
      </c>
      <c r="E52" s="1027"/>
      <c r="F52" s="1027"/>
      <c r="G52" s="1026"/>
      <c r="T52" s="260" t="s">
        <v>337</v>
      </c>
      <c r="AN52" s="29" t="str">
        <f t="shared" si="1"/>
        <v>Добавить источник для дифференциации</v>
      </c>
      <c r="AQ52" s="24">
        <v>1</v>
      </c>
    </row>
    <row r="53" spans="1:43" ht="1.1499999999999999" customHeight="1">
      <c r="A53" s="291" t="s">
        <v>129</v>
      </c>
      <c r="B53" s="291" t="s">
        <v>130</v>
      </c>
      <c r="E53" s="1027"/>
      <c r="F53" s="1026"/>
      <c r="T53" s="260" t="s">
        <v>338</v>
      </c>
      <c r="AN53" s="29" t="str">
        <f t="shared" si="1"/>
        <v>Добавить централизованную систему для дифференциации</v>
      </c>
      <c r="AQ53" s="24">
        <v>1</v>
      </c>
    </row>
    <row r="54" spans="1:43" ht="1.1499999999999999" customHeight="1">
      <c r="A54" s="291" t="s">
        <v>129</v>
      </c>
      <c r="E54" s="1027"/>
      <c r="T54" s="260" t="s">
        <v>339</v>
      </c>
      <c r="AN54" s="29" t="str">
        <f t="shared" si="1"/>
        <v>Добавить территорию для дифференциации</v>
      </c>
      <c r="AQ54" s="24">
        <v>1</v>
      </c>
    </row>
    <row r="55" spans="1:43" ht="1.1499999999999999" customHeight="1">
      <c r="A55" s="291" t="s">
        <v>129</v>
      </c>
      <c r="E55" s="1026"/>
      <c r="T55" s="260" t="s">
        <v>339</v>
      </c>
      <c r="AN55" s="29" t="str">
        <f t="shared" si="1"/>
        <v>Добавить территорию для дифференциации</v>
      </c>
      <c r="AQ55" s="24">
        <v>1</v>
      </c>
    </row>
    <row r="56" spans="1:43" ht="1.1499999999999999" customHeight="1">
      <c r="T56" s="260" t="s">
        <v>371</v>
      </c>
      <c r="AN56" s="29" t="str">
        <f t="shared" si="1"/>
        <v>Добавить наименование тарифа</v>
      </c>
      <c r="AQ56" s="24">
        <v>1</v>
      </c>
    </row>
    <row r="57" spans="1:43" ht="11.45" customHeight="1">
      <c r="AQ57" s="3">
        <v>11</v>
      </c>
    </row>
    <row r="58" spans="1:43" ht="19.899999999999999" customHeight="1">
      <c r="T58" s="885"/>
      <c r="U58" s="885"/>
      <c r="V58" s="885"/>
      <c r="W58" s="885"/>
      <c r="X58" s="885"/>
      <c r="Y58" s="885"/>
      <c r="Z58" s="885"/>
      <c r="AA58" s="885"/>
      <c r="AB58" s="885"/>
      <c r="AC58" s="885"/>
      <c r="AD58" s="885"/>
      <c r="AE58" s="885"/>
      <c r="AF58" s="885"/>
      <c r="AG58" s="885"/>
      <c r="AH58" s="885"/>
      <c r="AI58" s="885"/>
      <c r="AJ58" s="885"/>
      <c r="AK58" s="885"/>
      <c r="AQ58" s="3">
        <v>19</v>
      </c>
    </row>
    <row r="59" spans="1:43" ht="21" customHeight="1">
      <c r="T59" s="885"/>
      <c r="U59" s="885"/>
      <c r="V59" s="885"/>
      <c r="W59" s="885"/>
      <c r="X59" s="885"/>
      <c r="Y59" s="885"/>
      <c r="Z59" s="885"/>
      <c r="AA59" s="885"/>
      <c r="AB59" s="885"/>
      <c r="AC59" s="885"/>
      <c r="AD59" s="885"/>
      <c r="AE59" s="885"/>
      <c r="AF59" s="885"/>
      <c r="AG59" s="885"/>
      <c r="AH59" s="885"/>
      <c r="AI59" s="885"/>
      <c r="AJ59" s="885"/>
      <c r="AK59" s="885"/>
      <c r="AQ59" s="3">
        <v>20</v>
      </c>
    </row>
    <row r="60" spans="1:43" ht="14.65" customHeight="1">
      <c r="AQ60" s="3">
        <v>14</v>
      </c>
    </row>
    <row r="61" spans="1:43" ht="19.899999999999999" customHeight="1">
      <c r="T61" s="885"/>
      <c r="U61" s="885"/>
      <c r="V61" s="885"/>
      <c r="W61" s="885"/>
      <c r="X61" s="885"/>
      <c r="Y61" s="885"/>
      <c r="Z61" s="885"/>
      <c r="AA61" s="885"/>
      <c r="AB61" s="885"/>
      <c r="AC61" s="885"/>
      <c r="AD61" s="885"/>
      <c r="AE61" s="885"/>
      <c r="AF61" s="885"/>
      <c r="AG61" s="885"/>
      <c r="AH61" s="885"/>
      <c r="AI61" s="885"/>
      <c r="AJ61" s="885"/>
      <c r="AK61" s="885"/>
      <c r="AQ61" s="3">
        <v>19</v>
      </c>
    </row>
    <row r="62" spans="1:43" ht="16.899999999999999" customHeight="1">
      <c r="T62" s="885"/>
      <c r="U62" s="885"/>
      <c r="V62" s="885"/>
      <c r="W62" s="885"/>
      <c r="X62" s="885"/>
      <c r="Y62" s="885"/>
      <c r="Z62" s="885"/>
      <c r="AA62" s="885"/>
      <c r="AB62" s="885"/>
      <c r="AC62" s="885"/>
      <c r="AD62" s="885"/>
      <c r="AE62" s="885"/>
      <c r="AF62" s="885"/>
      <c r="AG62" s="885"/>
      <c r="AH62" s="885"/>
      <c r="AI62" s="885"/>
      <c r="AJ62" s="885"/>
      <c r="AK62" s="885"/>
      <c r="AQ62" s="3">
        <v>16</v>
      </c>
    </row>
    <row r="63" spans="1:43" ht="14.65" customHeight="1">
      <c r="AQ63" s="3">
        <v>14</v>
      </c>
    </row>
    <row r="64" spans="1:43" ht="22.5" hidden="1" customHeight="1">
      <c r="A64" s="3" t="s">
        <v>18</v>
      </c>
      <c r="B64" s="3">
        <v>0</v>
      </c>
      <c r="C64" s="3">
        <v>0</v>
      </c>
      <c r="D64" s="3">
        <v>0</v>
      </c>
      <c r="E64" s="3">
        <v>0</v>
      </c>
      <c r="F64" s="3">
        <v>0</v>
      </c>
      <c r="G64" s="3">
        <v>0</v>
      </c>
      <c r="H64" s="3">
        <v>0</v>
      </c>
      <c r="I64" s="3">
        <v>0</v>
      </c>
      <c r="J64" s="3">
        <v>0</v>
      </c>
      <c r="K64" s="3">
        <v>0</v>
      </c>
      <c r="L64" s="17">
        <v>0</v>
      </c>
      <c r="M64" s="287">
        <v>0</v>
      </c>
      <c r="N64" s="287">
        <v>0</v>
      </c>
      <c r="O64" s="287">
        <v>0</v>
      </c>
      <c r="P64" s="13">
        <v>3</v>
      </c>
      <c r="Q64" s="355">
        <v>3</v>
      </c>
      <c r="R64" s="288">
        <v>3</v>
      </c>
      <c r="S64" s="9">
        <v>12</v>
      </c>
      <c r="T64" s="3">
        <v>31</v>
      </c>
      <c r="U64" s="3">
        <v>0</v>
      </c>
      <c r="V64" s="3">
        <v>0</v>
      </c>
      <c r="W64" s="3">
        <v>0</v>
      </c>
      <c r="X64" s="3">
        <v>0</v>
      </c>
      <c r="Y64" s="3">
        <v>0</v>
      </c>
      <c r="Z64" s="3">
        <v>0</v>
      </c>
      <c r="AA64" s="3">
        <v>0</v>
      </c>
      <c r="AB64" s="3">
        <v>27</v>
      </c>
      <c r="AC64" s="3">
        <v>24</v>
      </c>
      <c r="AD64" s="3">
        <v>21</v>
      </c>
      <c r="AE64" s="3">
        <v>21</v>
      </c>
      <c r="AF64" s="3">
        <v>11</v>
      </c>
      <c r="AG64" s="3">
        <v>3</v>
      </c>
      <c r="AH64" s="3">
        <v>11</v>
      </c>
      <c r="AI64" s="3">
        <v>8</v>
      </c>
      <c r="AJ64" s="3">
        <v>4</v>
      </c>
      <c r="AK64" s="3">
        <v>115</v>
      </c>
      <c r="AL64" s="24">
        <v>10</v>
      </c>
      <c r="AM64" s="24">
        <v>10</v>
      </c>
      <c r="AN64" s="24">
        <v>10</v>
      </c>
      <c r="AO64" s="24">
        <v>10</v>
      </c>
      <c r="AP64" s="24">
        <v>10</v>
      </c>
      <c r="AQ64" s="3">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hidden="1" customWidth="1"/>
    <col min="2" max="2" width="11" hidden="1" customWidth="1"/>
    <col min="3" max="3" width="10.5703125" hidden="1"/>
    <col min="4" max="4" width="12.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7" width="3.7109375" hidden="1" customWidth="1"/>
    <col min="18" max="18" width="3" customWidth="1"/>
    <col min="19" max="19" width="12" customWidth="1"/>
    <col min="20" max="20" width="31" customWidth="1"/>
    <col min="21" max="21" width="0.140625" customWidth="1"/>
    <col min="22" max="25" width="21.7109375" hidden="1" customWidth="1"/>
    <col min="26" max="26" width="11.7109375" hidden="1" customWidth="1"/>
    <col min="27" max="27" width="3.7109375" hidden="1" customWidth="1"/>
    <col min="28" max="28" width="11.7109375" hidden="1" customWidth="1"/>
    <col min="29" max="29" width="8.5703125" hidden="1" customWidth="1"/>
    <col min="30" max="30" width="3.7109375" customWidth="1"/>
    <col min="31" max="32" width="3" customWidth="1"/>
    <col min="33" max="33" width="24" customWidth="1"/>
    <col min="34" max="34" width="3.7109375" customWidth="1"/>
    <col min="35" max="36" width="3" customWidth="1"/>
    <col min="37" max="37" width="24" customWidth="1"/>
    <col min="38" max="38" width="3.7109375" customWidth="1"/>
    <col min="39" max="40" width="3" customWidth="1"/>
    <col min="41" max="41" width="18" customWidth="1"/>
    <col min="42" max="42" width="3.7109375" customWidth="1"/>
    <col min="43" max="44" width="3" customWidth="1"/>
    <col min="45" max="45" width="18" customWidth="1"/>
    <col min="46" max="49" width="21" customWidth="1"/>
    <col min="50" max="50" width="11" customWidth="1"/>
    <col min="51" max="51" width="3.7109375" customWidth="1"/>
    <col min="52" max="52" width="11" customWidth="1"/>
    <col min="53" max="53" width="8.5703125" hidden="1" customWidth="1"/>
    <col min="54" max="54" width="4" customWidth="1"/>
    <col min="55" max="55" width="115" customWidth="1"/>
    <col min="56" max="60" width="10" customWidth="1"/>
    <col min="61" max="61" width="10.5703125" hidden="1"/>
  </cols>
  <sheetData>
    <row r="1" spans="5:61" ht="22.5" hidden="1" customHeight="1">
      <c r="BI1" s="3" t="s">
        <v>1</v>
      </c>
    </row>
    <row r="2" spans="5:61" ht="21" hidden="1" customHeight="1">
      <c r="E2" s="1000">
        <v>1</v>
      </c>
      <c r="R2" s="225"/>
      <c r="S2" s="226" t="e">
        <f>INDEX(PT_DIFFERENTIATION_NUM_NTAR,MATCH(A2,PT_DIFFERENTIATION_NTAR_ID,0))</f>
        <v>#N/A</v>
      </c>
      <c r="T2" s="227" t="s">
        <v>48</v>
      </c>
      <c r="U2" s="228"/>
      <c r="V2" s="996"/>
      <c r="W2" s="996"/>
      <c r="X2" s="996"/>
      <c r="Y2" s="996"/>
      <c r="Z2" s="996"/>
      <c r="AA2" s="996"/>
      <c r="AB2" s="996"/>
      <c r="AC2" s="997"/>
      <c r="AD2" s="995" t="e">
        <f>INDEX(PT_DIFFERENTIATION_NTAR,MATCH(A2,PT_DIFFERENTIATION_NTAR_ID,0))</f>
        <v>#N/A</v>
      </c>
      <c r="AE2" s="996"/>
      <c r="AF2" s="996"/>
      <c r="AG2" s="996"/>
      <c r="AH2" s="996"/>
      <c r="AI2" s="996"/>
      <c r="AJ2" s="996"/>
      <c r="AK2" s="996"/>
      <c r="AL2" s="996"/>
      <c r="AM2" s="996"/>
      <c r="AN2" s="996"/>
      <c r="AO2" s="996"/>
      <c r="AP2" s="996"/>
      <c r="AQ2" s="996"/>
      <c r="AR2" s="996"/>
      <c r="AS2" s="996"/>
      <c r="AT2" s="996"/>
      <c r="AU2" s="996"/>
      <c r="AV2" s="996"/>
      <c r="AW2" s="996"/>
      <c r="AX2" s="996"/>
      <c r="AY2" s="996"/>
      <c r="AZ2" s="996"/>
      <c r="BA2" s="996"/>
      <c r="BB2" s="997"/>
      <c r="BC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F2" s="29" t="str">
        <f t="shared" ref="BF2:BF8" si="0">IF(T2="","",T2)</f>
        <v>Наименование тарифа</v>
      </c>
      <c r="BI2" s="3">
        <v>0</v>
      </c>
    </row>
    <row r="3" spans="5:61" ht="21" hidden="1" customHeight="1">
      <c r="E3" s="1001"/>
      <c r="F3" s="1000">
        <v>1</v>
      </c>
      <c r="Q3" s="328"/>
      <c r="R3" s="232"/>
      <c r="S3" s="226" t="e">
        <f>INDEX(PT_DIFFERENTIATION_NUM_TER,MATCH(B3,PT_DIFFERENTIATION_TER_ID,0))</f>
        <v>#N/A</v>
      </c>
      <c r="T3" s="233" t="s">
        <v>320</v>
      </c>
      <c r="U3" s="228"/>
      <c r="V3" s="996"/>
      <c r="W3" s="996"/>
      <c r="X3" s="996"/>
      <c r="Y3" s="996"/>
      <c r="Z3" s="996"/>
      <c r="AA3" s="996"/>
      <c r="AB3" s="996"/>
      <c r="AC3" s="997"/>
      <c r="AD3" s="995" t="e">
        <f>INDEX(PT_DIFFERENTIATION_TER,MATCH(B3,PT_DIFFERENTIATION_TER_ID,0))</f>
        <v>#N/A</v>
      </c>
      <c r="AE3" s="996"/>
      <c r="AF3" s="996"/>
      <c r="AG3" s="996"/>
      <c r="AH3" s="996"/>
      <c r="AI3" s="996"/>
      <c r="AJ3" s="996"/>
      <c r="AK3" s="996"/>
      <c r="AL3" s="996"/>
      <c r="AM3" s="996"/>
      <c r="AN3" s="996"/>
      <c r="AO3" s="996"/>
      <c r="AP3" s="996"/>
      <c r="AQ3" s="996"/>
      <c r="AR3" s="996"/>
      <c r="AS3" s="996"/>
      <c r="AT3" s="996"/>
      <c r="AU3" s="996"/>
      <c r="AV3" s="996"/>
      <c r="AW3" s="996"/>
      <c r="AX3" s="996"/>
      <c r="AY3" s="996"/>
      <c r="AZ3" s="996"/>
      <c r="BA3" s="996"/>
      <c r="BB3" s="997"/>
      <c r="BC3" s="230" t="s">
        <v>321</v>
      </c>
      <c r="BF3" s="29" t="str">
        <f t="shared" si="0"/>
        <v>Территория действия тарифа</v>
      </c>
      <c r="BI3" s="3">
        <v>0</v>
      </c>
    </row>
    <row r="4" spans="5:61" ht="42" hidden="1" customHeight="1">
      <c r="E4" s="1001"/>
      <c r="F4" s="1001"/>
      <c r="G4" s="1000">
        <v>1</v>
      </c>
      <c r="Q4" s="328"/>
      <c r="R4" s="232"/>
      <c r="S4" s="226" t="e">
        <f>INDEX(PT_DIFFERENTIATION_NUM_CS,MATCH(C4,PT_DIFFERENTIATION_CS_ID,0))</f>
        <v>#N/A</v>
      </c>
      <c r="T4" s="234" t="s">
        <v>404</v>
      </c>
      <c r="U4" s="228"/>
      <c r="V4" s="996"/>
      <c r="W4" s="996"/>
      <c r="X4" s="996"/>
      <c r="Y4" s="996"/>
      <c r="Z4" s="996"/>
      <c r="AA4" s="996"/>
      <c r="AB4" s="996"/>
      <c r="AC4" s="997"/>
      <c r="AD4" s="995" t="e">
        <f>INDEX(PT_DIFFERENTIATION_CS,MATCH(C4,PT_DIFFERENTIATION_CS_ID,0))</f>
        <v>#N/A</v>
      </c>
      <c r="AE4" s="996"/>
      <c r="AF4" s="996"/>
      <c r="AG4" s="996"/>
      <c r="AH4" s="996"/>
      <c r="AI4" s="996"/>
      <c r="AJ4" s="996"/>
      <c r="AK4" s="996"/>
      <c r="AL4" s="996"/>
      <c r="AM4" s="996"/>
      <c r="AN4" s="996"/>
      <c r="AO4" s="996"/>
      <c r="AP4" s="996"/>
      <c r="AQ4" s="996"/>
      <c r="AR4" s="996"/>
      <c r="AS4" s="996"/>
      <c r="AT4" s="996"/>
      <c r="AU4" s="996"/>
      <c r="AV4" s="996"/>
      <c r="AW4" s="996"/>
      <c r="AX4" s="996"/>
      <c r="AY4" s="996"/>
      <c r="AZ4" s="996"/>
      <c r="BA4" s="996"/>
      <c r="BB4" s="997"/>
      <c r="BC4" s="230" t="s">
        <v>405</v>
      </c>
      <c r="BF4" s="29" t="str">
        <f t="shared" si="0"/>
        <v>Наименование централизованной системы холодного водоснабжения</v>
      </c>
      <c r="BI4" s="3">
        <v>0</v>
      </c>
    </row>
    <row r="5" spans="5:61" ht="14.25" hidden="1" customHeight="1">
      <c r="E5" s="1001"/>
      <c r="F5" s="1001"/>
      <c r="G5" s="1001"/>
      <c r="H5" s="1000">
        <v>1</v>
      </c>
      <c r="Q5" s="366"/>
      <c r="R5" s="240"/>
      <c r="S5" s="124"/>
      <c r="T5" s="367"/>
      <c r="U5" s="295"/>
      <c r="V5" s="1032"/>
      <c r="W5" s="1032"/>
      <c r="X5" s="1032"/>
      <c r="Y5" s="1032"/>
      <c r="Z5" s="1032"/>
      <c r="AA5" s="1032"/>
      <c r="AB5" s="1032"/>
      <c r="AC5" s="1033"/>
      <c r="AD5" s="1031"/>
      <c r="AE5" s="1032"/>
      <c r="AF5" s="1032"/>
      <c r="AG5" s="1032"/>
      <c r="AH5" s="1032"/>
      <c r="AI5" s="1032"/>
      <c r="AJ5" s="1032"/>
      <c r="AK5" s="1032"/>
      <c r="AL5" s="1032"/>
      <c r="AM5" s="1032"/>
      <c r="AN5" s="1032"/>
      <c r="AO5" s="1032"/>
      <c r="AP5" s="1032"/>
      <c r="AQ5" s="1032"/>
      <c r="AR5" s="1032"/>
      <c r="AS5" s="1032"/>
      <c r="AT5" s="1032"/>
      <c r="AU5" s="1032"/>
      <c r="AV5" s="1032"/>
      <c r="AW5" s="1032"/>
      <c r="AX5" s="1032"/>
      <c r="AY5" s="1032"/>
      <c r="AZ5" s="1032"/>
      <c r="BA5" s="1032"/>
      <c r="BB5" s="1033"/>
      <c r="BC5" s="297" t="s">
        <v>325</v>
      </c>
      <c r="BF5" s="29" t="str">
        <f t="shared" si="0"/>
        <v/>
      </c>
      <c r="BI5" s="24">
        <v>0</v>
      </c>
    </row>
    <row r="6" spans="5:61" ht="14.25" hidden="1" customHeight="1">
      <c r="E6" s="1001"/>
      <c r="F6" s="1001"/>
      <c r="G6" s="1001"/>
      <c r="H6" s="1001"/>
      <c r="I6" s="1002" t="str">
        <f>S5&amp;".1"</f>
        <v>.1</v>
      </c>
      <c r="L6" s="302" t="s">
        <v>326</v>
      </c>
      <c r="P6" s="1004">
        <v>1</v>
      </c>
      <c r="R6" s="238"/>
      <c r="S6" s="124"/>
      <c r="T6" s="294"/>
      <c r="U6" s="295"/>
      <c r="V6" s="1032"/>
      <c r="W6" s="1032"/>
      <c r="X6" s="1032"/>
      <c r="Y6" s="1032"/>
      <c r="Z6" s="1032"/>
      <c r="AA6" s="1032"/>
      <c r="AB6" s="1032"/>
      <c r="AC6" s="1033"/>
      <c r="AD6" s="1031"/>
      <c r="AE6" s="1032"/>
      <c r="AF6" s="1032"/>
      <c r="AG6" s="1032"/>
      <c r="AH6" s="1032"/>
      <c r="AI6" s="1032"/>
      <c r="AJ6" s="1032"/>
      <c r="AK6" s="1032"/>
      <c r="AL6" s="1032"/>
      <c r="AM6" s="1032"/>
      <c r="AN6" s="1032"/>
      <c r="AO6" s="1032"/>
      <c r="AP6" s="1032"/>
      <c r="AQ6" s="1032"/>
      <c r="AR6" s="1032"/>
      <c r="AS6" s="1032"/>
      <c r="AT6" s="1032"/>
      <c r="AU6" s="1032"/>
      <c r="AV6" s="1032"/>
      <c r="AW6" s="1032"/>
      <c r="AX6" s="1032"/>
      <c r="AY6" s="1032"/>
      <c r="AZ6" s="1032"/>
      <c r="BA6" s="1032"/>
      <c r="BB6" s="1033"/>
      <c r="BC6" s="297"/>
      <c r="BF6" s="29" t="str">
        <f t="shared" si="0"/>
        <v/>
      </c>
      <c r="BI6" s="24">
        <v>0</v>
      </c>
    </row>
    <row r="7" spans="5:61" ht="14.25" hidden="1" customHeight="1">
      <c r="E7" s="1001"/>
      <c r="F7" s="1001"/>
      <c r="G7" s="1001"/>
      <c r="H7" s="1001"/>
      <c r="I7" s="1003"/>
      <c r="J7" s="1002" t="str">
        <f>S5&amp;".1"</f>
        <v>.1</v>
      </c>
      <c r="P7" s="885"/>
      <c r="Q7" s="1004">
        <v>1</v>
      </c>
      <c r="R7" s="240"/>
      <c r="S7" s="124"/>
      <c r="T7" s="329"/>
      <c r="U7" s="295"/>
      <c r="V7" s="1032"/>
      <c r="W7" s="1032"/>
      <c r="X7" s="1032"/>
      <c r="Y7" s="1032"/>
      <c r="Z7" s="1032"/>
      <c r="AA7" s="1032"/>
      <c r="AB7" s="1032"/>
      <c r="AC7" s="1033"/>
      <c r="AD7" s="1031"/>
      <c r="AE7" s="1032"/>
      <c r="AF7" s="1032"/>
      <c r="AG7" s="1032"/>
      <c r="AH7" s="1032"/>
      <c r="AI7" s="1032"/>
      <c r="AJ7" s="1032"/>
      <c r="AK7" s="1032"/>
      <c r="AL7" s="1032"/>
      <c r="AM7" s="1032"/>
      <c r="AN7" s="1032"/>
      <c r="AO7" s="1032"/>
      <c r="AP7" s="1032"/>
      <c r="AQ7" s="1032"/>
      <c r="AR7" s="1032"/>
      <c r="AS7" s="1032"/>
      <c r="AT7" s="1032"/>
      <c r="AU7" s="1032"/>
      <c r="AV7" s="1032"/>
      <c r="AW7" s="1032"/>
      <c r="AX7" s="1032"/>
      <c r="AY7" s="1032"/>
      <c r="AZ7" s="1032"/>
      <c r="BA7" s="1032"/>
      <c r="BB7" s="1033"/>
      <c r="BC7" s="297"/>
      <c r="BF7" s="29" t="str">
        <f t="shared" si="0"/>
        <v/>
      </c>
      <c r="BI7" s="24">
        <v>0</v>
      </c>
    </row>
    <row r="8" spans="5:61" ht="11.25" hidden="1" customHeight="1">
      <c r="E8" s="1001"/>
      <c r="F8" s="1001"/>
      <c r="G8" s="1001"/>
      <c r="H8" s="1001"/>
      <c r="I8" s="1003"/>
      <c r="J8" s="1003"/>
      <c r="K8" s="1002" t="e">
        <f>S4&amp;".1"</f>
        <v>#N/A</v>
      </c>
      <c r="P8" s="885"/>
      <c r="Q8" s="885"/>
      <c r="R8" s="1060">
        <v>1</v>
      </c>
      <c r="S8" s="1057" t="e">
        <f>$K8</f>
        <v>#N/A</v>
      </c>
      <c r="T8" s="1077"/>
      <c r="U8" s="228"/>
      <c r="V8" s="243"/>
      <c r="W8" s="245"/>
      <c r="X8" s="243"/>
      <c r="Y8" s="245"/>
      <c r="Z8" s="246"/>
      <c r="AA8" s="56" t="s">
        <v>17</v>
      </c>
      <c r="AB8" s="246"/>
      <c r="AC8" s="56" t="s">
        <v>17</v>
      </c>
      <c r="AD8" s="948" t="s">
        <v>17</v>
      </c>
      <c r="AE8" s="1053"/>
      <c r="AF8" s="958">
        <v>1</v>
      </c>
      <c r="AG8" s="1076"/>
      <c r="AH8" s="895" t="s">
        <v>17</v>
      </c>
      <c r="AI8" s="1053"/>
      <c r="AJ8" s="958">
        <v>1</v>
      </c>
      <c r="AK8" s="1067" t="s">
        <v>4</v>
      </c>
      <c r="AL8" s="895" t="s">
        <v>17</v>
      </c>
      <c r="AM8" s="936"/>
      <c r="AN8" s="958">
        <v>1</v>
      </c>
      <c r="AO8" s="1080"/>
      <c r="AP8" s="1081" t="s">
        <v>17</v>
      </c>
      <c r="AQ8" s="332"/>
      <c r="AR8" s="118">
        <v>1</v>
      </c>
      <c r="AS8" s="15" t="s">
        <v>4</v>
      </c>
      <c r="AT8" s="243"/>
      <c r="AU8" s="245"/>
      <c r="AV8" s="243"/>
      <c r="AW8" s="245"/>
      <c r="AX8" s="246"/>
      <c r="AY8" s="56" t="s">
        <v>17</v>
      </c>
      <c r="AZ8" s="246"/>
      <c r="BA8" s="56" t="s">
        <v>17</v>
      </c>
      <c r="BB8" s="285"/>
      <c r="BC8" s="1023" t="s">
        <v>424</v>
      </c>
      <c r="BF8" s="29" t="str">
        <f t="shared" si="0"/>
        <v/>
      </c>
      <c r="BI8" s="3">
        <v>0</v>
      </c>
    </row>
    <row r="9" spans="5:61" ht="11.25" hidden="1" customHeight="1">
      <c r="E9" s="1001"/>
      <c r="F9" s="1001"/>
      <c r="G9" s="1001"/>
      <c r="H9" s="1001"/>
      <c r="I9" s="1003"/>
      <c r="J9" s="1003"/>
      <c r="K9" s="1002"/>
      <c r="P9" s="885"/>
      <c r="Q9" s="885"/>
      <c r="R9" s="1060"/>
      <c r="S9" s="1058"/>
      <c r="T9" s="1078"/>
      <c r="U9" s="228"/>
      <c r="V9" s="322"/>
      <c r="W9" s="335"/>
      <c r="X9" s="322"/>
      <c r="Y9" s="335"/>
      <c r="Z9" s="322"/>
      <c r="AA9" s="322"/>
      <c r="AB9" s="322"/>
      <c r="AC9" s="322"/>
      <c r="AD9" s="949"/>
      <c r="AE9" s="1053"/>
      <c r="AF9" s="958"/>
      <c r="AG9" s="1076"/>
      <c r="AH9" s="895"/>
      <c r="AI9" s="1053"/>
      <c r="AJ9" s="958"/>
      <c r="AK9" s="1067"/>
      <c r="AL9" s="895"/>
      <c r="AM9" s="941"/>
      <c r="AN9" s="958"/>
      <c r="AO9" s="1080"/>
      <c r="AP9" s="1082"/>
      <c r="AQ9" s="334"/>
      <c r="AR9" s="45"/>
      <c r="AS9" s="45" t="s">
        <v>425</v>
      </c>
      <c r="AT9" s="322"/>
      <c r="AU9" s="335"/>
      <c r="AV9" s="322"/>
      <c r="AW9" s="335"/>
      <c r="AX9" s="322"/>
      <c r="AY9" s="322"/>
      <c r="AZ9" s="322"/>
      <c r="BA9" s="322"/>
      <c r="BB9" s="333"/>
      <c r="BC9" s="1024"/>
      <c r="BI9" s="3">
        <v>0</v>
      </c>
    </row>
    <row r="10" spans="5:61" ht="11.25" hidden="1" customHeight="1">
      <c r="E10" s="1001"/>
      <c r="F10" s="1001"/>
      <c r="G10" s="1001"/>
      <c r="H10" s="1001"/>
      <c r="I10" s="1003"/>
      <c r="J10" s="1003"/>
      <c r="K10" s="1002"/>
      <c r="P10" s="885"/>
      <c r="Q10" s="885"/>
      <c r="R10" s="1060"/>
      <c r="S10" s="1058"/>
      <c r="T10" s="1078"/>
      <c r="U10" s="228"/>
      <c r="V10" s="322"/>
      <c r="W10" s="335"/>
      <c r="X10" s="322"/>
      <c r="Y10" s="335"/>
      <c r="Z10" s="322"/>
      <c r="AA10" s="322"/>
      <c r="AB10" s="322"/>
      <c r="AC10" s="322"/>
      <c r="AD10" s="949"/>
      <c r="AE10" s="1053"/>
      <c r="AF10" s="958"/>
      <c r="AG10" s="1076"/>
      <c r="AH10" s="895"/>
      <c r="AI10" s="1053"/>
      <c r="AJ10" s="958"/>
      <c r="AK10" s="1067"/>
      <c r="AL10" s="895"/>
      <c r="AM10" s="334"/>
      <c r="AN10" s="368"/>
      <c r="AO10" s="368" t="s">
        <v>426</v>
      </c>
      <c r="AP10" s="45"/>
      <c r="AQ10" s="45"/>
      <c r="AR10" s="45"/>
      <c r="AS10" s="322"/>
      <c r="AT10" s="322"/>
      <c r="AU10" s="335"/>
      <c r="AV10" s="322"/>
      <c r="AW10" s="335"/>
      <c r="AX10" s="322"/>
      <c r="AY10" s="322"/>
      <c r="AZ10" s="322"/>
      <c r="BA10" s="322"/>
      <c r="BB10" s="333"/>
      <c r="BC10" s="1024"/>
      <c r="BI10" s="3">
        <v>0</v>
      </c>
    </row>
    <row r="11" spans="5:61" ht="11.25" hidden="1" customHeight="1">
      <c r="E11" s="1001"/>
      <c r="F11" s="1001"/>
      <c r="G11" s="1001"/>
      <c r="H11" s="1001"/>
      <c r="I11" s="1003"/>
      <c r="J11" s="1003"/>
      <c r="K11" s="1002"/>
      <c r="P11" s="885"/>
      <c r="Q11" s="885"/>
      <c r="R11" s="1060"/>
      <c r="S11" s="1058"/>
      <c r="T11" s="1078"/>
      <c r="U11" s="228"/>
      <c r="V11" s="322"/>
      <c r="W11" s="335"/>
      <c r="X11" s="322"/>
      <c r="Y11" s="335"/>
      <c r="Z11" s="322"/>
      <c r="AA11" s="322"/>
      <c r="AB11" s="322"/>
      <c r="AC11" s="322"/>
      <c r="AD11" s="949"/>
      <c r="AE11" s="1053"/>
      <c r="AF11" s="958"/>
      <c r="AG11" s="1076"/>
      <c r="AH11" s="895"/>
      <c r="AI11" s="337"/>
      <c r="AJ11" s="42"/>
      <c r="AK11" s="200" t="s">
        <v>427</v>
      </c>
      <c r="AL11" s="322"/>
      <c r="AM11" s="322"/>
      <c r="AN11" s="322"/>
      <c r="AO11" s="322"/>
      <c r="AP11" s="322"/>
      <c r="AQ11" s="322"/>
      <c r="AR11" s="322"/>
      <c r="AS11" s="322"/>
      <c r="AT11" s="322"/>
      <c r="AU11" s="335"/>
      <c r="AV11" s="322"/>
      <c r="AW11" s="335"/>
      <c r="AX11" s="322"/>
      <c r="AY11" s="322"/>
      <c r="AZ11" s="322"/>
      <c r="BA11" s="322"/>
      <c r="BB11" s="333"/>
      <c r="BC11" s="1024"/>
      <c r="BI11" s="3">
        <v>0</v>
      </c>
    </row>
    <row r="12" spans="5:61" ht="11.25" hidden="1" customHeight="1">
      <c r="E12" s="1001"/>
      <c r="F12" s="1001"/>
      <c r="G12" s="1001"/>
      <c r="H12" s="1001"/>
      <c r="I12" s="1003"/>
      <c r="J12" s="1003"/>
      <c r="K12" s="1002"/>
      <c r="P12" s="885"/>
      <c r="Q12" s="885"/>
      <c r="R12" s="1060"/>
      <c r="S12" s="1059"/>
      <c r="T12" s="1079"/>
      <c r="U12" s="228"/>
      <c r="V12" s="322"/>
      <c r="W12" s="323" t="str">
        <f>Z8&amp;"-"&amp;AB8</f>
        <v>-</v>
      </c>
      <c r="X12" s="322"/>
      <c r="Y12" s="323" t="str">
        <f>AB8&amp;"-"&amp;AD8</f>
        <v>-да</v>
      </c>
      <c r="Z12" s="322"/>
      <c r="AA12" s="322"/>
      <c r="AB12" s="322"/>
      <c r="AC12" s="322"/>
      <c r="AD12" s="900"/>
      <c r="AE12" s="339"/>
      <c r="AF12" s="340"/>
      <c r="AG12" s="45" t="s">
        <v>428</v>
      </c>
      <c r="AH12" s="322"/>
      <c r="AI12" s="322"/>
      <c r="AJ12" s="322"/>
      <c r="AK12" s="322"/>
      <c r="AL12" s="322"/>
      <c r="AM12" s="322"/>
      <c r="AN12" s="322"/>
      <c r="AO12" s="322"/>
      <c r="AP12" s="322"/>
      <c r="AQ12" s="322"/>
      <c r="AR12" s="322"/>
      <c r="AS12" s="322"/>
      <c r="AT12" s="322"/>
      <c r="AU12" s="323" t="str">
        <f>AX8&amp;"-"&amp;AZ8</f>
        <v>-</v>
      </c>
      <c r="AV12" s="322"/>
      <c r="AW12" s="323" t="str">
        <f>AZ8&amp;"-"&amp;BB8</f>
        <v>-</v>
      </c>
      <c r="AX12" s="322"/>
      <c r="AY12" s="322"/>
      <c r="AZ12" s="322"/>
      <c r="BA12" s="322"/>
      <c r="BB12" s="338" t="str">
        <f>BE8&amp;"-"&amp;BG8</f>
        <v>-</v>
      </c>
      <c r="BC12" s="1024"/>
      <c r="BF12" s="29" t="str">
        <f t="shared" ref="BF12:BF18" si="1">IF(T12="","",T12)</f>
        <v/>
      </c>
      <c r="BI12" s="3">
        <v>0</v>
      </c>
    </row>
    <row r="13" spans="5:61" ht="11.25" hidden="1" customHeight="1">
      <c r="E13" s="1001"/>
      <c r="F13" s="1001"/>
      <c r="G13" s="1001"/>
      <c r="H13" s="1001"/>
      <c r="I13" s="1003"/>
      <c r="J13" s="1002"/>
      <c r="P13" s="885"/>
      <c r="Q13" s="885"/>
      <c r="R13" s="238"/>
      <c r="S13" s="249"/>
      <c r="T13" s="252" t="s">
        <v>391</v>
      </c>
      <c r="U13" s="54"/>
      <c r="V13" s="54"/>
      <c r="W13" s="54"/>
      <c r="X13" s="54"/>
      <c r="Y13" s="54"/>
      <c r="Z13" s="54"/>
      <c r="AA13" s="54"/>
      <c r="AB13" s="54"/>
      <c r="AC13" s="54"/>
      <c r="AD13" s="353"/>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251"/>
      <c r="BC13" s="1025"/>
      <c r="BF13" s="29" t="str">
        <f t="shared" si="1"/>
        <v>Добавить строку</v>
      </c>
      <c r="BI13" s="3">
        <v>0</v>
      </c>
    </row>
    <row r="14" spans="5:61" ht="14.25" hidden="1" customHeight="1">
      <c r="E14" s="1001"/>
      <c r="F14" s="1001"/>
      <c r="G14" s="1001"/>
      <c r="H14" s="1001"/>
      <c r="I14" s="1002"/>
      <c r="P14" s="885"/>
      <c r="R14" s="238"/>
      <c r="S14" s="298"/>
      <c r="T14" s="299"/>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1"/>
      <c r="BF14" s="29" t="str">
        <f t="shared" si="1"/>
        <v/>
      </c>
      <c r="BI14" s="24">
        <v>0</v>
      </c>
    </row>
    <row r="15" spans="5:61" ht="14.25" hidden="1" customHeight="1">
      <c r="E15" s="1001"/>
      <c r="F15" s="1001"/>
      <c r="G15" s="1001"/>
      <c r="H15" s="1000"/>
      <c r="R15" s="341"/>
      <c r="S15" s="298"/>
      <c r="T15" s="299"/>
      <c r="U15" s="300"/>
      <c r="V15" s="300"/>
      <c r="W15" s="300"/>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1"/>
      <c r="BF15" s="29" t="str">
        <f t="shared" si="1"/>
        <v/>
      </c>
      <c r="BI15" s="24">
        <v>0</v>
      </c>
    </row>
    <row r="16" spans="5:61" ht="14.25" hidden="1" customHeight="1">
      <c r="E16" s="1001"/>
      <c r="F16" s="1001"/>
      <c r="G16" s="1000"/>
      <c r="BF16" s="29" t="str">
        <f t="shared" si="1"/>
        <v/>
      </c>
      <c r="BI16" s="24">
        <v>0</v>
      </c>
    </row>
    <row r="17" spans="5:61" ht="14.25" hidden="1" customHeight="1">
      <c r="E17" s="1001"/>
      <c r="F17" s="1000"/>
      <c r="T17" s="260" t="s">
        <v>338</v>
      </c>
      <c r="BF17" s="29" t="str">
        <f t="shared" si="1"/>
        <v>Добавить централизованную систему для дифференциации</v>
      </c>
      <c r="BI17" s="24">
        <v>0</v>
      </c>
    </row>
    <row r="18" spans="5:61" ht="14.25" hidden="1" customHeight="1">
      <c r="E18" s="1000"/>
      <c r="T18" s="260" t="s">
        <v>339</v>
      </c>
      <c r="BF18" s="29" t="str">
        <f t="shared" si="1"/>
        <v>Добавить территорию для дифференциации</v>
      </c>
      <c r="BI18" s="24">
        <v>0</v>
      </c>
    </row>
    <row r="19" spans="5:61" ht="14.25" hidden="1" customHeight="1">
      <c r="BI19" s="3">
        <v>0</v>
      </c>
    </row>
    <row r="20" spans="5:61" ht="14.25" hidden="1" customHeight="1">
      <c r="AD20" s="342" t="s">
        <v>3</v>
      </c>
      <c r="AF20" s="342">
        <v>1</v>
      </c>
      <c r="AH20" s="342" t="s">
        <v>3</v>
      </c>
      <c r="AJ20" s="342">
        <v>1</v>
      </c>
      <c r="AL20" s="342" t="s">
        <v>3</v>
      </c>
      <c r="AN20" s="342">
        <v>1</v>
      </c>
      <c r="AP20" s="342" t="s">
        <v>3</v>
      </c>
      <c r="AR20" s="342">
        <v>1</v>
      </c>
      <c r="AT20" s="244"/>
      <c r="AU20" s="292"/>
      <c r="AV20" s="244"/>
      <c r="AW20" s="292"/>
      <c r="AX20" s="346"/>
      <c r="AY20" s="347" t="s">
        <v>17</v>
      </c>
      <c r="AZ20" s="346"/>
      <c r="BA20" s="347" t="s">
        <v>17</v>
      </c>
      <c r="BI20" s="3">
        <v>0</v>
      </c>
    </row>
    <row r="21" spans="5:61" ht="14.25" hidden="1" customHeight="1">
      <c r="BI21" s="3">
        <v>0</v>
      </c>
    </row>
    <row r="22" spans="5:61" ht="14.25" hidden="1" customHeight="1">
      <c r="O22" s="263" t="s">
        <v>340</v>
      </c>
      <c r="Z22" s="290"/>
      <c r="AB22" s="290"/>
      <c r="AX22" s="290"/>
      <c r="AZ22" s="290"/>
      <c r="BI22" s="3">
        <v>0</v>
      </c>
    </row>
    <row r="23" spans="5:61" ht="14.25" hidden="1" customHeight="1">
      <c r="BI23" s="3">
        <v>0</v>
      </c>
    </row>
    <row r="24" spans="5:61" ht="14.25" hidden="1" customHeight="1">
      <c r="O24" s="348" t="s">
        <v>341</v>
      </c>
      <c r="AA24" s="348" t="s">
        <v>343</v>
      </c>
      <c r="AC24" s="348" t="s">
        <v>344</v>
      </c>
      <c r="AD24" s="348" t="s">
        <v>392</v>
      </c>
      <c r="AH24" s="348" t="s">
        <v>392</v>
      </c>
      <c r="AK24" s="348" t="s">
        <v>429</v>
      </c>
      <c r="AL24" s="348" t="s">
        <v>392</v>
      </c>
      <c r="AP24" s="348" t="s">
        <v>392</v>
      </c>
      <c r="AY24" s="348" t="s">
        <v>343</v>
      </c>
      <c r="BA24" s="348" t="s">
        <v>344</v>
      </c>
      <c r="BI24" s="348">
        <v>0</v>
      </c>
    </row>
    <row r="25" spans="5:61" ht="14.25" hidden="1" customHeight="1">
      <c r="BI25" s="3">
        <v>0</v>
      </c>
    </row>
    <row r="26" spans="5:61" ht="14.25" hidden="1" customHeight="1">
      <c r="BI26" s="3">
        <v>0</v>
      </c>
    </row>
    <row r="27" spans="5:61" ht="14.65" customHeight="1">
      <c r="Q27" s="349"/>
      <c r="R27" s="264"/>
      <c r="S27" s="265"/>
      <c r="T27" s="12"/>
      <c r="U27" s="12"/>
      <c r="BI27" s="3">
        <v>14</v>
      </c>
    </row>
    <row r="28" spans="5:61" ht="14.65" customHeight="1">
      <c r="Q28" s="349"/>
      <c r="R28" s="264"/>
      <c r="S28" s="98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982"/>
      <c r="U28" s="982"/>
      <c r="V28" s="982"/>
      <c r="W28" s="982"/>
      <c r="X28" s="982"/>
      <c r="Y28" s="982"/>
      <c r="Z28" s="982"/>
      <c r="AA28" s="982"/>
      <c r="AB28" s="982"/>
      <c r="AC28" s="982"/>
      <c r="AD28" s="982"/>
      <c r="AE28" s="982"/>
      <c r="AF28" s="982"/>
      <c r="AG28" s="982"/>
      <c r="AH28" s="982"/>
      <c r="AI28" s="982"/>
      <c r="AJ28" s="982"/>
      <c r="AK28" s="982"/>
      <c r="AL28" s="982"/>
      <c r="AM28" s="982"/>
      <c r="AN28" s="982"/>
      <c r="AO28" s="982"/>
      <c r="AP28" s="982"/>
      <c r="AQ28" s="982"/>
      <c r="AR28" s="982"/>
      <c r="AS28" s="982"/>
      <c r="AT28" s="982"/>
      <c r="AU28" s="982"/>
      <c r="AV28" s="982"/>
      <c r="AW28" s="982"/>
      <c r="AX28" s="982"/>
      <c r="AY28" s="982"/>
      <c r="AZ28" s="982"/>
      <c r="BI28" s="3">
        <v>14</v>
      </c>
    </row>
    <row r="29" spans="5:61" ht="14.65" customHeight="1">
      <c r="Q29" s="349"/>
      <c r="R29" s="264"/>
      <c r="S29" s="955" t="e">
        <f>IF(org=0,"Не определено",org)</f>
        <v>#REF!</v>
      </c>
      <c r="T29" s="955"/>
      <c r="U29" s="955"/>
      <c r="V29" s="955"/>
      <c r="W29" s="955"/>
      <c r="X29" s="955"/>
      <c r="Y29" s="955"/>
      <c r="Z29" s="955"/>
      <c r="AA29" s="955"/>
      <c r="AB29" s="955"/>
      <c r="AC29" s="955"/>
      <c r="AD29" s="955"/>
      <c r="AE29" s="955"/>
      <c r="AF29" s="955"/>
      <c r="AG29" s="955"/>
      <c r="AH29" s="955"/>
      <c r="AI29" s="955"/>
      <c r="AJ29" s="955"/>
      <c r="AK29" s="955"/>
      <c r="AL29" s="955"/>
      <c r="AM29" s="955"/>
      <c r="AN29" s="955"/>
      <c r="AO29" s="955"/>
      <c r="AP29" s="955"/>
      <c r="AQ29" s="955"/>
      <c r="AR29" s="955"/>
      <c r="AS29" s="955"/>
      <c r="AT29" s="955"/>
      <c r="AU29" s="955"/>
      <c r="AV29" s="955"/>
      <c r="AW29" s="955"/>
      <c r="AX29" s="955"/>
      <c r="AY29" s="955"/>
      <c r="AZ29" s="955"/>
      <c r="BI29" s="3">
        <v>14</v>
      </c>
    </row>
    <row r="30" spans="5:61" ht="14.25" hidden="1" customHeight="1">
      <c r="Q30" s="349"/>
      <c r="R30" s="264"/>
      <c r="S30" s="265"/>
      <c r="T30" s="12"/>
      <c r="U30" s="12"/>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I30" s="3">
        <v>0</v>
      </c>
    </row>
    <row r="31" spans="5:61" ht="25.5" hidden="1" customHeight="1">
      <c r="S31" s="992" t="s">
        <v>9</v>
      </c>
      <c r="T31" s="992"/>
      <c r="U31" s="268"/>
      <c r="V31" s="994" t="e">
        <f>IF(TITLE_NAME_OR_PR_CHANGE="",IF(TITLE_NAME_OR_PR="","",TITLE_NAME_OR_PR),TITLE_NAME_OR_PR_CHANGE)</f>
        <v>#REF!</v>
      </c>
      <c r="W31" s="994"/>
      <c r="X31" s="994"/>
      <c r="Y31" s="994"/>
      <c r="Z31" s="994"/>
      <c r="AA31" s="994"/>
      <c r="AB31" s="994"/>
      <c r="AD31" s="994" t="e">
        <f>IF(TITLE_NAME_OR_PR_CHANGE="",IF(TITLE_NAME_OR_PR="","",TITLE_NAME_OR_PR),TITLE_NAME_OR_PR_CHANGE)</f>
        <v>#REF!</v>
      </c>
      <c r="AE31" s="994"/>
      <c r="AF31" s="994"/>
      <c r="AG31" s="994"/>
      <c r="AH31" s="994"/>
      <c r="AI31" s="994"/>
      <c r="AJ31" s="994"/>
      <c r="AK31" s="994"/>
      <c r="AL31" s="994"/>
      <c r="AM31" s="994"/>
      <c r="AN31" s="994"/>
      <c r="AO31" s="994"/>
      <c r="AP31" s="994"/>
      <c r="AQ31" s="994"/>
      <c r="AR31" s="994"/>
      <c r="AS31" s="994"/>
      <c r="AT31" s="994"/>
      <c r="AU31" s="994"/>
      <c r="AV31" s="994"/>
      <c r="AW31" s="994"/>
      <c r="AX31" s="994"/>
      <c r="AY31" s="994"/>
      <c r="AZ31" s="994"/>
      <c r="BI31" s="50">
        <v>0</v>
      </c>
    </row>
    <row r="32" spans="5:61" ht="18.75" hidden="1" customHeight="1">
      <c r="S32" s="992" t="s">
        <v>346</v>
      </c>
      <c r="T32" s="992"/>
      <c r="U32" s="268"/>
      <c r="V32" s="993" t="e">
        <f>IF(TITLE_DATE_PR_CHANGE="",IF(TITLE_DATE_PR="","",TITLE_DATE_PR),TITLE_DATE_PR_CHANGE)</f>
        <v>#REF!</v>
      </c>
      <c r="W32" s="993"/>
      <c r="X32" s="993"/>
      <c r="Y32" s="993"/>
      <c r="Z32" s="993"/>
      <c r="AA32" s="993"/>
      <c r="AB32" s="993"/>
      <c r="AD32" s="993" t="e">
        <f>IF(TITLE_DATE_PR_CHANGE="",IF(TITLE_DATE_PR="","",TITLE_DATE_PR),TITLE_DATE_PR_CHANGE)</f>
        <v>#REF!</v>
      </c>
      <c r="AE32" s="993"/>
      <c r="AF32" s="993"/>
      <c r="AG32" s="993"/>
      <c r="AH32" s="993"/>
      <c r="AI32" s="993"/>
      <c r="AJ32" s="993"/>
      <c r="AK32" s="993"/>
      <c r="AL32" s="993"/>
      <c r="AM32" s="993"/>
      <c r="AN32" s="993"/>
      <c r="AO32" s="993"/>
      <c r="AP32" s="993"/>
      <c r="AQ32" s="993"/>
      <c r="AR32" s="993"/>
      <c r="AS32" s="993"/>
      <c r="AT32" s="993"/>
      <c r="AU32" s="993"/>
      <c r="AV32" s="993"/>
      <c r="AW32" s="993"/>
      <c r="AX32" s="993"/>
      <c r="AY32" s="993"/>
      <c r="AZ32" s="993"/>
      <c r="BI32" s="50">
        <v>0</v>
      </c>
    </row>
    <row r="33" spans="1:61" ht="18.75" hidden="1" customHeight="1">
      <c r="S33" s="992" t="s">
        <v>347</v>
      </c>
      <c r="T33" s="992"/>
      <c r="U33" s="268"/>
      <c r="V33" s="994" t="e">
        <f>IF(TITLE_NUMBER_PR_CHANGE="",IF(TITLE_NUMBER_PR="","",TITLE_NUMBER_PR),TITLE_NUMBER_PR_CHANGE)</f>
        <v>#REF!</v>
      </c>
      <c r="W33" s="994"/>
      <c r="X33" s="994"/>
      <c r="Y33" s="994"/>
      <c r="Z33" s="994"/>
      <c r="AA33" s="994"/>
      <c r="AB33" s="994"/>
      <c r="AD33" s="994" t="e">
        <f>IF(TITLE_NUMBER_PR_CHANGE="",IF(TITLE_NUMBER_PR="","",TITLE_NUMBER_PR),TITLE_NUMBER_PR_CHANGE)</f>
        <v>#REF!</v>
      </c>
      <c r="AE33" s="994"/>
      <c r="AF33" s="994"/>
      <c r="AG33" s="994"/>
      <c r="AH33" s="994"/>
      <c r="AI33" s="994"/>
      <c r="AJ33" s="994"/>
      <c r="AK33" s="994"/>
      <c r="AL33" s="994"/>
      <c r="AM33" s="994"/>
      <c r="AN33" s="994"/>
      <c r="AO33" s="994"/>
      <c r="AP33" s="994"/>
      <c r="AQ33" s="994"/>
      <c r="AR33" s="994"/>
      <c r="AS33" s="994"/>
      <c r="AT33" s="994"/>
      <c r="AU33" s="994"/>
      <c r="AV33" s="994"/>
      <c r="AW33" s="994"/>
      <c r="AX33" s="994"/>
      <c r="AY33" s="994"/>
      <c r="AZ33" s="994"/>
      <c r="BI33" s="50">
        <v>0</v>
      </c>
    </row>
    <row r="34" spans="1:61" ht="18.75" hidden="1" customHeight="1">
      <c r="S34" s="992" t="s">
        <v>10</v>
      </c>
      <c r="T34" s="992"/>
      <c r="U34" s="268"/>
      <c r="V34" s="994" t="e">
        <f>IF(TITLE_IST_PUB_CHANGE="",IF(TITLE_IST_PUB="","",TITLE_IST_PUB),TITLE_IST_PUB_CHANGE)</f>
        <v>#REF!</v>
      </c>
      <c r="W34" s="994"/>
      <c r="X34" s="994"/>
      <c r="Y34" s="994"/>
      <c r="Z34" s="994"/>
      <c r="AA34" s="994"/>
      <c r="AB34" s="994"/>
      <c r="AD34" s="994" t="e">
        <f>IF(TITLE_IST_PUB_CHANGE="",IF(TITLE_IST_PUB="","",TITLE_IST_PUB),TITLE_IST_PUB_CHANGE)</f>
        <v>#REF!</v>
      </c>
      <c r="AE34" s="994"/>
      <c r="AF34" s="994"/>
      <c r="AG34" s="994"/>
      <c r="AH34" s="994"/>
      <c r="AI34" s="994"/>
      <c r="AJ34" s="994"/>
      <c r="AK34" s="994"/>
      <c r="AL34" s="994"/>
      <c r="AM34" s="994"/>
      <c r="AN34" s="994"/>
      <c r="AO34" s="994"/>
      <c r="AP34" s="994"/>
      <c r="AQ34" s="994"/>
      <c r="AR34" s="994"/>
      <c r="AS34" s="994"/>
      <c r="AT34" s="994"/>
      <c r="AU34" s="994"/>
      <c r="AV34" s="994"/>
      <c r="AW34" s="994"/>
      <c r="AX34" s="994"/>
      <c r="AY34" s="994"/>
      <c r="AZ34" s="994"/>
      <c r="BI34" s="50">
        <v>0</v>
      </c>
    </row>
    <row r="35" spans="1:61" ht="14.25" hidden="1" customHeight="1">
      <c r="Q35" s="349"/>
      <c r="R35" s="264"/>
      <c r="S35" s="265"/>
      <c r="T35" s="12"/>
      <c r="U35" s="12"/>
      <c r="V35" s="266"/>
      <c r="W35" s="266"/>
      <c r="X35" s="266"/>
      <c r="Y35" s="266"/>
      <c r="Z35" s="266"/>
      <c r="AA35" s="266"/>
      <c r="AB35" s="266"/>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I35" s="3">
        <v>0</v>
      </c>
    </row>
    <row r="36" spans="1:61" ht="18.75" hidden="1" customHeight="1">
      <c r="S36" s="992" t="s">
        <v>346</v>
      </c>
      <c r="T36" s="992"/>
      <c r="U36" s="268"/>
      <c r="V36" s="993" t="e">
        <f>IF(TITLE_DATE_PR_CHANGE="",IF(TITLE_DATE_PR="","",TITLE_DATE_PR),TITLE_DATE_PR_CHANGE)</f>
        <v>#REF!</v>
      </c>
      <c r="W36" s="993"/>
      <c r="X36" s="993"/>
      <c r="Y36" s="993"/>
      <c r="Z36" s="993"/>
      <c r="AA36" s="993"/>
      <c r="AB36" s="993"/>
      <c r="AD36" s="993" t="e">
        <f>IF(TITLE_DATE_PR_CHANGE="",IF(TITLE_DATE_PR="","",TITLE_DATE_PR),TITLE_DATE_PR_CHANGE)</f>
        <v>#REF!</v>
      </c>
      <c r="AE36" s="993"/>
      <c r="AF36" s="993"/>
      <c r="AG36" s="993"/>
      <c r="AH36" s="993"/>
      <c r="AI36" s="993"/>
      <c r="AJ36" s="993"/>
      <c r="AK36" s="993"/>
      <c r="AL36" s="993"/>
      <c r="AM36" s="993"/>
      <c r="AN36" s="993"/>
      <c r="AO36" s="993"/>
      <c r="AP36" s="993"/>
      <c r="AQ36" s="993"/>
      <c r="AR36" s="993"/>
      <c r="AS36" s="993"/>
      <c r="AT36" s="993"/>
      <c r="AU36" s="993"/>
      <c r="AV36" s="993"/>
      <c r="AW36" s="993"/>
      <c r="AX36" s="993"/>
      <c r="AY36" s="993"/>
      <c r="AZ36" s="993"/>
      <c r="BI36" s="50">
        <v>0</v>
      </c>
    </row>
    <row r="37" spans="1:61" ht="18.75" hidden="1" customHeight="1">
      <c r="S37" s="992" t="s">
        <v>347</v>
      </c>
      <c r="T37" s="992"/>
      <c r="U37" s="268"/>
      <c r="V37" s="994" t="e">
        <f>IF(TITLE_NUMBER_PR_CHANGE="",IF(TITLE_NUMBER_PR="","",TITLE_NUMBER_PR),TITLE_NUMBER_PR_CHANGE)</f>
        <v>#REF!</v>
      </c>
      <c r="W37" s="994"/>
      <c r="X37" s="994"/>
      <c r="Y37" s="994"/>
      <c r="Z37" s="994"/>
      <c r="AA37" s="994"/>
      <c r="AB37" s="994"/>
      <c r="AD37" s="994" t="e">
        <f>IF(TITLE_NUMBER_PR_CHANGE="",IF(TITLE_NUMBER_PR="","",TITLE_NUMBER_PR),TITLE_NUMBER_PR_CHANGE)</f>
        <v>#REF!</v>
      </c>
      <c r="AE37" s="994"/>
      <c r="AF37" s="994"/>
      <c r="AG37" s="994"/>
      <c r="AH37" s="994"/>
      <c r="AI37" s="994"/>
      <c r="AJ37" s="994"/>
      <c r="AK37" s="994"/>
      <c r="AL37" s="994"/>
      <c r="AM37" s="994"/>
      <c r="AN37" s="994"/>
      <c r="AO37" s="994"/>
      <c r="AP37" s="994"/>
      <c r="AQ37" s="994"/>
      <c r="AR37" s="994"/>
      <c r="AS37" s="994"/>
      <c r="AT37" s="994"/>
      <c r="AU37" s="994"/>
      <c r="AV37" s="994"/>
      <c r="AW37" s="994"/>
      <c r="AX37" s="994"/>
      <c r="AY37" s="994"/>
      <c r="AZ37" s="994"/>
      <c r="BI37" s="50">
        <v>0</v>
      </c>
    </row>
    <row r="38" spans="1:61" ht="0" hidden="1" customHeight="1">
      <c r="AC38" s="24" t="s">
        <v>350</v>
      </c>
      <c r="BA38" s="24" t="s">
        <v>350</v>
      </c>
      <c r="BI38" s="50">
        <v>0</v>
      </c>
    </row>
    <row r="39" spans="1:61" ht="14.65" customHeight="1">
      <c r="Q39" s="349"/>
      <c r="R39" s="264"/>
      <c r="S39" s="265"/>
      <c r="T39" s="12"/>
      <c r="U39" s="270"/>
      <c r="V39" s="1012"/>
      <c r="W39" s="1012"/>
      <c r="X39" s="1012"/>
      <c r="Y39" s="1012"/>
      <c r="Z39" s="1012"/>
      <c r="AA39" s="1012"/>
      <c r="AB39" s="1012"/>
      <c r="AC39" s="1012"/>
      <c r="AD39" s="1012"/>
      <c r="AE39" s="1012"/>
      <c r="AF39" s="1012"/>
      <c r="AG39" s="1012"/>
      <c r="AH39" s="1012"/>
      <c r="AI39" s="1012"/>
      <c r="AJ39" s="1012"/>
      <c r="AK39" s="1012"/>
      <c r="AL39" s="1012"/>
      <c r="AM39" s="1012"/>
      <c r="AN39" s="1012"/>
      <c r="AO39" s="1012"/>
      <c r="AP39" s="1012"/>
      <c r="AQ39" s="1012"/>
      <c r="AR39" s="1012"/>
      <c r="AS39" s="1012"/>
      <c r="AT39" s="1012"/>
      <c r="AU39" s="1012"/>
      <c r="AV39" s="1012"/>
      <c r="AW39" s="1012"/>
      <c r="AX39" s="1012"/>
      <c r="AY39" s="1012"/>
      <c r="AZ39" s="1012"/>
      <c r="BA39" s="1012"/>
      <c r="BI39" s="3">
        <v>14</v>
      </c>
    </row>
    <row r="40" spans="1:61" ht="14.65" customHeight="1">
      <c r="Q40" s="349"/>
      <c r="R40" s="264"/>
      <c r="S40" s="894" t="s">
        <v>223</v>
      </c>
      <c r="T40" s="894"/>
      <c r="U40" s="894"/>
      <c r="V40" s="894"/>
      <c r="W40" s="894"/>
      <c r="X40" s="894"/>
      <c r="Y40" s="894"/>
      <c r="Z40" s="894"/>
      <c r="AA40" s="894"/>
      <c r="AB40" s="894"/>
      <c r="AC40" s="894"/>
      <c r="AD40" s="894"/>
      <c r="AE40" s="894"/>
      <c r="AF40" s="894"/>
      <c r="AG40" s="894"/>
      <c r="AH40" s="894"/>
      <c r="AI40" s="894"/>
      <c r="AJ40" s="894"/>
      <c r="AK40" s="894"/>
      <c r="AL40" s="894"/>
      <c r="AM40" s="894"/>
      <c r="AN40" s="894"/>
      <c r="AO40" s="894"/>
      <c r="AP40" s="894"/>
      <c r="AQ40" s="894"/>
      <c r="AR40" s="894"/>
      <c r="AS40" s="894"/>
      <c r="AT40" s="894"/>
      <c r="AU40" s="894"/>
      <c r="AV40" s="894"/>
      <c r="AW40" s="894"/>
      <c r="AX40" s="894"/>
      <c r="AY40" s="894"/>
      <c r="AZ40" s="894"/>
      <c r="BA40" s="894"/>
      <c r="BB40" s="894"/>
      <c r="BC40" s="894" t="s">
        <v>224</v>
      </c>
      <c r="BI40" s="3">
        <v>14</v>
      </c>
    </row>
    <row r="41" spans="1:61" ht="14.65" customHeight="1">
      <c r="Q41" s="349"/>
      <c r="R41" s="264"/>
      <c r="S41" s="1013" t="s">
        <v>24</v>
      </c>
      <c r="T41" s="962" t="s">
        <v>430</v>
      </c>
      <c r="U41" s="272"/>
      <c r="V41" s="1014" t="s">
        <v>352</v>
      </c>
      <c r="W41" s="1015"/>
      <c r="X41" s="1015"/>
      <c r="Y41" s="1015"/>
      <c r="Z41" s="1015"/>
      <c r="AA41" s="1015"/>
      <c r="AB41" s="1016"/>
      <c r="AC41" s="1017" t="s">
        <v>353</v>
      </c>
      <c r="AD41" s="1046" t="s">
        <v>431</v>
      </c>
      <c r="AE41" s="1030"/>
      <c r="AF41" s="1030"/>
      <c r="AG41" s="1047"/>
      <c r="AH41" s="1046" t="s">
        <v>432</v>
      </c>
      <c r="AI41" s="1030"/>
      <c r="AJ41" s="1030"/>
      <c r="AK41" s="1047"/>
      <c r="AL41" s="1046" t="s">
        <v>433</v>
      </c>
      <c r="AM41" s="1030"/>
      <c r="AN41" s="1030"/>
      <c r="AO41" s="1047"/>
      <c r="AP41" s="1046" t="s">
        <v>434</v>
      </c>
      <c r="AQ41" s="1030"/>
      <c r="AR41" s="1030"/>
      <c r="AS41" s="1047"/>
      <c r="AT41" s="1014" t="s">
        <v>352</v>
      </c>
      <c r="AU41" s="1015"/>
      <c r="AV41" s="1015"/>
      <c r="AW41" s="1015"/>
      <c r="AX41" s="1015"/>
      <c r="AY41" s="1015"/>
      <c r="AZ41" s="1016"/>
      <c r="BA41" s="1017" t="s">
        <v>353</v>
      </c>
      <c r="BB41" s="1020" t="s">
        <v>355</v>
      </c>
      <c r="BC41" s="894"/>
      <c r="BI41" s="3">
        <v>14</v>
      </c>
    </row>
    <row r="42" spans="1:61" ht="35.65" customHeight="1">
      <c r="Q42" s="349"/>
      <c r="R42" s="264"/>
      <c r="S42" s="1013"/>
      <c r="T42" s="962"/>
      <c r="U42" s="274"/>
      <c r="V42" s="936" t="s">
        <v>435</v>
      </c>
      <c r="W42" s="937"/>
      <c r="X42" s="936" t="s">
        <v>436</v>
      </c>
      <c r="Y42" s="937"/>
      <c r="Z42" s="936" t="s">
        <v>437</v>
      </c>
      <c r="AA42" s="1042"/>
      <c r="AB42" s="937"/>
      <c r="AC42" s="1018"/>
      <c r="AD42" s="1048"/>
      <c r="AE42" s="1049"/>
      <c r="AF42" s="1049"/>
      <c r="AG42" s="1061"/>
      <c r="AH42" s="1048"/>
      <c r="AI42" s="1049"/>
      <c r="AJ42" s="1049"/>
      <c r="AK42" s="1061"/>
      <c r="AL42" s="1048"/>
      <c r="AM42" s="1049"/>
      <c r="AN42" s="1049"/>
      <c r="AO42" s="1061"/>
      <c r="AP42" s="1048"/>
      <c r="AQ42" s="1049"/>
      <c r="AR42" s="1049"/>
      <c r="AS42" s="1061"/>
      <c r="AT42" s="936" t="s">
        <v>435</v>
      </c>
      <c r="AU42" s="937"/>
      <c r="AV42" s="936" t="s">
        <v>436</v>
      </c>
      <c r="AW42" s="937"/>
      <c r="AX42" s="936" t="s">
        <v>437</v>
      </c>
      <c r="AY42" s="1042"/>
      <c r="AZ42" s="937"/>
      <c r="BA42" s="1018"/>
      <c r="BB42" s="1021"/>
      <c r="BC42" s="894"/>
      <c r="BI42" s="3">
        <v>34</v>
      </c>
    </row>
    <row r="43" spans="1:61" ht="14.65" customHeight="1">
      <c r="Q43" s="349"/>
      <c r="R43" s="264"/>
      <c r="S43" s="1013"/>
      <c r="T43" s="962"/>
      <c r="U43" s="274"/>
      <c r="V43" s="941"/>
      <c r="W43" s="942"/>
      <c r="X43" s="941"/>
      <c r="Y43" s="942"/>
      <c r="Z43" s="941"/>
      <c r="AA43" s="1043"/>
      <c r="AB43" s="942"/>
      <c r="AC43" s="1018"/>
      <c r="AD43" s="1048"/>
      <c r="AE43" s="1049"/>
      <c r="AF43" s="1049"/>
      <c r="AG43" s="1061"/>
      <c r="AH43" s="1048"/>
      <c r="AI43" s="1049"/>
      <c r="AJ43" s="1049"/>
      <c r="AK43" s="1061"/>
      <c r="AL43" s="1048"/>
      <c r="AM43" s="1049"/>
      <c r="AN43" s="1049"/>
      <c r="AO43" s="1061"/>
      <c r="AP43" s="1048"/>
      <c r="AQ43" s="1049"/>
      <c r="AR43" s="1049"/>
      <c r="AS43" s="1061"/>
      <c r="AT43" s="941"/>
      <c r="AU43" s="942"/>
      <c r="AV43" s="941"/>
      <c r="AW43" s="942"/>
      <c r="AX43" s="941"/>
      <c r="AY43" s="1043"/>
      <c r="AZ43" s="942"/>
      <c r="BA43" s="1018"/>
      <c r="BB43" s="1021"/>
      <c r="BC43" s="894"/>
      <c r="BI43" s="3">
        <v>14</v>
      </c>
    </row>
    <row r="44" spans="1:61" ht="14.65" customHeight="1">
      <c r="B44" s="60" t="s">
        <v>60</v>
      </c>
      <c r="C44" s="60" t="s">
        <v>61</v>
      </c>
      <c r="D44" s="60" t="s">
        <v>62</v>
      </c>
      <c r="E44" s="237" t="s">
        <v>360</v>
      </c>
      <c r="F44" s="237" t="s">
        <v>361</v>
      </c>
      <c r="G44" s="237" t="s">
        <v>362</v>
      </c>
      <c r="H44" s="237" t="s">
        <v>363</v>
      </c>
      <c r="I44" s="237" t="s">
        <v>364</v>
      </c>
      <c r="J44" s="237" t="s">
        <v>365</v>
      </c>
      <c r="K44" s="237" t="s">
        <v>366</v>
      </c>
      <c r="L44" s="237" t="s">
        <v>341</v>
      </c>
      <c r="Q44" s="349"/>
      <c r="R44" s="264"/>
      <c r="S44" s="1013"/>
      <c r="T44" s="962"/>
      <c r="U44" s="275"/>
      <c r="V44" s="120" t="s">
        <v>401</v>
      </c>
      <c r="W44" s="120" t="s">
        <v>402</v>
      </c>
      <c r="X44" s="120" t="s">
        <v>401</v>
      </c>
      <c r="Y44" s="120" t="s">
        <v>402</v>
      </c>
      <c r="Z44" s="65" t="s">
        <v>369</v>
      </c>
      <c r="AA44" s="967" t="s">
        <v>370</v>
      </c>
      <c r="AB44" s="981"/>
      <c r="AC44" s="1019"/>
      <c r="AD44" s="1050"/>
      <c r="AE44" s="1051"/>
      <c r="AF44" s="1051"/>
      <c r="AG44" s="1052"/>
      <c r="AH44" s="1050"/>
      <c r="AI44" s="1051"/>
      <c r="AJ44" s="1051"/>
      <c r="AK44" s="1052"/>
      <c r="AL44" s="1050"/>
      <c r="AM44" s="1051"/>
      <c r="AN44" s="1051"/>
      <c r="AO44" s="1052"/>
      <c r="AP44" s="1050"/>
      <c r="AQ44" s="1051"/>
      <c r="AR44" s="1051"/>
      <c r="AS44" s="1052"/>
      <c r="AT44" s="120" t="s">
        <v>401</v>
      </c>
      <c r="AU44" s="120" t="s">
        <v>402</v>
      </c>
      <c r="AV44" s="120" t="s">
        <v>401</v>
      </c>
      <c r="AW44" s="120" t="s">
        <v>402</v>
      </c>
      <c r="AX44" s="65" t="s">
        <v>369</v>
      </c>
      <c r="AY44" s="967" t="s">
        <v>370</v>
      </c>
      <c r="AZ44" s="981"/>
      <c r="BA44" s="1019"/>
      <c r="BB44" s="1022"/>
      <c r="BC44" s="894"/>
      <c r="BI44" s="3">
        <v>14</v>
      </c>
    </row>
    <row r="45" spans="1:61" ht="11.25" hidden="1" customHeight="1">
      <c r="Q45" s="279"/>
      <c r="R45" s="279">
        <v>1</v>
      </c>
      <c r="S45" s="280" t="s">
        <v>31</v>
      </c>
      <c r="T45" s="281" t="s">
        <v>39</v>
      </c>
      <c r="U45" s="282" t="str">
        <f ca="1">OFFSET(U45,0,-1)</f>
        <v>2</v>
      </c>
      <c r="V45" s="283">
        <f t="shared" ref="V45:AA45" ca="1" si="2">OFFSET(V45,0,-1)+1</f>
        <v>3</v>
      </c>
      <c r="W45" s="283">
        <f t="shared" ca="1" si="2"/>
        <v>4</v>
      </c>
      <c r="X45" s="283">
        <f t="shared" ca="1" si="2"/>
        <v>5</v>
      </c>
      <c r="Y45" s="283">
        <f t="shared" ca="1" si="2"/>
        <v>6</v>
      </c>
      <c r="Z45" s="283">
        <f t="shared" ca="1" si="2"/>
        <v>7</v>
      </c>
      <c r="AA45" s="1011">
        <f t="shared" ca="1" si="2"/>
        <v>8</v>
      </c>
      <c r="AB45" s="1011"/>
      <c r="AC45" s="283">
        <f ca="1">OFFSET(AC45,0,-2)+1</f>
        <v>9</v>
      </c>
      <c r="AD45" s="283">
        <f ca="1">OFFSET(AD45,0,-1)+1</f>
        <v>10</v>
      </c>
      <c r="AE45" s="283"/>
      <c r="AF45" s="283"/>
      <c r="AG45" s="283"/>
      <c r="AH45" s="283"/>
      <c r="AI45" s="283"/>
      <c r="AJ45" s="283"/>
      <c r="AK45" s="283"/>
      <c r="AL45" s="283"/>
      <c r="AM45" s="283"/>
      <c r="AN45" s="283"/>
      <c r="AO45" s="283"/>
      <c r="AP45" s="283"/>
      <c r="AQ45" s="283"/>
      <c r="AR45" s="283"/>
      <c r="AS45" s="283"/>
      <c r="AT45" s="283"/>
      <c r="AU45" s="283"/>
      <c r="AV45" s="283"/>
      <c r="AW45" s="283">
        <f ca="1">OFFSET(AW45,0,-1)+1</f>
        <v>1</v>
      </c>
      <c r="AX45" s="283">
        <f ca="1">OFFSET(AX45,0,-1)+1</f>
        <v>2</v>
      </c>
      <c r="AY45" s="1011">
        <f ca="1">OFFSET(AY45,0,-1)+1</f>
        <v>3</v>
      </c>
      <c r="AZ45" s="1011"/>
      <c r="BA45" s="283">
        <f ca="1">OFFSET(BA45,0,-2)+1</f>
        <v>4</v>
      </c>
      <c r="BB45" s="282">
        <f ca="1">OFFSET(BB45,0,-1)</f>
        <v>4</v>
      </c>
      <c r="BC45" s="283">
        <f ca="1">OFFSET(BC45,0,-1)+1</f>
        <v>5</v>
      </c>
      <c r="BI45" s="189">
        <v>0</v>
      </c>
    </row>
    <row r="46" spans="1:61" ht="21.95" customHeight="1">
      <c r="A46" s="284" t="s">
        <v>169</v>
      </c>
      <c r="E46" s="1000">
        <v>1</v>
      </c>
      <c r="R46" s="225"/>
      <c r="S46" s="226">
        <f>INDEX(PT_DIFFERENTIATION_NUM_NTAR,MATCH(A46,PT_DIFFERENTIATION_NTAR_ID,0))</f>
        <v>0</v>
      </c>
      <c r="T46" s="227" t="s">
        <v>48</v>
      </c>
      <c r="U46" s="228"/>
      <c r="V46" s="996"/>
      <c r="W46" s="996"/>
      <c r="X46" s="996"/>
      <c r="Y46" s="996"/>
      <c r="Z46" s="996"/>
      <c r="AA46" s="996"/>
      <c r="AB46" s="996"/>
      <c r="AC46" s="997"/>
      <c r="AD46" s="995" t="str">
        <f>INDEX(PT_DIFFERENTIATION_NTAR,MATCH(A46,PT_DIFFERENTIATION_NTAR_ID,0))</f>
        <v/>
      </c>
      <c r="AE46" s="996"/>
      <c r="AF46" s="996"/>
      <c r="AG46" s="996"/>
      <c r="AH46" s="996"/>
      <c r="AI46" s="996"/>
      <c r="AJ46" s="996"/>
      <c r="AK46" s="996"/>
      <c r="AL46" s="996"/>
      <c r="AM46" s="996"/>
      <c r="AN46" s="996"/>
      <c r="AO46" s="996"/>
      <c r="AP46" s="996"/>
      <c r="AQ46" s="996"/>
      <c r="AR46" s="996"/>
      <c r="AS46" s="996"/>
      <c r="AT46" s="996"/>
      <c r="AU46" s="996"/>
      <c r="AV46" s="996"/>
      <c r="AW46" s="996"/>
      <c r="AX46" s="996"/>
      <c r="AY46" s="996"/>
      <c r="AZ46" s="996"/>
      <c r="BA46" s="996"/>
      <c r="BB46" s="997"/>
      <c r="BC46"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F46" s="29" t="str">
        <f t="shared" ref="BF46:BF52" si="3">IF(T46="","",T46)</f>
        <v>Наименование тарифа</v>
      </c>
      <c r="BI46" s="3">
        <v>21</v>
      </c>
    </row>
    <row r="47" spans="1:61" ht="21.95" customHeight="1">
      <c r="A47" s="284" t="s">
        <v>169</v>
      </c>
      <c r="B47" s="284" t="s">
        <v>170</v>
      </c>
      <c r="E47" s="1001"/>
      <c r="F47" s="1000">
        <v>1</v>
      </c>
      <c r="Q47" s="328"/>
      <c r="R47" s="232"/>
      <c r="S47" s="226" t="str">
        <f>INDEX(PT_DIFFERENTIATION_NUM_TER,MATCH(B47,PT_DIFFERENTIATION_TER_ID,0))</f>
        <v>.</v>
      </c>
      <c r="T47" s="233" t="s">
        <v>320</v>
      </c>
      <c r="U47" s="228"/>
      <c r="V47" s="996"/>
      <c r="W47" s="996"/>
      <c r="X47" s="996"/>
      <c r="Y47" s="996"/>
      <c r="Z47" s="996"/>
      <c r="AA47" s="996"/>
      <c r="AB47" s="996"/>
      <c r="AC47" s="997"/>
      <c r="AD47" s="995" t="str">
        <f>INDEX(PT_DIFFERENTIATION_TER,MATCH(B47,PT_DIFFERENTIATION_TER_ID,0))</f>
        <v/>
      </c>
      <c r="AE47" s="996"/>
      <c r="AF47" s="996"/>
      <c r="AG47" s="996"/>
      <c r="AH47" s="996"/>
      <c r="AI47" s="996"/>
      <c r="AJ47" s="996"/>
      <c r="AK47" s="996"/>
      <c r="AL47" s="996"/>
      <c r="AM47" s="996"/>
      <c r="AN47" s="996"/>
      <c r="AO47" s="996"/>
      <c r="AP47" s="996"/>
      <c r="AQ47" s="996"/>
      <c r="AR47" s="996"/>
      <c r="AS47" s="996"/>
      <c r="AT47" s="996"/>
      <c r="AU47" s="996"/>
      <c r="AV47" s="996"/>
      <c r="AW47" s="996"/>
      <c r="AX47" s="996"/>
      <c r="AY47" s="996"/>
      <c r="AZ47" s="996"/>
      <c r="BA47" s="996"/>
      <c r="BB47" s="997"/>
      <c r="BC47" s="230" t="s">
        <v>321</v>
      </c>
      <c r="BF47" s="29" t="str">
        <f t="shared" si="3"/>
        <v>Территория действия тарифа</v>
      </c>
      <c r="BI47" s="3">
        <v>21</v>
      </c>
    </row>
    <row r="48" spans="1:61" ht="43.15" customHeight="1">
      <c r="A48" s="284" t="s">
        <v>169</v>
      </c>
      <c r="B48" s="284" t="s">
        <v>170</v>
      </c>
      <c r="C48" s="284" t="s">
        <v>171</v>
      </c>
      <c r="E48" s="1001"/>
      <c r="F48" s="1001"/>
      <c r="G48" s="1000">
        <v>1</v>
      </c>
      <c r="Q48" s="328"/>
      <c r="R48" s="232"/>
      <c r="S48" s="226" t="str">
        <f>INDEX(PT_DIFFERENTIATION_NUM_CS,MATCH(C48,PT_DIFFERENTIATION_CS_ID,0))</f>
        <v>..</v>
      </c>
      <c r="T48" s="234" t="s">
        <v>404</v>
      </c>
      <c r="U48" s="228"/>
      <c r="V48" s="996"/>
      <c r="W48" s="996"/>
      <c r="X48" s="996"/>
      <c r="Y48" s="996"/>
      <c r="Z48" s="996"/>
      <c r="AA48" s="996"/>
      <c r="AB48" s="996"/>
      <c r="AC48" s="997"/>
      <c r="AD48" s="995" t="str">
        <f>INDEX(PT_DIFFERENTIATION_CS,MATCH(C48,PT_DIFFERENTIATION_CS_ID,0))</f>
        <v/>
      </c>
      <c r="AE48" s="996"/>
      <c r="AF48" s="996"/>
      <c r="AG48" s="996"/>
      <c r="AH48" s="996"/>
      <c r="AI48" s="996"/>
      <c r="AJ48" s="996"/>
      <c r="AK48" s="996"/>
      <c r="AL48" s="996"/>
      <c r="AM48" s="996"/>
      <c r="AN48" s="996"/>
      <c r="AO48" s="996"/>
      <c r="AP48" s="996"/>
      <c r="AQ48" s="996"/>
      <c r="AR48" s="996"/>
      <c r="AS48" s="996"/>
      <c r="AT48" s="996"/>
      <c r="AU48" s="996"/>
      <c r="AV48" s="996"/>
      <c r="AW48" s="996"/>
      <c r="AX48" s="996"/>
      <c r="AY48" s="996"/>
      <c r="AZ48" s="996"/>
      <c r="BA48" s="996"/>
      <c r="BB48" s="997"/>
      <c r="BC48" s="230" t="s">
        <v>405</v>
      </c>
      <c r="BF48" s="29" t="str">
        <f t="shared" si="3"/>
        <v>Наименование централизованной системы холодного водоснабжения</v>
      </c>
      <c r="BI48" s="3">
        <v>41</v>
      </c>
    </row>
    <row r="49" spans="1:61" ht="0" hidden="1" customHeight="1">
      <c r="A49" s="21" t="s">
        <v>169</v>
      </c>
      <c r="B49" s="21" t="s">
        <v>170</v>
      </c>
      <c r="C49" s="21" t="s">
        <v>171</v>
      </c>
      <c r="D49" s="21" t="s">
        <v>438</v>
      </c>
      <c r="E49" s="1001"/>
      <c r="F49" s="1001"/>
      <c r="G49" s="1001"/>
      <c r="H49" s="1000">
        <v>1</v>
      </c>
      <c r="Q49" s="366"/>
      <c r="R49" s="240"/>
      <c r="S49" s="124"/>
      <c r="T49" s="367"/>
      <c r="U49" s="295"/>
      <c r="V49" s="1032"/>
      <c r="W49" s="1032"/>
      <c r="X49" s="1032"/>
      <c r="Y49" s="1032"/>
      <c r="Z49" s="1032"/>
      <c r="AA49" s="1032"/>
      <c r="AB49" s="1032"/>
      <c r="AC49" s="1033"/>
      <c r="AD49" s="1031"/>
      <c r="AE49" s="1032"/>
      <c r="AF49" s="1032"/>
      <c r="AG49" s="1032"/>
      <c r="AH49" s="1032"/>
      <c r="AI49" s="1032"/>
      <c r="AJ49" s="1032"/>
      <c r="AK49" s="1032"/>
      <c r="AL49" s="1032"/>
      <c r="AM49" s="1032"/>
      <c r="AN49" s="1032"/>
      <c r="AO49" s="1032"/>
      <c r="AP49" s="1032"/>
      <c r="AQ49" s="1032"/>
      <c r="AR49" s="1032"/>
      <c r="AS49" s="1032"/>
      <c r="AT49" s="1032"/>
      <c r="AU49" s="1032"/>
      <c r="AV49" s="1032"/>
      <c r="AW49" s="1032"/>
      <c r="AX49" s="1032"/>
      <c r="AY49" s="1032"/>
      <c r="AZ49" s="1032"/>
      <c r="BA49" s="1032"/>
      <c r="BB49" s="1033"/>
      <c r="BC49" s="297" t="s">
        <v>325</v>
      </c>
      <c r="BF49" s="29" t="str">
        <f t="shared" si="3"/>
        <v/>
      </c>
      <c r="BI49" s="24">
        <v>0</v>
      </c>
    </row>
    <row r="50" spans="1:61" ht="0" hidden="1" customHeight="1">
      <c r="A50" s="21" t="s">
        <v>169</v>
      </c>
      <c r="B50" s="21" t="s">
        <v>170</v>
      </c>
      <c r="C50" s="21" t="s">
        <v>171</v>
      </c>
      <c r="D50" s="21" t="s">
        <v>438</v>
      </c>
      <c r="E50" s="1001"/>
      <c r="F50" s="1001"/>
      <c r="G50" s="1001"/>
      <c r="H50" s="1001"/>
      <c r="I50" s="1002" t="str">
        <f>S49&amp;".1"</f>
        <v>.1</v>
      </c>
      <c r="L50" s="302" t="s">
        <v>326</v>
      </c>
      <c r="P50" s="1004">
        <v>1</v>
      </c>
      <c r="R50" s="238"/>
      <c r="S50" s="124"/>
      <c r="T50" s="294"/>
      <c r="U50" s="295"/>
      <c r="V50" s="1032"/>
      <c r="W50" s="1032"/>
      <c r="X50" s="1032"/>
      <c r="Y50" s="1032"/>
      <c r="Z50" s="1032"/>
      <c r="AA50" s="1032"/>
      <c r="AB50" s="1032"/>
      <c r="AC50" s="1033"/>
      <c r="AD50" s="1031"/>
      <c r="AE50" s="1032"/>
      <c r="AF50" s="1032"/>
      <c r="AG50" s="1032"/>
      <c r="AH50" s="1032"/>
      <c r="AI50" s="1032"/>
      <c r="AJ50" s="1032"/>
      <c r="AK50" s="1032"/>
      <c r="AL50" s="1032"/>
      <c r="AM50" s="1032"/>
      <c r="AN50" s="1032"/>
      <c r="AO50" s="1032"/>
      <c r="AP50" s="1032"/>
      <c r="AQ50" s="1032"/>
      <c r="AR50" s="1032"/>
      <c r="AS50" s="1032"/>
      <c r="AT50" s="1032"/>
      <c r="AU50" s="1032"/>
      <c r="AV50" s="1032"/>
      <c r="AW50" s="1032"/>
      <c r="AX50" s="1032"/>
      <c r="AY50" s="1032"/>
      <c r="AZ50" s="1032"/>
      <c r="BA50" s="1032"/>
      <c r="BB50" s="1033"/>
      <c r="BC50" s="297"/>
      <c r="BF50" s="29" t="str">
        <f t="shared" si="3"/>
        <v/>
      </c>
      <c r="BI50" s="24">
        <v>0</v>
      </c>
    </row>
    <row r="51" spans="1:61" ht="0" hidden="1" customHeight="1">
      <c r="A51" s="21" t="s">
        <v>169</v>
      </c>
      <c r="B51" s="21" t="s">
        <v>170</v>
      </c>
      <c r="C51" s="21" t="s">
        <v>171</v>
      </c>
      <c r="D51" s="21" t="s">
        <v>438</v>
      </c>
      <c r="E51" s="1001"/>
      <c r="F51" s="1001"/>
      <c r="G51" s="1001"/>
      <c r="H51" s="1001"/>
      <c r="I51" s="1003"/>
      <c r="J51" s="1002" t="str">
        <f>S49&amp;".1"</f>
        <v>.1</v>
      </c>
      <c r="P51" s="885"/>
      <c r="Q51" s="1004">
        <v>1</v>
      </c>
      <c r="R51" s="240"/>
      <c r="S51" s="124"/>
      <c r="T51" s="329"/>
      <c r="U51" s="295"/>
      <c r="V51" s="1032"/>
      <c r="W51" s="1032"/>
      <c r="X51" s="1032"/>
      <c r="Y51" s="1032"/>
      <c r="Z51" s="1032"/>
      <c r="AA51" s="1032"/>
      <c r="AB51" s="1032"/>
      <c r="AC51" s="1033"/>
      <c r="AD51" s="1031"/>
      <c r="AE51" s="1032"/>
      <c r="AF51" s="1032"/>
      <c r="AG51" s="1032"/>
      <c r="AH51" s="1032"/>
      <c r="AI51" s="1032"/>
      <c r="AJ51" s="1032"/>
      <c r="AK51" s="1032"/>
      <c r="AL51" s="1032"/>
      <c r="AM51" s="1032"/>
      <c r="AN51" s="1083"/>
      <c r="AO51" s="1083"/>
      <c r="AP51" s="1032"/>
      <c r="AQ51" s="1032"/>
      <c r="AR51" s="1032"/>
      <c r="AS51" s="1032"/>
      <c r="AT51" s="1032"/>
      <c r="AU51" s="1032"/>
      <c r="AV51" s="1032"/>
      <c r="AW51" s="1032"/>
      <c r="AX51" s="1032"/>
      <c r="AY51" s="1032"/>
      <c r="AZ51" s="1032"/>
      <c r="BA51" s="1032"/>
      <c r="BB51" s="1033"/>
      <c r="BC51" s="297"/>
      <c r="BF51" s="29" t="str">
        <f t="shared" si="3"/>
        <v/>
      </c>
      <c r="BI51" s="24">
        <v>0</v>
      </c>
    </row>
    <row r="52" spans="1:61" ht="11.45" customHeight="1">
      <c r="A52" s="284" t="s">
        <v>169</v>
      </c>
      <c r="B52" s="284" t="s">
        <v>170</v>
      </c>
      <c r="C52" s="284" t="s">
        <v>171</v>
      </c>
      <c r="D52" s="284" t="s">
        <v>438</v>
      </c>
      <c r="E52" s="1001"/>
      <c r="F52" s="1001"/>
      <c r="G52" s="1001"/>
      <c r="H52" s="1001"/>
      <c r="I52" s="1003"/>
      <c r="J52" s="1003"/>
      <c r="K52" s="1002" t="str">
        <f>S48&amp;".1"</f>
        <v>...1</v>
      </c>
      <c r="P52" s="885"/>
      <c r="Q52" s="885"/>
      <c r="R52" s="240">
        <v>1</v>
      </c>
      <c r="S52" s="1057" t="str">
        <f>$K52</f>
        <v>...1</v>
      </c>
      <c r="T52" s="1077"/>
      <c r="U52" s="228"/>
      <c r="V52" s="243"/>
      <c r="W52" s="245"/>
      <c r="X52" s="243"/>
      <c r="Y52" s="245"/>
      <c r="Z52" s="246"/>
      <c r="AA52" s="56" t="s">
        <v>17</v>
      </c>
      <c r="AB52" s="246"/>
      <c r="AC52" s="56" t="s">
        <v>17</v>
      </c>
      <c r="AD52" s="948" t="s">
        <v>17</v>
      </c>
      <c r="AE52" s="1053"/>
      <c r="AF52" s="958">
        <v>1</v>
      </c>
      <c r="AG52" s="1076"/>
      <c r="AH52" s="895" t="s">
        <v>17</v>
      </c>
      <c r="AI52" s="1053"/>
      <c r="AJ52" s="958">
        <v>1</v>
      </c>
      <c r="AK52" s="1067" t="s">
        <v>4</v>
      </c>
      <c r="AL52" s="895" t="s">
        <v>17</v>
      </c>
      <c r="AM52" s="936"/>
      <c r="AN52" s="958">
        <v>1</v>
      </c>
      <c r="AO52" s="1080"/>
      <c r="AP52" s="1081" t="s">
        <v>17</v>
      </c>
      <c r="AQ52" s="332"/>
      <c r="AR52" s="118">
        <v>1</v>
      </c>
      <c r="AS52" s="15" t="s">
        <v>4</v>
      </c>
      <c r="AT52" s="243"/>
      <c r="AU52" s="245"/>
      <c r="AV52" s="243"/>
      <c r="AW52" s="245"/>
      <c r="AX52" s="246"/>
      <c r="AY52" s="56" t="s">
        <v>17</v>
      </c>
      <c r="AZ52" s="246"/>
      <c r="BA52" s="56" t="s">
        <v>17</v>
      </c>
      <c r="BB52" s="285"/>
      <c r="BC52" s="1023" t="s">
        <v>424</v>
      </c>
      <c r="BF52" s="29" t="str">
        <f t="shared" si="3"/>
        <v/>
      </c>
      <c r="BI52" s="3">
        <v>11</v>
      </c>
    </row>
    <row r="53" spans="1:61" ht="11.45" customHeight="1">
      <c r="E53" s="1001"/>
      <c r="F53" s="1001"/>
      <c r="G53" s="1001"/>
      <c r="H53" s="1001"/>
      <c r="I53" s="1003"/>
      <c r="J53" s="1003"/>
      <c r="K53" s="1002"/>
      <c r="P53" s="885"/>
      <c r="Q53" s="885"/>
      <c r="R53" s="240"/>
      <c r="S53" s="1058"/>
      <c r="T53" s="1078"/>
      <c r="U53" s="228"/>
      <c r="V53" s="322"/>
      <c r="W53" s="335"/>
      <c r="X53" s="322"/>
      <c r="Y53" s="335"/>
      <c r="Z53" s="322"/>
      <c r="AA53" s="322"/>
      <c r="AB53" s="322"/>
      <c r="AC53" s="322"/>
      <c r="AD53" s="949"/>
      <c r="AE53" s="1053"/>
      <c r="AF53" s="958"/>
      <c r="AG53" s="1076"/>
      <c r="AH53" s="895"/>
      <c r="AI53" s="1053"/>
      <c r="AJ53" s="958"/>
      <c r="AK53" s="1067"/>
      <c r="AL53" s="895"/>
      <c r="AM53" s="941"/>
      <c r="AN53" s="958"/>
      <c r="AO53" s="1080"/>
      <c r="AP53" s="1082"/>
      <c r="AQ53" s="334"/>
      <c r="AR53" s="45"/>
      <c r="AS53" s="45" t="s">
        <v>425</v>
      </c>
      <c r="AT53" s="322"/>
      <c r="AU53" s="335"/>
      <c r="AV53" s="322"/>
      <c r="AW53" s="335"/>
      <c r="AX53" s="322"/>
      <c r="AY53" s="322"/>
      <c r="AZ53" s="322"/>
      <c r="BA53" s="322"/>
      <c r="BB53" s="333"/>
      <c r="BC53" s="1024"/>
      <c r="BI53" s="3">
        <v>11</v>
      </c>
    </row>
    <row r="54" spans="1:61" ht="11.45" customHeight="1">
      <c r="A54" s="284" t="s">
        <v>169</v>
      </c>
      <c r="E54" s="1001"/>
      <c r="F54" s="1001"/>
      <c r="G54" s="1001"/>
      <c r="H54" s="1001"/>
      <c r="I54" s="1003"/>
      <c r="J54" s="1003"/>
      <c r="K54" s="1002"/>
      <c r="P54" s="885"/>
      <c r="Q54" s="885"/>
      <c r="R54" s="240"/>
      <c r="S54" s="1058"/>
      <c r="T54" s="1078"/>
      <c r="U54" s="228"/>
      <c r="V54" s="322"/>
      <c r="W54" s="335"/>
      <c r="X54" s="322"/>
      <c r="Y54" s="335"/>
      <c r="Z54" s="322"/>
      <c r="AA54" s="322"/>
      <c r="AB54" s="322"/>
      <c r="AC54" s="322"/>
      <c r="AD54" s="949"/>
      <c r="AE54" s="1053"/>
      <c r="AF54" s="958"/>
      <c r="AG54" s="1076"/>
      <c r="AH54" s="895"/>
      <c r="AI54" s="1053"/>
      <c r="AJ54" s="958"/>
      <c r="AK54" s="1067"/>
      <c r="AL54" s="895"/>
      <c r="AM54" s="334"/>
      <c r="AN54" s="368"/>
      <c r="AO54" s="368" t="s">
        <v>426</v>
      </c>
      <c r="AP54" s="45"/>
      <c r="AQ54" s="45"/>
      <c r="AR54" s="45"/>
      <c r="AS54" s="322"/>
      <c r="AT54" s="322"/>
      <c r="AU54" s="335"/>
      <c r="AV54" s="322"/>
      <c r="AW54" s="335"/>
      <c r="AX54" s="322"/>
      <c r="AY54" s="322"/>
      <c r="AZ54" s="322"/>
      <c r="BA54" s="322"/>
      <c r="BB54" s="333"/>
      <c r="BC54" s="1024"/>
      <c r="BI54" s="3">
        <v>11</v>
      </c>
    </row>
    <row r="55" spans="1:61" ht="11.45" customHeight="1">
      <c r="A55" s="284" t="s">
        <v>169</v>
      </c>
      <c r="E55" s="1001"/>
      <c r="F55" s="1001"/>
      <c r="G55" s="1001"/>
      <c r="H55" s="1001"/>
      <c r="I55" s="1003"/>
      <c r="J55" s="1003"/>
      <c r="K55" s="1002"/>
      <c r="P55" s="885"/>
      <c r="Q55" s="885"/>
      <c r="R55" s="240"/>
      <c r="S55" s="1058"/>
      <c r="T55" s="1078"/>
      <c r="U55" s="228"/>
      <c r="V55" s="322"/>
      <c r="W55" s="335"/>
      <c r="X55" s="322"/>
      <c r="Y55" s="335"/>
      <c r="Z55" s="322"/>
      <c r="AA55" s="322"/>
      <c r="AB55" s="322"/>
      <c r="AC55" s="322"/>
      <c r="AD55" s="949"/>
      <c r="AE55" s="1053"/>
      <c r="AF55" s="958"/>
      <c r="AG55" s="1076"/>
      <c r="AH55" s="895"/>
      <c r="AI55" s="337"/>
      <c r="AJ55" s="42"/>
      <c r="AK55" s="200" t="s">
        <v>427</v>
      </c>
      <c r="AL55" s="322"/>
      <c r="AM55" s="322"/>
      <c r="AN55" s="322"/>
      <c r="AO55" s="322"/>
      <c r="AP55" s="322"/>
      <c r="AQ55" s="322"/>
      <c r="AR55" s="322"/>
      <c r="AS55" s="322"/>
      <c r="AT55" s="322"/>
      <c r="AU55" s="335"/>
      <c r="AV55" s="322"/>
      <c r="AW55" s="335"/>
      <c r="AX55" s="322"/>
      <c r="AY55" s="322"/>
      <c r="AZ55" s="322"/>
      <c r="BA55" s="322"/>
      <c r="BB55" s="333"/>
      <c r="BC55" s="1024"/>
      <c r="BI55" s="3">
        <v>11</v>
      </c>
    </row>
    <row r="56" spans="1:61" ht="11.45" customHeight="1">
      <c r="A56" s="284" t="s">
        <v>169</v>
      </c>
      <c r="B56" s="284" t="s">
        <v>170</v>
      </c>
      <c r="C56" s="284" t="s">
        <v>171</v>
      </c>
      <c r="D56" s="284" t="s">
        <v>438</v>
      </c>
      <c r="E56" s="1001"/>
      <c r="F56" s="1001"/>
      <c r="G56" s="1001"/>
      <c r="H56" s="1001"/>
      <c r="I56" s="1003"/>
      <c r="J56" s="1003"/>
      <c r="K56" s="1002"/>
      <c r="P56" s="885"/>
      <c r="Q56" s="885"/>
      <c r="R56" s="240"/>
      <c r="S56" s="1059"/>
      <c r="T56" s="1079"/>
      <c r="U56" s="228"/>
      <c r="V56" s="322"/>
      <c r="W56" s="323" t="str">
        <f>Z52&amp;"-"&amp;AB52</f>
        <v>-</v>
      </c>
      <c r="X56" s="322"/>
      <c r="Y56" s="323" t="str">
        <f>AB52&amp;"-"&amp;AD52</f>
        <v>-да</v>
      </c>
      <c r="Z56" s="322"/>
      <c r="AA56" s="322"/>
      <c r="AB56" s="322"/>
      <c r="AC56" s="322"/>
      <c r="AD56" s="900"/>
      <c r="AE56" s="339"/>
      <c r="AF56" s="340"/>
      <c r="AG56" s="45" t="s">
        <v>428</v>
      </c>
      <c r="AH56" s="322"/>
      <c r="AI56" s="322"/>
      <c r="AJ56" s="322"/>
      <c r="AK56" s="322"/>
      <c r="AL56" s="322"/>
      <c r="AM56" s="322"/>
      <c r="AN56" s="322"/>
      <c r="AO56" s="322"/>
      <c r="AP56" s="322"/>
      <c r="AQ56" s="322"/>
      <c r="AR56" s="322"/>
      <c r="AS56" s="322"/>
      <c r="AT56" s="322"/>
      <c r="AU56" s="323" t="str">
        <f>AX52&amp;"-"&amp;AZ52</f>
        <v>-</v>
      </c>
      <c r="AV56" s="322"/>
      <c r="AW56" s="323" t="str">
        <f>AZ52&amp;"-"&amp;BB52</f>
        <v>-</v>
      </c>
      <c r="AX56" s="322"/>
      <c r="AY56" s="322"/>
      <c r="AZ56" s="322"/>
      <c r="BA56" s="322"/>
      <c r="BB56" s="338" t="str">
        <f>BE52&amp;"-"&amp;BG52</f>
        <v>-</v>
      </c>
      <c r="BC56" s="1024"/>
      <c r="BF56" s="29" t="str">
        <f t="shared" ref="BF56:BF63" si="4">IF(T56="","",T56)</f>
        <v/>
      </c>
      <c r="BI56" s="3">
        <v>11</v>
      </c>
    </row>
    <row r="57" spans="1:61" ht="11.45" customHeight="1">
      <c r="A57" s="284" t="s">
        <v>169</v>
      </c>
      <c r="B57" s="284" t="s">
        <v>170</v>
      </c>
      <c r="C57" s="284" t="s">
        <v>171</v>
      </c>
      <c r="D57" s="284" t="s">
        <v>438</v>
      </c>
      <c r="E57" s="1001"/>
      <c r="F57" s="1001"/>
      <c r="G57" s="1001"/>
      <c r="H57" s="1001"/>
      <c r="I57" s="1003"/>
      <c r="J57" s="1002"/>
      <c r="P57" s="885"/>
      <c r="Q57" s="885"/>
      <c r="R57" s="238"/>
      <c r="S57" s="249"/>
      <c r="T57" s="252" t="s">
        <v>391</v>
      </c>
      <c r="U57" s="54"/>
      <c r="V57" s="54"/>
      <c r="W57" s="54"/>
      <c r="X57" s="54"/>
      <c r="Y57" s="54"/>
      <c r="Z57" s="54"/>
      <c r="AA57" s="54"/>
      <c r="AB57" s="54"/>
      <c r="AC57" s="251"/>
      <c r="AD57" s="353"/>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251"/>
      <c r="BC57" s="1025"/>
      <c r="BF57" s="29" t="str">
        <f t="shared" si="4"/>
        <v>Добавить строку</v>
      </c>
      <c r="BI57" s="3">
        <v>11</v>
      </c>
    </row>
    <row r="58" spans="1:61" ht="0" hidden="1" customHeight="1">
      <c r="A58" s="21" t="s">
        <v>169</v>
      </c>
      <c r="B58" s="21" t="s">
        <v>170</v>
      </c>
      <c r="C58" s="21" t="s">
        <v>171</v>
      </c>
      <c r="D58" s="21" t="s">
        <v>438</v>
      </c>
      <c r="E58" s="1001"/>
      <c r="F58" s="1001"/>
      <c r="G58" s="1001"/>
      <c r="H58" s="1001"/>
      <c r="I58" s="1002"/>
      <c r="P58" s="885"/>
      <c r="R58" s="238"/>
      <c r="S58" s="298"/>
      <c r="T58" s="299"/>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1"/>
      <c r="BF58" s="29" t="str">
        <f t="shared" si="4"/>
        <v/>
      </c>
      <c r="BI58" s="24">
        <v>0</v>
      </c>
    </row>
    <row r="59" spans="1:61" ht="0" hidden="1" customHeight="1">
      <c r="A59" s="21" t="s">
        <v>169</v>
      </c>
      <c r="B59" s="21" t="s">
        <v>170</v>
      </c>
      <c r="C59" s="21" t="s">
        <v>171</v>
      </c>
      <c r="D59" s="21" t="s">
        <v>438</v>
      </c>
      <c r="E59" s="1001"/>
      <c r="F59" s="1001"/>
      <c r="G59" s="1001"/>
      <c r="H59" s="1000"/>
      <c r="R59" s="341"/>
      <c r="S59" s="298"/>
      <c r="T59" s="299"/>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1"/>
      <c r="BF59" s="29" t="str">
        <f t="shared" si="4"/>
        <v/>
      </c>
      <c r="BI59" s="24">
        <v>0</v>
      </c>
    </row>
    <row r="60" spans="1:61" ht="0" hidden="1" customHeight="1">
      <c r="A60" s="21" t="s">
        <v>169</v>
      </c>
      <c r="B60" s="21" t="s">
        <v>170</v>
      </c>
      <c r="C60" s="21" t="s">
        <v>171</v>
      </c>
      <c r="E60" s="1001"/>
      <c r="F60" s="1001"/>
      <c r="G60" s="1000"/>
      <c r="BF60" s="29" t="str">
        <f t="shared" si="4"/>
        <v/>
      </c>
      <c r="BI60" s="24">
        <v>0</v>
      </c>
    </row>
    <row r="61" spans="1:61" ht="0" hidden="1" customHeight="1">
      <c r="A61" s="21" t="s">
        <v>169</v>
      </c>
      <c r="B61" s="21" t="s">
        <v>170</v>
      </c>
      <c r="E61" s="1001"/>
      <c r="F61" s="1000"/>
      <c r="T61" s="260" t="s">
        <v>338</v>
      </c>
      <c r="BF61" s="29" t="str">
        <f t="shared" si="4"/>
        <v>Добавить централизованную систему для дифференциации</v>
      </c>
      <c r="BI61" s="24">
        <v>0</v>
      </c>
    </row>
    <row r="62" spans="1:61" ht="0" hidden="1" customHeight="1">
      <c r="A62" s="21" t="s">
        <v>169</v>
      </c>
      <c r="E62" s="1000"/>
      <c r="T62" s="260" t="s">
        <v>339</v>
      </c>
      <c r="BF62" s="29" t="str">
        <f t="shared" si="4"/>
        <v>Добавить территорию для дифференциации</v>
      </c>
      <c r="BI62" s="24">
        <v>0</v>
      </c>
    </row>
    <row r="63" spans="1:61" ht="0" hidden="1" customHeight="1">
      <c r="T63" s="260" t="s">
        <v>371</v>
      </c>
      <c r="BF63" s="29" t="str">
        <f t="shared" si="4"/>
        <v>Добавить наименование тарифа</v>
      </c>
      <c r="BI63" s="24">
        <v>0</v>
      </c>
    </row>
    <row r="64" spans="1:61" ht="11.45" customHeight="1">
      <c r="BI64" s="3">
        <v>11</v>
      </c>
    </row>
    <row r="65" spans="1:61" ht="19.899999999999999" customHeight="1">
      <c r="T65" s="885"/>
      <c r="U65" s="885"/>
      <c r="V65" s="885"/>
      <c r="W65" s="885"/>
      <c r="X65" s="885"/>
      <c r="Y65" s="885"/>
      <c r="Z65" s="885"/>
      <c r="AA65" s="885"/>
      <c r="AB65" s="885"/>
      <c r="AC65" s="885"/>
      <c r="AD65" s="885"/>
      <c r="AE65" s="885"/>
      <c r="AF65" s="885"/>
      <c r="AG65" s="885"/>
      <c r="AH65" s="885"/>
      <c r="AI65" s="885"/>
      <c r="AJ65" s="885"/>
      <c r="AK65" s="885"/>
      <c r="AL65" s="885"/>
      <c r="AM65" s="885"/>
      <c r="AN65" s="885"/>
      <c r="AO65" s="885"/>
      <c r="AP65" s="885"/>
      <c r="AQ65" s="885"/>
      <c r="AR65" s="885"/>
      <c r="AS65" s="885"/>
      <c r="AT65" s="885"/>
      <c r="AU65" s="885"/>
      <c r="AV65" s="885"/>
      <c r="AW65" s="885"/>
      <c r="AX65" s="885"/>
      <c r="AY65" s="885"/>
      <c r="AZ65" s="885"/>
      <c r="BA65" s="885"/>
      <c r="BB65" s="885"/>
      <c r="BC65" s="885"/>
      <c r="BI65" s="3">
        <v>19</v>
      </c>
    </row>
    <row r="66" spans="1:61" ht="14.65" customHeight="1">
      <c r="BI66" s="3">
        <v>14</v>
      </c>
    </row>
    <row r="67" spans="1:61" ht="19.899999999999999" customHeight="1">
      <c r="T67" s="885"/>
      <c r="U67" s="885"/>
      <c r="V67" s="885"/>
      <c r="W67" s="885"/>
      <c r="X67" s="885"/>
      <c r="Y67" s="885"/>
      <c r="Z67" s="885"/>
      <c r="AA67" s="885"/>
      <c r="AB67" s="885"/>
      <c r="AC67" s="885"/>
      <c r="AD67" s="885"/>
      <c r="AE67" s="885"/>
      <c r="AF67" s="885"/>
      <c r="AG67" s="885"/>
      <c r="AH67" s="885"/>
      <c r="AI67" s="885"/>
      <c r="AJ67" s="885"/>
      <c r="AK67" s="885"/>
      <c r="AL67" s="885"/>
      <c r="AM67" s="885"/>
      <c r="AN67" s="885"/>
      <c r="AO67" s="885"/>
      <c r="AP67" s="885"/>
      <c r="AQ67" s="885"/>
      <c r="AR67" s="885"/>
      <c r="AS67" s="885"/>
      <c r="AT67" s="885"/>
      <c r="AU67" s="885"/>
      <c r="AV67" s="885"/>
      <c r="AW67" s="885"/>
      <c r="AX67" s="885"/>
      <c r="AY67" s="885"/>
      <c r="AZ67" s="885"/>
      <c r="BA67" s="885"/>
      <c r="BB67" s="885"/>
      <c r="BC67" s="885"/>
      <c r="BI67" s="3">
        <v>19</v>
      </c>
    </row>
    <row r="68" spans="1:61" ht="14.65" customHeight="1">
      <c r="BI68" s="3">
        <v>14</v>
      </c>
    </row>
    <row r="69" spans="1:61" ht="14.25" hidden="1" customHeight="1">
      <c r="A69" s="11" t="s">
        <v>18</v>
      </c>
      <c r="B69" s="11">
        <v>0</v>
      </c>
      <c r="C69" s="11">
        <v>0</v>
      </c>
      <c r="D69" s="11">
        <v>0</v>
      </c>
      <c r="E69" s="11">
        <v>0</v>
      </c>
      <c r="F69" s="11">
        <v>0</v>
      </c>
      <c r="G69" s="11">
        <v>0</v>
      </c>
      <c r="H69" s="11">
        <v>0</v>
      </c>
      <c r="I69" s="11">
        <v>0</v>
      </c>
      <c r="J69" s="11">
        <v>0</v>
      </c>
      <c r="K69" s="11">
        <v>0</v>
      </c>
      <c r="L69" s="171">
        <v>0</v>
      </c>
      <c r="M69" s="13">
        <v>0</v>
      </c>
      <c r="N69" s="13">
        <v>0</v>
      </c>
      <c r="O69" s="13">
        <v>0</v>
      </c>
      <c r="P69" s="13">
        <v>0</v>
      </c>
      <c r="Q69" s="355">
        <v>0</v>
      </c>
      <c r="R69" s="288">
        <v>3</v>
      </c>
      <c r="S69" s="9">
        <v>12</v>
      </c>
      <c r="T69" s="3">
        <v>31</v>
      </c>
      <c r="U69" s="3">
        <v>0</v>
      </c>
      <c r="V69" s="3">
        <v>0</v>
      </c>
      <c r="W69" s="3">
        <v>0</v>
      </c>
      <c r="X69" s="3">
        <v>0</v>
      </c>
      <c r="Y69" s="3">
        <v>0</v>
      </c>
      <c r="Z69" s="3">
        <v>0</v>
      </c>
      <c r="AA69" s="3">
        <v>0</v>
      </c>
      <c r="AB69" s="3">
        <v>0</v>
      </c>
      <c r="AC69" s="3">
        <v>0</v>
      </c>
      <c r="AD69" s="3">
        <v>3</v>
      </c>
      <c r="AE69" s="3">
        <v>3</v>
      </c>
      <c r="AF69" s="3">
        <v>3</v>
      </c>
      <c r="AG69" s="3">
        <v>24</v>
      </c>
      <c r="AH69" s="3">
        <v>3</v>
      </c>
      <c r="AI69" s="3">
        <v>3</v>
      </c>
      <c r="AJ69" s="3">
        <v>3</v>
      </c>
      <c r="AK69" s="3">
        <v>24</v>
      </c>
      <c r="AL69" s="3">
        <v>3</v>
      </c>
      <c r="AM69" s="3">
        <v>3</v>
      </c>
      <c r="AN69" s="3">
        <v>3</v>
      </c>
      <c r="AO69" s="3">
        <v>18</v>
      </c>
      <c r="AP69" s="3">
        <v>3</v>
      </c>
      <c r="AQ69" s="3">
        <v>3</v>
      </c>
      <c r="AR69" s="3">
        <v>3</v>
      </c>
      <c r="AS69" s="3">
        <v>18</v>
      </c>
      <c r="AT69" s="3">
        <v>21</v>
      </c>
      <c r="AU69" s="3">
        <v>21</v>
      </c>
      <c r="AV69" s="3">
        <v>21</v>
      </c>
      <c r="AW69" s="3">
        <v>21</v>
      </c>
      <c r="AX69" s="3">
        <v>11</v>
      </c>
      <c r="AY69" s="3">
        <v>3</v>
      </c>
      <c r="AZ69" s="3">
        <v>11</v>
      </c>
      <c r="BA69" s="3">
        <v>0</v>
      </c>
      <c r="BB69" s="3">
        <v>4</v>
      </c>
      <c r="BC69" s="3">
        <v>115</v>
      </c>
      <c r="BD69" s="24">
        <v>10</v>
      </c>
      <c r="BE69" s="24">
        <v>10</v>
      </c>
      <c r="BF69" s="24">
        <v>10</v>
      </c>
      <c r="BG69" s="24">
        <v>10</v>
      </c>
      <c r="BH69" s="24">
        <v>10</v>
      </c>
      <c r="BI69" s="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4.140625" hidden="1" customWidth="1"/>
    <col min="10" max="10" width="9.85546875" hidden="1" customWidth="1"/>
    <col min="11" max="11" width="14.710937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4" width="24.7109375" hidden="1" customWidth="1"/>
    <col min="25" max="25" width="11.7109375" hidden="1" customWidth="1"/>
    <col min="26" max="26" width="3.7109375" hidden="1" customWidth="1"/>
    <col min="27" max="27" width="11.7109375" hidden="1" customWidth="1"/>
    <col min="28" max="28" width="8.5703125" hidden="1" customWidth="1"/>
    <col min="29" max="29" width="24.7109375" customWidth="1"/>
    <col min="30" max="31" width="24" customWidth="1"/>
    <col min="32" max="32" width="11" customWidth="1"/>
    <col min="33" max="33" width="3.7109375" customWidth="1"/>
    <col min="34" max="34" width="11" customWidth="1"/>
    <col min="35" max="35" width="8.5703125" hidden="1" customWidth="1"/>
    <col min="36" max="36" width="4" customWidth="1"/>
    <col min="37" max="37" width="115" customWidth="1"/>
    <col min="38" max="42" width="10" customWidth="1"/>
    <col min="43" max="43" width="10.5703125" hidden="1"/>
  </cols>
  <sheetData>
    <row r="1" spans="5:43" ht="22.5" hidden="1" customHeight="1">
      <c r="AQ1" s="3" t="s">
        <v>1</v>
      </c>
    </row>
    <row r="2" spans="5:43" ht="23.25" hidden="1" customHeight="1">
      <c r="E2" s="1000">
        <v>1</v>
      </c>
      <c r="R2" s="225"/>
      <c r="S2" s="226" t="e">
        <f>INDEX(PT_DIFFERENTIATION_NUM_NTAR,MATCH(A2,PT_DIFFERENTIATION_NTAR_ID,0))</f>
        <v>#N/A</v>
      </c>
      <c r="T2" s="227" t="s">
        <v>48</v>
      </c>
      <c r="U2" s="228"/>
      <c r="V2" s="995"/>
      <c r="W2" s="996"/>
      <c r="X2" s="996"/>
      <c r="Y2" s="996"/>
      <c r="Z2" s="996"/>
      <c r="AA2" s="996"/>
      <c r="AB2" s="997"/>
      <c r="AC2" s="995" t="e">
        <f>INDEX(PT_DIFFERENTIATION_NTAR,MATCH(A2,PT_DIFFERENTIATION_NTAR_ID,0))</f>
        <v>#N/A</v>
      </c>
      <c r="AD2" s="996"/>
      <c r="AE2" s="996"/>
      <c r="AF2" s="996"/>
      <c r="AG2" s="996"/>
      <c r="AH2" s="996"/>
      <c r="AI2" s="996"/>
      <c r="AJ2" s="997"/>
      <c r="AK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2" s="29" t="str">
        <f t="shared" ref="AN2:AN13" si="0">IF(T2="","",T2)</f>
        <v>Наименование тарифа</v>
      </c>
      <c r="AQ2" s="3">
        <v>0</v>
      </c>
    </row>
    <row r="3" spans="5:43" ht="23.25" hidden="1" customHeight="1">
      <c r="E3" s="1001"/>
      <c r="F3" s="1000">
        <v>1</v>
      </c>
      <c r="Q3" s="231"/>
      <c r="R3" s="232"/>
      <c r="S3" s="226" t="e">
        <f>INDEX(PT_DIFFERENTIATION_NUM_TER,MATCH(B3,PT_DIFFERENTIATION_TER_ID,0))</f>
        <v>#N/A</v>
      </c>
      <c r="T3" s="233" t="s">
        <v>320</v>
      </c>
      <c r="U3" s="228"/>
      <c r="V3" s="995"/>
      <c r="W3" s="996"/>
      <c r="X3" s="996"/>
      <c r="Y3" s="996"/>
      <c r="Z3" s="996"/>
      <c r="AA3" s="996"/>
      <c r="AB3" s="997"/>
      <c r="AC3" s="995" t="e">
        <f>INDEX(PT_DIFFERENTIATION_TER,MATCH(B3,PT_DIFFERENTIATION_TER_ID,0))</f>
        <v>#N/A</v>
      </c>
      <c r="AD3" s="996"/>
      <c r="AE3" s="996"/>
      <c r="AF3" s="996"/>
      <c r="AG3" s="996"/>
      <c r="AH3" s="996"/>
      <c r="AI3" s="996"/>
      <c r="AJ3" s="997"/>
      <c r="AK3" s="230" t="s">
        <v>321</v>
      </c>
      <c r="AN3" s="29" t="str">
        <f t="shared" si="0"/>
        <v>Территория действия тарифа</v>
      </c>
      <c r="AQ3" s="3">
        <v>0</v>
      </c>
    </row>
    <row r="4" spans="5:43" ht="23.25" hidden="1" customHeight="1">
      <c r="E4" s="1001"/>
      <c r="F4" s="1001"/>
      <c r="G4" s="1000">
        <v>1</v>
      </c>
      <c r="Q4" s="231"/>
      <c r="R4" s="232"/>
      <c r="S4" s="226" t="e">
        <f>INDEX(PT_DIFFERENTIATION_NUM_CS,MATCH(C4,PT_DIFFERENTIATION_CS_ID,0))</f>
        <v>#N/A</v>
      </c>
      <c r="T4" s="234" t="s">
        <v>439</v>
      </c>
      <c r="U4" s="228"/>
      <c r="V4" s="995"/>
      <c r="W4" s="996"/>
      <c r="X4" s="996"/>
      <c r="Y4" s="996"/>
      <c r="Z4" s="996"/>
      <c r="AA4" s="996"/>
      <c r="AB4" s="997"/>
      <c r="AC4" s="995" t="e">
        <f>INDEX(PT_DIFFERENTIATION_CS,MATCH(C4,PT_DIFFERENTIATION_CS_ID,0))</f>
        <v>#N/A</v>
      </c>
      <c r="AD4" s="996"/>
      <c r="AE4" s="996"/>
      <c r="AF4" s="996"/>
      <c r="AG4" s="996"/>
      <c r="AH4" s="996"/>
      <c r="AI4" s="996"/>
      <c r="AJ4" s="997"/>
      <c r="AK4" s="230" t="s">
        <v>440</v>
      </c>
      <c r="AN4" s="29" t="str">
        <f t="shared" si="0"/>
        <v>Наименование централизованной системы водоотведения</v>
      </c>
      <c r="AQ4" s="3">
        <v>0</v>
      </c>
    </row>
    <row r="5" spans="5:43" ht="23.25" hidden="1" customHeight="1">
      <c r="E5" s="1001"/>
      <c r="F5" s="1001"/>
      <c r="G5" s="1001"/>
      <c r="H5" s="1001"/>
      <c r="I5" s="1002" t="e">
        <f>S4&amp;".1"</f>
        <v>#N/A</v>
      </c>
      <c r="P5" s="1004">
        <v>1</v>
      </c>
      <c r="R5" s="238"/>
      <c r="S5" s="226" t="e">
        <f>$I5</f>
        <v>#N/A</v>
      </c>
      <c r="T5" s="239" t="s">
        <v>406</v>
      </c>
      <c r="U5" s="228"/>
      <c r="V5" s="1068"/>
      <c r="W5" s="1069"/>
      <c r="X5" s="1069"/>
      <c r="Y5" s="1069"/>
      <c r="Z5" s="1069"/>
      <c r="AA5" s="1069"/>
      <c r="AB5" s="1070"/>
      <c r="AC5" s="1071"/>
      <c r="AD5" s="1072"/>
      <c r="AE5" s="1072"/>
      <c r="AF5" s="1072"/>
      <c r="AG5" s="1072"/>
      <c r="AH5" s="1072"/>
      <c r="AI5" s="1072"/>
      <c r="AJ5" s="1073"/>
      <c r="AK5" s="230" t="s">
        <v>407</v>
      </c>
      <c r="AN5" s="29" t="str">
        <f t="shared" si="0"/>
        <v>Наименование признака дифференциации</v>
      </c>
      <c r="AQ5" s="3">
        <v>0</v>
      </c>
    </row>
    <row r="6" spans="5:43" ht="23.25" hidden="1" customHeight="1">
      <c r="E6" s="1001"/>
      <c r="F6" s="1001"/>
      <c r="G6" s="1001"/>
      <c r="H6" s="1001"/>
      <c r="I6" s="1003"/>
      <c r="J6" s="1002" t="e">
        <f>I5&amp;".1"</f>
        <v>#N/A</v>
      </c>
      <c r="L6" s="237" t="s">
        <v>329</v>
      </c>
      <c r="P6" s="885"/>
      <c r="Q6" s="1004">
        <v>1</v>
      </c>
      <c r="R6" s="240"/>
      <c r="S6" s="226" t="e">
        <f>$J6</f>
        <v>#N/A</v>
      </c>
      <c r="T6" s="241" t="s">
        <v>330</v>
      </c>
      <c r="U6" s="228"/>
      <c r="V6" s="989"/>
      <c r="W6" s="990"/>
      <c r="X6" s="990"/>
      <c r="Y6" s="990"/>
      <c r="Z6" s="990"/>
      <c r="AA6" s="990"/>
      <c r="AB6" s="991"/>
      <c r="AC6" s="989"/>
      <c r="AD6" s="990"/>
      <c r="AE6" s="990"/>
      <c r="AF6" s="990"/>
      <c r="AG6" s="990"/>
      <c r="AH6" s="990"/>
      <c r="AI6" s="990"/>
      <c r="AJ6" s="991"/>
      <c r="AK6" s="317" t="s">
        <v>408</v>
      </c>
      <c r="AN6" s="29" t="str">
        <f t="shared" si="0"/>
        <v>Группа потребителей</v>
      </c>
      <c r="AQ6" s="3">
        <v>0</v>
      </c>
    </row>
    <row r="7" spans="5:43" ht="23.25" hidden="1" customHeight="1">
      <c r="E7" s="1001"/>
      <c r="F7" s="1001"/>
      <c r="G7" s="1001"/>
      <c r="H7" s="1001"/>
      <c r="I7" s="1003"/>
      <c r="J7" s="1003"/>
      <c r="K7" s="1002" t="e">
        <f>J6&amp;".1"</f>
        <v>#N/A</v>
      </c>
      <c r="P7" s="885"/>
      <c r="Q7" s="885"/>
      <c r="R7" s="240">
        <v>1</v>
      </c>
      <c r="S7" s="226" t="e">
        <f>$K7</f>
        <v>#N/A</v>
      </c>
      <c r="T7" s="357"/>
      <c r="U7" s="228"/>
      <c r="V7" s="243"/>
      <c r="W7" s="243"/>
      <c r="X7" s="245"/>
      <c r="Y7" s="1005"/>
      <c r="Z7" s="895" t="s">
        <v>17</v>
      </c>
      <c r="AA7" s="1005"/>
      <c r="AB7" s="895" t="s">
        <v>17</v>
      </c>
      <c r="AC7" s="243"/>
      <c r="AD7" s="243"/>
      <c r="AE7" s="245"/>
      <c r="AF7" s="1005"/>
      <c r="AG7" s="895" t="s">
        <v>17</v>
      </c>
      <c r="AH7" s="1007"/>
      <c r="AI7" s="895" t="s">
        <v>17</v>
      </c>
      <c r="AJ7" s="358"/>
      <c r="AK7" s="10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24" t="e">
        <f ca="1">STRCHECKDATE(V8:AJ8)</f>
        <v>#NAME?</v>
      </c>
      <c r="AN7" s="29" t="str">
        <f t="shared" si="0"/>
        <v/>
      </c>
      <c r="AQ7" s="3">
        <v>0</v>
      </c>
    </row>
    <row r="8" spans="5:43" ht="14.25" hidden="1" customHeight="1">
      <c r="E8" s="1001"/>
      <c r="F8" s="1001"/>
      <c r="G8" s="1001"/>
      <c r="H8" s="1001"/>
      <c r="I8" s="1003"/>
      <c r="J8" s="1003"/>
      <c r="K8" s="1002"/>
      <c r="P8" s="885"/>
      <c r="Q8" s="885"/>
      <c r="R8" s="240"/>
      <c r="S8" s="209"/>
      <c r="T8" s="228"/>
      <c r="U8" s="228"/>
      <c r="V8" s="244"/>
      <c r="W8" s="244"/>
      <c r="X8" s="247" t="str">
        <f>Y7&amp;"-"&amp;AA7</f>
        <v>-</v>
      </c>
      <c r="Y8" s="1006"/>
      <c r="Z8" s="895"/>
      <c r="AA8" s="1006"/>
      <c r="AB8" s="895"/>
      <c r="AC8" s="244"/>
      <c r="AD8" s="244"/>
      <c r="AE8" s="247" t="str">
        <f>AF7&amp;"-"&amp;AH7</f>
        <v>-</v>
      </c>
      <c r="AF8" s="1006"/>
      <c r="AG8" s="895"/>
      <c r="AH8" s="1008"/>
      <c r="AI8" s="895"/>
      <c r="AJ8" s="359"/>
      <c r="AK8" s="1074"/>
      <c r="AN8" s="29" t="str">
        <f t="shared" si="0"/>
        <v/>
      </c>
      <c r="AQ8" s="3">
        <v>0</v>
      </c>
    </row>
    <row r="9" spans="5:43" ht="21" hidden="1" customHeight="1">
      <c r="E9" s="1001"/>
      <c r="F9" s="1001"/>
      <c r="G9" s="1001"/>
      <c r="H9" s="1001"/>
      <c r="I9" s="1003"/>
      <c r="J9" s="1002"/>
      <c r="P9" s="885"/>
      <c r="Q9" s="885"/>
      <c r="R9" s="238"/>
      <c r="S9" s="249"/>
      <c r="T9" s="252" t="s">
        <v>409</v>
      </c>
      <c r="U9" s="54"/>
      <c r="V9" s="54"/>
      <c r="W9" s="54"/>
      <c r="X9" s="54"/>
      <c r="Y9" s="54"/>
      <c r="Z9" s="54"/>
      <c r="AA9" s="54"/>
      <c r="AB9" s="54"/>
      <c r="AC9" s="54"/>
      <c r="AD9" s="54"/>
      <c r="AE9" s="54"/>
      <c r="AF9" s="54"/>
      <c r="AG9" s="54"/>
      <c r="AH9" s="54"/>
      <c r="AI9" s="54"/>
      <c r="AJ9" s="54"/>
      <c r="AK9" s="230" t="s">
        <v>410</v>
      </c>
      <c r="AN9" s="29" t="str">
        <f t="shared" si="0"/>
        <v>Добавить значение признака дифференциации</v>
      </c>
      <c r="AQ9" s="3">
        <v>0</v>
      </c>
    </row>
    <row r="10" spans="5:43" ht="21" hidden="1" customHeight="1">
      <c r="E10" s="1001"/>
      <c r="F10" s="1001"/>
      <c r="G10" s="1001"/>
      <c r="H10" s="1001"/>
      <c r="I10" s="1002"/>
      <c r="P10" s="885"/>
      <c r="R10" s="238"/>
      <c r="S10" s="249"/>
      <c r="T10" s="255" t="s">
        <v>335</v>
      </c>
      <c r="U10" s="54"/>
      <c r="V10" s="54"/>
      <c r="W10" s="54"/>
      <c r="X10" s="54"/>
      <c r="Y10" s="54"/>
      <c r="Z10" s="54"/>
      <c r="AA10" s="54"/>
      <c r="AB10" s="253"/>
      <c r="AC10" s="54"/>
      <c r="AD10" s="54"/>
      <c r="AE10" s="54"/>
      <c r="AF10" s="54"/>
      <c r="AG10" s="54"/>
      <c r="AH10" s="54"/>
      <c r="AI10" s="253"/>
      <c r="AJ10" s="54"/>
      <c r="AK10" s="360"/>
      <c r="AN10" s="29" t="str">
        <f t="shared" si="0"/>
        <v>Добавить группу потребителей</v>
      </c>
      <c r="AQ10" s="3">
        <v>0</v>
      </c>
    </row>
    <row r="11" spans="5:43" ht="21" hidden="1" customHeight="1">
      <c r="E11" s="1001"/>
      <c r="F11" s="1001"/>
      <c r="G11" s="1001"/>
      <c r="H11" s="1000"/>
      <c r="R11" s="225"/>
      <c r="S11" s="249"/>
      <c r="T11" s="361" t="s">
        <v>411</v>
      </c>
      <c r="U11" s="54"/>
      <c r="V11" s="54"/>
      <c r="W11" s="54"/>
      <c r="X11" s="54"/>
      <c r="Y11" s="54"/>
      <c r="Z11" s="54"/>
      <c r="AA11" s="54"/>
      <c r="AB11" s="253"/>
      <c r="AC11" s="54"/>
      <c r="AD11" s="54"/>
      <c r="AE11" s="54"/>
      <c r="AF11" s="54"/>
      <c r="AG11" s="54"/>
      <c r="AH11" s="54"/>
      <c r="AI11" s="253"/>
      <c r="AJ11" s="54"/>
      <c r="AK11" s="254"/>
      <c r="AN11" s="29" t="str">
        <f t="shared" si="0"/>
        <v>Добавить наименование признака дифференциации</v>
      </c>
      <c r="AQ11" s="3">
        <v>0</v>
      </c>
    </row>
    <row r="12" spans="5:43" ht="14.25" hidden="1" customHeight="1">
      <c r="E12" s="1001"/>
      <c r="F12" s="1000"/>
      <c r="T12" s="260" t="s">
        <v>338</v>
      </c>
      <c r="AN12" s="29" t="str">
        <f t="shared" si="0"/>
        <v>Добавить централизованную систему для дифференциации</v>
      </c>
      <c r="AQ12" s="24">
        <v>0</v>
      </c>
    </row>
    <row r="13" spans="5:43" ht="14.25" hidden="1" customHeight="1">
      <c r="E13" s="1000"/>
      <c r="T13" s="260" t="s">
        <v>339</v>
      </c>
      <c r="AN13" s="29" t="str">
        <f t="shared" si="0"/>
        <v>Добавить территорию для дифференциации</v>
      </c>
      <c r="AQ13" s="24">
        <v>0</v>
      </c>
    </row>
    <row r="14" spans="5:43" ht="14.25" hidden="1" customHeight="1">
      <c r="AQ14" s="3">
        <v>0</v>
      </c>
    </row>
    <row r="15" spans="5:43" ht="14.25" hidden="1" customHeight="1">
      <c r="AC15" s="261"/>
      <c r="AD15" s="261"/>
      <c r="AE15" s="262"/>
      <c r="AF15" s="999"/>
      <c r="AG15" s="998" t="s">
        <v>17</v>
      </c>
      <c r="AH15" s="999"/>
      <c r="AI15" s="998" t="s">
        <v>17</v>
      </c>
      <c r="AQ15" s="3">
        <v>0</v>
      </c>
    </row>
    <row r="16" spans="5:43" ht="14.25" hidden="1" customHeight="1">
      <c r="AC16" s="261"/>
      <c r="AD16" s="261"/>
      <c r="AE16" s="247" t="str">
        <f>AF15&amp;"-"&amp;AH15</f>
        <v>-</v>
      </c>
      <c r="AF16" s="998"/>
      <c r="AG16" s="998"/>
      <c r="AH16" s="998"/>
      <c r="AI16" s="998"/>
      <c r="AQ16" s="3">
        <v>0</v>
      </c>
    </row>
    <row r="17" spans="15:43" ht="14.25" hidden="1" customHeight="1">
      <c r="AQ17" s="3">
        <v>0</v>
      </c>
    </row>
    <row r="18" spans="15:43" ht="22.5" hidden="1" customHeight="1">
      <c r="O18" s="263" t="s">
        <v>340</v>
      </c>
      <c r="Y18" s="263"/>
      <c r="AA18" s="263"/>
      <c r="AF18" s="263"/>
      <c r="AH18" s="263"/>
      <c r="AQ18" s="11">
        <v>0</v>
      </c>
    </row>
    <row r="19" spans="15:43" ht="14.25" hidden="1" customHeight="1">
      <c r="AQ19" s="11">
        <v>0</v>
      </c>
    </row>
    <row r="20" spans="15:43" ht="12" hidden="1" customHeight="1">
      <c r="O20" s="237" t="s">
        <v>341</v>
      </c>
      <c r="T20" s="11" t="s">
        <v>342</v>
      </c>
      <c r="Z20" s="60" t="s">
        <v>343</v>
      </c>
      <c r="AB20" s="60" t="s">
        <v>344</v>
      </c>
      <c r="AC20" s="11" t="s">
        <v>342</v>
      </c>
      <c r="AG20" s="60" t="s">
        <v>345</v>
      </c>
      <c r="AI20" s="60" t="s">
        <v>344</v>
      </c>
      <c r="AQ20" s="11">
        <v>0</v>
      </c>
    </row>
    <row r="21" spans="15:43" ht="14.25" hidden="1" customHeight="1">
      <c r="AQ21" s="3">
        <v>0</v>
      </c>
    </row>
    <row r="22" spans="15:43" ht="14.25" hidden="1" customHeight="1">
      <c r="AQ22" s="3">
        <v>0</v>
      </c>
    </row>
    <row r="23" spans="15:43" ht="14.65" customHeight="1">
      <c r="Q23" s="264"/>
      <c r="R23" s="264"/>
      <c r="S23" s="265"/>
      <c r="T23" s="12"/>
      <c r="U23" s="12"/>
      <c r="AQ23" s="3">
        <v>14</v>
      </c>
    </row>
    <row r="24" spans="15:43" ht="14.65" customHeight="1">
      <c r="Q24" s="264"/>
      <c r="R24" s="264"/>
      <c r="S24" s="98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982"/>
      <c r="U24" s="982"/>
      <c r="V24" s="982"/>
      <c r="W24" s="982"/>
      <c r="X24" s="982"/>
      <c r="Y24" s="982"/>
      <c r="Z24" s="982"/>
      <c r="AA24" s="982"/>
      <c r="AB24" s="982"/>
      <c r="AC24" s="982"/>
      <c r="AD24" s="982"/>
      <c r="AE24" s="982"/>
      <c r="AF24" s="982"/>
      <c r="AG24" s="982"/>
      <c r="AH24" s="982"/>
      <c r="AQ24" s="3">
        <v>14</v>
      </c>
    </row>
    <row r="25" spans="15:43" ht="14.65" customHeight="1">
      <c r="Q25" s="264"/>
      <c r="R25" s="264"/>
      <c r="S25" s="955" t="e">
        <f>IF(org=0,"Не определено",org)</f>
        <v>#REF!</v>
      </c>
      <c r="T25" s="955"/>
      <c r="U25" s="955"/>
      <c r="V25" s="955"/>
      <c r="W25" s="955"/>
      <c r="X25" s="955"/>
      <c r="Y25" s="955"/>
      <c r="Z25" s="955"/>
      <c r="AA25" s="955"/>
      <c r="AB25" s="955"/>
      <c r="AC25" s="955"/>
      <c r="AD25" s="955"/>
      <c r="AE25" s="955"/>
      <c r="AF25" s="955"/>
      <c r="AG25" s="955"/>
      <c r="AH25" s="955"/>
      <c r="AQ25" s="3">
        <v>14</v>
      </c>
    </row>
    <row r="26" spans="15:43" ht="14.25" hidden="1" customHeight="1">
      <c r="Q26" s="264"/>
      <c r="R26" s="264"/>
      <c r="S26" s="265"/>
      <c r="T26" s="12"/>
      <c r="U26" s="12"/>
      <c r="V26" s="266"/>
      <c r="W26" s="266"/>
      <c r="X26" s="266"/>
      <c r="Y26" s="266"/>
      <c r="Z26" s="266"/>
      <c r="AA26" s="266"/>
      <c r="AB26" s="266"/>
      <c r="AC26" s="266"/>
      <c r="AD26" s="266"/>
      <c r="AE26" s="266"/>
      <c r="AF26" s="266"/>
      <c r="AG26" s="266"/>
      <c r="AH26" s="266"/>
      <c r="AI26" s="266"/>
      <c r="AQ26" s="3">
        <v>0</v>
      </c>
    </row>
    <row r="27" spans="15:43" ht="25.5" hidden="1" customHeight="1">
      <c r="S27" s="992" t="s">
        <v>9</v>
      </c>
      <c r="T27" s="992"/>
      <c r="U27" s="268"/>
      <c r="V27" s="994" t="e">
        <f>IF(TITLE_NAME_OR_PR_CHANGE="",IF(TITLE_NAME_OR_PR="","",TITLE_NAME_OR_PR),TITLE_NAME_OR_PR_CHANGE)</f>
        <v>#REF!</v>
      </c>
      <c r="W27" s="994"/>
      <c r="X27" s="994"/>
      <c r="Y27" s="994"/>
      <c r="Z27" s="994"/>
      <c r="AA27" s="994"/>
      <c r="AC27" s="994" t="e">
        <f>IF(TITLE_NAME_OR_PR_CHANGE="",IF(TITLE_NAME_OR_PR="","",TITLE_NAME_OR_PR),TITLE_NAME_OR_PR_CHANGE)</f>
        <v>#REF!</v>
      </c>
      <c r="AD27" s="994"/>
      <c r="AE27" s="994"/>
      <c r="AF27" s="994"/>
      <c r="AG27" s="994"/>
      <c r="AH27" s="994"/>
      <c r="AQ27" s="50">
        <v>0</v>
      </c>
    </row>
    <row r="28" spans="15:43" ht="18.75" hidden="1" customHeight="1">
      <c r="S28" s="992" t="s">
        <v>346</v>
      </c>
      <c r="T28" s="992"/>
      <c r="U28" s="268"/>
      <c r="V28" s="993" t="e">
        <f>IF(TITLE_DATE_PR_CHANGE="",IF(TITLE_DATE_PR="","",TITLE_DATE_PR),TITLE_DATE_PR_CHANGE)</f>
        <v>#REF!</v>
      </c>
      <c r="W28" s="993"/>
      <c r="X28" s="993"/>
      <c r="Y28" s="993"/>
      <c r="Z28" s="993"/>
      <c r="AA28" s="993"/>
      <c r="AC28" s="993" t="e">
        <f>IF(TITLE_DATE_PR_CHANGE="",IF(TITLE_DATE_PR="","",TITLE_DATE_PR),TITLE_DATE_PR_CHANGE)</f>
        <v>#REF!</v>
      </c>
      <c r="AD28" s="993"/>
      <c r="AE28" s="993"/>
      <c r="AF28" s="993"/>
      <c r="AG28" s="993"/>
      <c r="AH28" s="993"/>
      <c r="AQ28" s="50">
        <v>0</v>
      </c>
    </row>
    <row r="29" spans="15:43" ht="18.75" hidden="1" customHeight="1">
      <c r="S29" s="992" t="s">
        <v>347</v>
      </c>
      <c r="T29" s="992"/>
      <c r="U29" s="268"/>
      <c r="V29" s="994" t="e">
        <f>IF(TITLE_NUMBER_PR_CHANGE="",IF(TITLE_NUMBER_PR="","",TITLE_NUMBER_PR),TITLE_NUMBER_PR_CHANGE)</f>
        <v>#REF!</v>
      </c>
      <c r="W29" s="994"/>
      <c r="X29" s="994"/>
      <c r="Y29" s="994"/>
      <c r="Z29" s="994"/>
      <c r="AA29" s="994"/>
      <c r="AC29" s="994" t="e">
        <f>IF(TITLE_NUMBER_PR_CHANGE="",IF(TITLE_NUMBER_PR="","",TITLE_NUMBER_PR),TITLE_NUMBER_PR_CHANGE)</f>
        <v>#REF!</v>
      </c>
      <c r="AD29" s="994"/>
      <c r="AE29" s="994"/>
      <c r="AF29" s="994"/>
      <c r="AG29" s="994"/>
      <c r="AH29" s="994"/>
      <c r="AQ29" s="50">
        <v>0</v>
      </c>
    </row>
    <row r="30" spans="15:43" ht="18.75" hidden="1" customHeight="1">
      <c r="S30" s="992" t="s">
        <v>10</v>
      </c>
      <c r="T30" s="992"/>
      <c r="U30" s="268"/>
      <c r="V30" s="994" t="e">
        <f>IF(TITLE_IST_PUB_CHANGE="",IF(TITLE_IST_PUB="","",TITLE_IST_PUB),TITLE_IST_PUB_CHANGE)</f>
        <v>#REF!</v>
      </c>
      <c r="W30" s="994"/>
      <c r="X30" s="994"/>
      <c r="Y30" s="994"/>
      <c r="Z30" s="994"/>
      <c r="AA30" s="994"/>
      <c r="AC30" s="994" t="e">
        <f>IF(TITLE_IST_PUB_CHANGE="",IF(TITLE_IST_PUB="","",TITLE_IST_PUB),TITLE_IST_PUB_CHANGE)</f>
        <v>#REF!</v>
      </c>
      <c r="AD30" s="994"/>
      <c r="AE30" s="994"/>
      <c r="AF30" s="994"/>
      <c r="AG30" s="994"/>
      <c r="AH30" s="994"/>
      <c r="AQ30" s="50">
        <v>0</v>
      </c>
    </row>
    <row r="31" spans="15:43" ht="14.25" hidden="1" customHeight="1">
      <c r="Q31" s="264"/>
      <c r="R31" s="264"/>
      <c r="S31" s="265"/>
      <c r="T31" s="12"/>
      <c r="U31" s="12"/>
      <c r="V31" s="266"/>
      <c r="W31" s="266"/>
      <c r="X31" s="266"/>
      <c r="Y31" s="266"/>
      <c r="Z31" s="266"/>
      <c r="AA31" s="266"/>
      <c r="AB31" s="266"/>
      <c r="AC31" s="266"/>
      <c r="AD31" s="266"/>
      <c r="AE31" s="266"/>
      <c r="AF31" s="266"/>
      <c r="AG31" s="266"/>
      <c r="AH31" s="266"/>
      <c r="AI31" s="266"/>
      <c r="AQ31" s="3">
        <v>0</v>
      </c>
    </row>
    <row r="32" spans="15:43" ht="18.75" hidden="1" customHeight="1">
      <c r="S32" s="992" t="s">
        <v>348</v>
      </c>
      <c r="T32" s="992"/>
      <c r="U32" s="268"/>
      <c r="V32" s="993" t="e">
        <f>IF(TITLE_DATE_PR_CHANGE="",IF(TITLE_DATE_PR="","",TITLE_DATE_PR),TITLE_DATE_PR_CHANGE)</f>
        <v>#REF!</v>
      </c>
      <c r="W32" s="993"/>
      <c r="X32" s="993"/>
      <c r="Y32" s="993"/>
      <c r="Z32" s="993"/>
      <c r="AA32" s="993"/>
      <c r="AC32" s="993" t="e">
        <f>IF(TITLE_DATE_PR_CHANGE="",IF(TITLE_DATE_PR="","",TITLE_DATE_PR),TITLE_DATE_PR_CHANGE)</f>
        <v>#REF!</v>
      </c>
      <c r="AD32" s="993"/>
      <c r="AE32" s="993"/>
      <c r="AF32" s="993"/>
      <c r="AG32" s="993"/>
      <c r="AH32" s="993"/>
      <c r="AQ32" s="50">
        <v>0</v>
      </c>
    </row>
    <row r="33" spans="1:43" ht="18.75" hidden="1" customHeight="1">
      <c r="S33" s="992" t="s">
        <v>349</v>
      </c>
      <c r="T33" s="992"/>
      <c r="U33" s="268"/>
      <c r="V33" s="994" t="e">
        <f>IF(TITLE_NUMBER_PR_CHANGE="",IF(TITLE_NUMBER_PR="","",TITLE_NUMBER_PR),TITLE_NUMBER_PR_CHANGE)</f>
        <v>#REF!</v>
      </c>
      <c r="W33" s="994"/>
      <c r="X33" s="994"/>
      <c r="Y33" s="994"/>
      <c r="Z33" s="994"/>
      <c r="AA33" s="994"/>
      <c r="AC33" s="994" t="e">
        <f>IF(TITLE_NUMBER_PR_CHANGE="",IF(TITLE_NUMBER_PR="","",TITLE_NUMBER_PR),TITLE_NUMBER_PR_CHANGE)</f>
        <v>#REF!</v>
      </c>
      <c r="AD33" s="994"/>
      <c r="AE33" s="994"/>
      <c r="AF33" s="994"/>
      <c r="AG33" s="994"/>
      <c r="AH33" s="994"/>
      <c r="AQ33" s="50">
        <v>0</v>
      </c>
    </row>
    <row r="34" spans="1:43" ht="1.1499999999999999" customHeight="1">
      <c r="AB34" s="24" t="s">
        <v>350</v>
      </c>
      <c r="AI34" s="24" t="s">
        <v>350</v>
      </c>
      <c r="AQ34" s="50">
        <v>1</v>
      </c>
    </row>
    <row r="35" spans="1:43" ht="14.65" customHeight="1">
      <c r="Q35" s="264"/>
      <c r="R35" s="264"/>
      <c r="S35" s="265"/>
      <c r="T35" s="12"/>
      <c r="U35" s="270"/>
      <c r="V35" s="1012"/>
      <c r="W35" s="1012"/>
      <c r="X35" s="1012"/>
      <c r="Y35" s="1012"/>
      <c r="Z35" s="1012"/>
      <c r="AA35" s="1012"/>
      <c r="AB35" s="1012"/>
      <c r="AC35" s="1012"/>
      <c r="AD35" s="1012"/>
      <c r="AE35" s="1012"/>
      <c r="AF35" s="1012"/>
      <c r="AG35" s="1012"/>
      <c r="AH35" s="1012"/>
      <c r="AI35" s="1012"/>
      <c r="AQ35" s="3">
        <v>14</v>
      </c>
    </row>
    <row r="36" spans="1:43" ht="14.65" customHeight="1">
      <c r="Q36" s="264"/>
      <c r="R36" s="264"/>
      <c r="S36" s="894" t="s">
        <v>223</v>
      </c>
      <c r="T36" s="894"/>
      <c r="U36" s="894"/>
      <c r="V36" s="894"/>
      <c r="W36" s="894"/>
      <c r="X36" s="894"/>
      <c r="Y36" s="894"/>
      <c r="Z36" s="894"/>
      <c r="AA36" s="894"/>
      <c r="AB36" s="894"/>
      <c r="AC36" s="894"/>
      <c r="AD36" s="894"/>
      <c r="AE36" s="894"/>
      <c r="AF36" s="894"/>
      <c r="AG36" s="894"/>
      <c r="AH36" s="894"/>
      <c r="AI36" s="894"/>
      <c r="AJ36" s="894"/>
      <c r="AK36" s="894" t="s">
        <v>224</v>
      </c>
      <c r="AQ36" s="3">
        <v>14</v>
      </c>
    </row>
    <row r="37" spans="1:43" ht="14.65" customHeight="1">
      <c r="Q37" s="264"/>
      <c r="R37" s="264"/>
      <c r="S37" s="1013" t="s">
        <v>24</v>
      </c>
      <c r="T37" s="962" t="s">
        <v>351</v>
      </c>
      <c r="U37" s="272"/>
      <c r="V37" s="1014" t="s">
        <v>352</v>
      </c>
      <c r="W37" s="1015"/>
      <c r="X37" s="1015"/>
      <c r="Y37" s="1015"/>
      <c r="Z37" s="1015"/>
      <c r="AA37" s="1016"/>
      <c r="AB37" s="1017" t="s">
        <v>353</v>
      </c>
      <c r="AC37" s="1014" t="s">
        <v>352</v>
      </c>
      <c r="AD37" s="1015"/>
      <c r="AE37" s="1015"/>
      <c r="AF37" s="1015"/>
      <c r="AG37" s="1015"/>
      <c r="AH37" s="1016"/>
      <c r="AI37" s="1017" t="s">
        <v>354</v>
      </c>
      <c r="AJ37" s="1020" t="s">
        <v>355</v>
      </c>
      <c r="AK37" s="894"/>
      <c r="AQ37" s="3">
        <v>14</v>
      </c>
    </row>
    <row r="38" spans="1:43" ht="35.65" customHeight="1">
      <c r="Q38" s="264"/>
      <c r="R38" s="264"/>
      <c r="S38" s="1013"/>
      <c r="T38" s="962"/>
      <c r="U38" s="274"/>
      <c r="V38" s="92" t="s">
        <v>412</v>
      </c>
      <c r="W38" s="887" t="s">
        <v>358</v>
      </c>
      <c r="X38" s="886"/>
      <c r="Y38" s="887" t="s">
        <v>359</v>
      </c>
      <c r="Z38" s="890"/>
      <c r="AA38" s="886"/>
      <c r="AB38" s="1018"/>
      <c r="AC38" s="92" t="s">
        <v>412</v>
      </c>
      <c r="AD38" s="887" t="s">
        <v>358</v>
      </c>
      <c r="AE38" s="886"/>
      <c r="AF38" s="887" t="s">
        <v>359</v>
      </c>
      <c r="AG38" s="890"/>
      <c r="AH38" s="886"/>
      <c r="AI38" s="1018"/>
      <c r="AJ38" s="1021"/>
      <c r="AK38" s="894"/>
      <c r="AQ38" s="3">
        <v>34</v>
      </c>
    </row>
    <row r="39" spans="1:43" ht="90.4" customHeight="1">
      <c r="B39" s="60" t="s">
        <v>60</v>
      </c>
      <c r="C39" s="60" t="s">
        <v>61</v>
      </c>
      <c r="D39" s="60" t="s">
        <v>62</v>
      </c>
      <c r="E39" s="237" t="s">
        <v>360</v>
      </c>
      <c r="F39" s="237" t="s">
        <v>361</v>
      </c>
      <c r="G39" s="237" t="s">
        <v>362</v>
      </c>
      <c r="I39" s="237" t="s">
        <v>413</v>
      </c>
      <c r="J39" s="237" t="s">
        <v>365</v>
      </c>
      <c r="K39" s="237" t="s">
        <v>414</v>
      </c>
      <c r="L39" s="237" t="s">
        <v>341</v>
      </c>
      <c r="Q39" s="264"/>
      <c r="R39" s="264"/>
      <c r="S39" s="1013"/>
      <c r="T39" s="962"/>
      <c r="U39" s="275"/>
      <c r="V39" s="92" t="s">
        <v>441</v>
      </c>
      <c r="W39" s="65" t="s">
        <v>442</v>
      </c>
      <c r="X39" s="65" t="s">
        <v>417</v>
      </c>
      <c r="Y39" s="65" t="s">
        <v>369</v>
      </c>
      <c r="Z39" s="967" t="s">
        <v>370</v>
      </c>
      <c r="AA39" s="981"/>
      <c r="AB39" s="1019"/>
      <c r="AC39" s="92" t="s">
        <v>441</v>
      </c>
      <c r="AD39" s="65" t="s">
        <v>442</v>
      </c>
      <c r="AE39" s="65" t="s">
        <v>417</v>
      </c>
      <c r="AF39" s="65" t="s">
        <v>369</v>
      </c>
      <c r="AG39" s="967" t="s">
        <v>370</v>
      </c>
      <c r="AH39" s="981"/>
      <c r="AI39" s="1019"/>
      <c r="AJ39" s="1022"/>
      <c r="AK39" s="894"/>
      <c r="AQ39" s="3">
        <v>86</v>
      </c>
    </row>
    <row r="40" spans="1:43" ht="11.25" hidden="1" customHeight="1">
      <c r="Q40" s="278"/>
      <c r="R40" s="279">
        <v>1</v>
      </c>
      <c r="S40" s="280" t="s">
        <v>31</v>
      </c>
      <c r="T40" s="281" t="s">
        <v>39</v>
      </c>
      <c r="U40" s="282" t="str">
        <f ca="1">OFFSET(U40,0,-1)</f>
        <v>2</v>
      </c>
      <c r="V40" s="283">
        <f ca="1">OFFSET(V40,0,-1)+1</f>
        <v>3</v>
      </c>
      <c r="W40" s="283">
        <f ca="1">OFFSET(W40,0,-1)+1</f>
        <v>4</v>
      </c>
      <c r="X40" s="283">
        <f ca="1">OFFSET(X40,0,-1)+1</f>
        <v>5</v>
      </c>
      <c r="Y40" s="283">
        <f ca="1">OFFSET(Y40,0,-1)+1</f>
        <v>6</v>
      </c>
      <c r="Z40" s="1011">
        <f ca="1">OFFSET(Z40,0,-1)+1</f>
        <v>7</v>
      </c>
      <c r="AA40" s="1011"/>
      <c r="AB40" s="283">
        <f ca="1">OFFSET(AB40,0,-2)+1</f>
        <v>8</v>
      </c>
      <c r="AC40" s="283">
        <f ca="1">OFFSET(AC40,0,-1)+1</f>
        <v>9</v>
      </c>
      <c r="AD40" s="283">
        <f ca="1">OFFSET(AD40,0,-1)+1</f>
        <v>10</v>
      </c>
      <c r="AE40" s="283">
        <f ca="1">OFFSET(AE40,0,-1)+1</f>
        <v>11</v>
      </c>
      <c r="AF40" s="283">
        <f ca="1">OFFSET(AF40,0,-1)+1</f>
        <v>12</v>
      </c>
      <c r="AG40" s="1011">
        <f ca="1">OFFSET(AG40,0,-1)+1</f>
        <v>13</v>
      </c>
      <c r="AH40" s="1011"/>
      <c r="AI40" s="283">
        <f ca="1">OFFSET(AI40,0,-2)+1</f>
        <v>14</v>
      </c>
      <c r="AJ40" s="282">
        <f ca="1">OFFSET(AJ40,0,-1)</f>
        <v>14</v>
      </c>
      <c r="AK40" s="283">
        <f ca="1">OFFSET(AK40,0,-1)+1</f>
        <v>15</v>
      </c>
      <c r="AQ40" s="189">
        <v>0</v>
      </c>
    </row>
    <row r="41" spans="1:43" ht="24" customHeight="1">
      <c r="A41" s="284" t="s">
        <v>189</v>
      </c>
      <c r="E41" s="1000">
        <v>1</v>
      </c>
      <c r="R41" s="225"/>
      <c r="S41" s="226">
        <f>INDEX(PT_DIFFERENTIATION_NUM_NTAR,MATCH(A41,PT_DIFFERENTIATION_NTAR_ID,0))</f>
        <v>0</v>
      </c>
      <c r="T41" s="227" t="s">
        <v>48</v>
      </c>
      <c r="U41" s="228"/>
      <c r="V41" s="995"/>
      <c r="W41" s="996"/>
      <c r="X41" s="996"/>
      <c r="Y41" s="996"/>
      <c r="Z41" s="996"/>
      <c r="AA41" s="996"/>
      <c r="AB41" s="997"/>
      <c r="AC41" s="995" t="str">
        <f>INDEX(PT_DIFFERENTIATION_NTAR,MATCH(A41,PT_DIFFERENTIATION_NTAR_ID,0))</f>
        <v/>
      </c>
      <c r="AD41" s="996"/>
      <c r="AE41" s="996"/>
      <c r="AF41" s="996"/>
      <c r="AG41" s="996"/>
      <c r="AH41" s="996"/>
      <c r="AI41" s="996"/>
      <c r="AJ41" s="997"/>
      <c r="AK41"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41" s="29" t="str">
        <f t="shared" ref="AN41:AN53" si="1">IF(T41="","",T41)</f>
        <v>Наименование тарифа</v>
      </c>
      <c r="AQ41" s="3">
        <v>23</v>
      </c>
    </row>
    <row r="42" spans="1:43" ht="24" customHeight="1">
      <c r="A42" s="284" t="s">
        <v>189</v>
      </c>
      <c r="B42" s="284" t="s">
        <v>190</v>
      </c>
      <c r="E42" s="1001"/>
      <c r="F42" s="1000">
        <v>1</v>
      </c>
      <c r="Q42" s="231"/>
      <c r="R42" s="232"/>
      <c r="S42" s="226" t="str">
        <f>INDEX(PT_DIFFERENTIATION_NUM_TER,MATCH(B42,PT_DIFFERENTIATION_TER_ID,0))</f>
        <v>.</v>
      </c>
      <c r="T42" s="233" t="s">
        <v>320</v>
      </c>
      <c r="U42" s="228"/>
      <c r="V42" s="995"/>
      <c r="W42" s="996"/>
      <c r="X42" s="996"/>
      <c r="Y42" s="996"/>
      <c r="Z42" s="996"/>
      <c r="AA42" s="996"/>
      <c r="AB42" s="997"/>
      <c r="AC42" s="995" t="str">
        <f>INDEX(PT_DIFFERENTIATION_TER,MATCH(B42,PT_DIFFERENTIATION_TER_ID,0))</f>
        <v/>
      </c>
      <c r="AD42" s="996"/>
      <c r="AE42" s="996"/>
      <c r="AF42" s="996"/>
      <c r="AG42" s="996"/>
      <c r="AH42" s="996"/>
      <c r="AI42" s="996"/>
      <c r="AJ42" s="997"/>
      <c r="AK42" s="230" t="s">
        <v>321</v>
      </c>
      <c r="AN42" s="29" t="str">
        <f t="shared" si="1"/>
        <v>Территория действия тарифа</v>
      </c>
      <c r="AQ42" s="3">
        <v>23</v>
      </c>
    </row>
    <row r="43" spans="1:43" ht="24" customHeight="1">
      <c r="A43" s="284" t="s">
        <v>189</v>
      </c>
      <c r="B43" s="284" t="s">
        <v>190</v>
      </c>
      <c r="C43" s="284" t="s">
        <v>191</v>
      </c>
      <c r="E43" s="1001"/>
      <c r="F43" s="1001"/>
      <c r="G43" s="1000">
        <v>1</v>
      </c>
      <c r="Q43" s="231"/>
      <c r="R43" s="232"/>
      <c r="S43" s="226" t="str">
        <f>INDEX(PT_DIFFERENTIATION_NUM_CS,MATCH(C43,PT_DIFFERENTIATION_CS_ID,0))</f>
        <v>..</v>
      </c>
      <c r="T43" s="234" t="s">
        <v>439</v>
      </c>
      <c r="U43" s="228"/>
      <c r="V43" s="995"/>
      <c r="W43" s="996"/>
      <c r="X43" s="996"/>
      <c r="Y43" s="996"/>
      <c r="Z43" s="996"/>
      <c r="AA43" s="996"/>
      <c r="AB43" s="997"/>
      <c r="AC43" s="995" t="str">
        <f>INDEX(PT_DIFFERENTIATION_CS,MATCH(C43,PT_DIFFERENTIATION_CS_ID,0))</f>
        <v/>
      </c>
      <c r="AD43" s="996"/>
      <c r="AE43" s="996"/>
      <c r="AF43" s="996"/>
      <c r="AG43" s="996"/>
      <c r="AH43" s="996"/>
      <c r="AI43" s="996"/>
      <c r="AJ43" s="997"/>
      <c r="AK43" s="230" t="s">
        <v>440</v>
      </c>
      <c r="AN43" s="29" t="str">
        <f t="shared" si="1"/>
        <v>Наименование централизованной системы водоотведения</v>
      </c>
      <c r="AQ43" s="3">
        <v>23</v>
      </c>
    </row>
    <row r="44" spans="1:43" ht="24" customHeight="1">
      <c r="A44" s="284" t="s">
        <v>189</v>
      </c>
      <c r="B44" s="284" t="s">
        <v>190</v>
      </c>
      <c r="C44" s="284" t="s">
        <v>191</v>
      </c>
      <c r="D44" s="284" t="s">
        <v>443</v>
      </c>
      <c r="E44" s="1001"/>
      <c r="F44" s="1001"/>
      <c r="G44" s="1001"/>
      <c r="H44" s="1001"/>
      <c r="I44" s="1002" t="str">
        <f>S43&amp;".1"</f>
        <v>...1</v>
      </c>
      <c r="P44" s="1004">
        <v>1</v>
      </c>
      <c r="R44" s="238"/>
      <c r="S44" s="226" t="str">
        <f>$I44</f>
        <v>...1</v>
      </c>
      <c r="T44" s="239" t="s">
        <v>406</v>
      </c>
      <c r="U44" s="228"/>
      <c r="V44" s="1068"/>
      <c r="W44" s="1069"/>
      <c r="X44" s="1069"/>
      <c r="Y44" s="1069"/>
      <c r="Z44" s="1069"/>
      <c r="AA44" s="1069"/>
      <c r="AB44" s="1070"/>
      <c r="AC44" s="1071"/>
      <c r="AD44" s="1072"/>
      <c r="AE44" s="1072"/>
      <c r="AF44" s="1072"/>
      <c r="AG44" s="1072"/>
      <c r="AH44" s="1072"/>
      <c r="AI44" s="1072"/>
      <c r="AJ44" s="1073"/>
      <c r="AK44" s="230" t="s">
        <v>407</v>
      </c>
      <c r="AN44" s="29" t="str">
        <f t="shared" si="1"/>
        <v>Наименование признака дифференциации</v>
      </c>
      <c r="AQ44" s="3">
        <v>23</v>
      </c>
    </row>
    <row r="45" spans="1:43" ht="24" customHeight="1">
      <c r="A45" s="284" t="s">
        <v>189</v>
      </c>
      <c r="B45" s="284" t="s">
        <v>190</v>
      </c>
      <c r="C45" s="284" t="s">
        <v>191</v>
      </c>
      <c r="D45" s="284" t="s">
        <v>443</v>
      </c>
      <c r="E45" s="1001"/>
      <c r="F45" s="1001"/>
      <c r="G45" s="1001"/>
      <c r="H45" s="1001"/>
      <c r="I45" s="1003"/>
      <c r="J45" s="1002" t="str">
        <f>I44&amp;".1"</f>
        <v>...1.1</v>
      </c>
      <c r="L45" s="237" t="s">
        <v>329</v>
      </c>
      <c r="P45" s="885"/>
      <c r="Q45" s="1004">
        <v>1</v>
      </c>
      <c r="R45" s="240"/>
      <c r="S45" s="226" t="str">
        <f>$J45</f>
        <v>...1.1</v>
      </c>
      <c r="T45" s="241" t="s">
        <v>330</v>
      </c>
      <c r="U45" s="228"/>
      <c r="V45" s="989"/>
      <c r="W45" s="990"/>
      <c r="X45" s="990"/>
      <c r="Y45" s="990"/>
      <c r="Z45" s="990"/>
      <c r="AA45" s="990"/>
      <c r="AB45" s="991"/>
      <c r="AC45" s="989"/>
      <c r="AD45" s="990"/>
      <c r="AE45" s="990"/>
      <c r="AF45" s="990"/>
      <c r="AG45" s="990"/>
      <c r="AH45" s="990"/>
      <c r="AI45" s="990"/>
      <c r="AJ45" s="991"/>
      <c r="AK45" s="317" t="s">
        <v>408</v>
      </c>
      <c r="AN45" s="29" t="str">
        <f t="shared" si="1"/>
        <v>Группа потребителей</v>
      </c>
      <c r="AQ45" s="3">
        <v>23</v>
      </c>
    </row>
    <row r="46" spans="1:43" ht="24" customHeight="1">
      <c r="A46" s="284" t="s">
        <v>189</v>
      </c>
      <c r="B46" s="284" t="s">
        <v>190</v>
      </c>
      <c r="C46" s="284" t="s">
        <v>191</v>
      </c>
      <c r="D46" s="284" t="s">
        <v>443</v>
      </c>
      <c r="E46" s="1001"/>
      <c r="F46" s="1001"/>
      <c r="G46" s="1001"/>
      <c r="H46" s="1001"/>
      <c r="I46" s="1003"/>
      <c r="J46" s="1003"/>
      <c r="K46" s="1002" t="str">
        <f>J45&amp;".1"</f>
        <v>...1.1.1</v>
      </c>
      <c r="P46" s="885"/>
      <c r="Q46" s="885"/>
      <c r="R46" s="240">
        <v>1</v>
      </c>
      <c r="S46" s="226" t="str">
        <f>$K46</f>
        <v>...1.1.1</v>
      </c>
      <c r="T46" s="357"/>
      <c r="U46" s="228"/>
      <c r="V46" s="261"/>
      <c r="W46" s="261"/>
      <c r="X46" s="262"/>
      <c r="Y46" s="999"/>
      <c r="Z46" s="998" t="s">
        <v>17</v>
      </c>
      <c r="AA46" s="999"/>
      <c r="AB46" s="998" t="s">
        <v>17</v>
      </c>
      <c r="AC46" s="243"/>
      <c r="AD46" s="243"/>
      <c r="AE46" s="245"/>
      <c r="AF46" s="1005"/>
      <c r="AG46" s="895" t="s">
        <v>17</v>
      </c>
      <c r="AH46" s="1007"/>
      <c r="AI46" s="895" t="s">
        <v>3</v>
      </c>
      <c r="AJ46" s="358"/>
      <c r="AK46" s="10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24" t="e">
        <f ca="1">STRCHECKDATE(V47:AJ47)</f>
        <v>#NAME?</v>
      </c>
      <c r="AN46" s="29" t="str">
        <f t="shared" si="1"/>
        <v/>
      </c>
      <c r="AQ46" s="3">
        <v>23</v>
      </c>
    </row>
    <row r="47" spans="1:43" ht="0" hidden="1" customHeight="1">
      <c r="A47" s="284" t="s">
        <v>189</v>
      </c>
      <c r="B47" s="284" t="s">
        <v>190</v>
      </c>
      <c r="C47" s="284" t="s">
        <v>191</v>
      </c>
      <c r="D47" s="284" t="s">
        <v>443</v>
      </c>
      <c r="E47" s="1001"/>
      <c r="F47" s="1001"/>
      <c r="G47" s="1001"/>
      <c r="H47" s="1001"/>
      <c r="I47" s="1003"/>
      <c r="J47" s="1003"/>
      <c r="K47" s="1002"/>
      <c r="P47" s="885"/>
      <c r="Q47" s="885"/>
      <c r="R47" s="240"/>
      <c r="S47" s="209"/>
      <c r="T47" s="228"/>
      <c r="U47" s="228"/>
      <c r="V47" s="261"/>
      <c r="W47" s="261"/>
      <c r="X47" s="247" t="str">
        <f>Y46&amp;"-"&amp;AA46</f>
        <v>-</v>
      </c>
      <c r="Y47" s="998"/>
      <c r="Z47" s="998"/>
      <c r="AA47" s="998"/>
      <c r="AB47" s="998"/>
      <c r="AC47" s="244"/>
      <c r="AD47" s="244"/>
      <c r="AE47" s="247" t="str">
        <f>AF46&amp;"-"&amp;AH46</f>
        <v>-</v>
      </c>
      <c r="AF47" s="1006"/>
      <c r="AG47" s="895"/>
      <c r="AH47" s="1008"/>
      <c r="AI47" s="895"/>
      <c r="AJ47" s="359"/>
      <c r="AK47" s="1074"/>
      <c r="AN47" s="29" t="str">
        <f t="shared" si="1"/>
        <v/>
      </c>
      <c r="AQ47" s="3">
        <v>0</v>
      </c>
    </row>
    <row r="48" spans="1:43" ht="21" customHeight="1">
      <c r="A48" s="284" t="s">
        <v>189</v>
      </c>
      <c r="B48" s="284" t="s">
        <v>190</v>
      </c>
      <c r="C48" s="284" t="s">
        <v>191</v>
      </c>
      <c r="D48" s="284" t="s">
        <v>443</v>
      </c>
      <c r="E48" s="1001"/>
      <c r="F48" s="1001"/>
      <c r="G48" s="1001"/>
      <c r="H48" s="1001"/>
      <c r="I48" s="1003"/>
      <c r="J48" s="1002"/>
      <c r="P48" s="885"/>
      <c r="Q48" s="885"/>
      <c r="R48" s="238"/>
      <c r="S48" s="249"/>
      <c r="T48" s="252" t="s">
        <v>409</v>
      </c>
      <c r="U48" s="54"/>
      <c r="V48" s="54"/>
      <c r="W48" s="54"/>
      <c r="X48" s="54"/>
      <c r="Y48" s="54"/>
      <c r="Z48" s="54"/>
      <c r="AA48" s="54"/>
      <c r="AB48" s="54"/>
      <c r="AC48" s="54"/>
      <c r="AD48" s="54"/>
      <c r="AE48" s="54"/>
      <c r="AF48" s="54"/>
      <c r="AG48" s="54"/>
      <c r="AH48" s="54"/>
      <c r="AI48" s="54"/>
      <c r="AJ48" s="54"/>
      <c r="AK48" s="230" t="s">
        <v>410</v>
      </c>
      <c r="AN48" s="29" t="str">
        <f t="shared" si="1"/>
        <v>Добавить значение признака дифференциации</v>
      </c>
      <c r="AQ48" s="3">
        <v>20</v>
      </c>
    </row>
    <row r="49" spans="1:43" ht="21.95" customHeight="1">
      <c r="A49" s="284" t="s">
        <v>189</v>
      </c>
      <c r="B49" s="284" t="s">
        <v>190</v>
      </c>
      <c r="C49" s="284" t="s">
        <v>191</v>
      </c>
      <c r="D49" s="284" t="s">
        <v>443</v>
      </c>
      <c r="E49" s="1001"/>
      <c r="F49" s="1001"/>
      <c r="G49" s="1001"/>
      <c r="H49" s="1001"/>
      <c r="I49" s="1002"/>
      <c r="P49" s="885"/>
      <c r="R49" s="238"/>
      <c r="S49" s="249"/>
      <c r="T49" s="255" t="s">
        <v>335</v>
      </c>
      <c r="U49" s="54"/>
      <c r="V49" s="54"/>
      <c r="W49" s="54"/>
      <c r="X49" s="54"/>
      <c r="Y49" s="54"/>
      <c r="Z49" s="54"/>
      <c r="AA49" s="54"/>
      <c r="AB49" s="253"/>
      <c r="AC49" s="54"/>
      <c r="AD49" s="54"/>
      <c r="AE49" s="54"/>
      <c r="AF49" s="54"/>
      <c r="AG49" s="54"/>
      <c r="AH49" s="54"/>
      <c r="AI49" s="253"/>
      <c r="AJ49" s="54"/>
      <c r="AK49" s="360"/>
      <c r="AN49" s="29" t="str">
        <f t="shared" si="1"/>
        <v>Добавить группу потребителей</v>
      </c>
      <c r="AQ49" s="3">
        <v>21</v>
      </c>
    </row>
    <row r="50" spans="1:43" ht="21.95" customHeight="1">
      <c r="A50" s="284" t="s">
        <v>189</v>
      </c>
      <c r="B50" s="284" t="s">
        <v>190</v>
      </c>
      <c r="C50" s="284" t="s">
        <v>191</v>
      </c>
      <c r="D50" s="284" t="s">
        <v>443</v>
      </c>
      <c r="E50" s="1001"/>
      <c r="F50" s="1001"/>
      <c r="G50" s="1001"/>
      <c r="H50" s="1000"/>
      <c r="R50" s="225"/>
      <c r="S50" s="249"/>
      <c r="T50" s="361" t="s">
        <v>411</v>
      </c>
      <c r="U50" s="54"/>
      <c r="V50" s="54"/>
      <c r="W50" s="54"/>
      <c r="X50" s="54"/>
      <c r="Y50" s="54"/>
      <c r="Z50" s="54"/>
      <c r="AA50" s="54"/>
      <c r="AB50" s="253"/>
      <c r="AC50" s="54"/>
      <c r="AD50" s="54"/>
      <c r="AE50" s="54"/>
      <c r="AF50" s="54"/>
      <c r="AG50" s="54"/>
      <c r="AH50" s="54"/>
      <c r="AI50" s="253"/>
      <c r="AJ50" s="54"/>
      <c r="AK50" s="254"/>
      <c r="AN50" s="29" t="str">
        <f t="shared" si="1"/>
        <v>Добавить наименование признака дифференциации</v>
      </c>
      <c r="AQ50" s="3">
        <v>21</v>
      </c>
    </row>
    <row r="51" spans="1:43" ht="0" hidden="1" customHeight="1">
      <c r="A51" s="21" t="s">
        <v>189</v>
      </c>
      <c r="B51" s="21" t="s">
        <v>190</v>
      </c>
      <c r="E51" s="1001"/>
      <c r="F51" s="1000"/>
      <c r="T51" s="260" t="s">
        <v>338</v>
      </c>
      <c r="AN51" s="29" t="str">
        <f t="shared" si="1"/>
        <v>Добавить централизованную систему для дифференциации</v>
      </c>
      <c r="AQ51" s="24">
        <v>0</v>
      </c>
    </row>
    <row r="52" spans="1:43" ht="0" hidden="1" customHeight="1">
      <c r="A52" s="21" t="s">
        <v>189</v>
      </c>
      <c r="E52" s="1000"/>
      <c r="T52" s="260" t="s">
        <v>339</v>
      </c>
      <c r="AN52" s="29" t="str">
        <f t="shared" si="1"/>
        <v>Добавить территорию для дифференциации</v>
      </c>
      <c r="AQ52" s="24">
        <v>0</v>
      </c>
    </row>
    <row r="53" spans="1:43" ht="0" hidden="1" customHeight="1">
      <c r="T53" s="260" t="s">
        <v>371</v>
      </c>
      <c r="AN53" s="29" t="str">
        <f t="shared" si="1"/>
        <v>Добавить наименование тарифа</v>
      </c>
      <c r="AQ53" s="24">
        <v>0</v>
      </c>
    </row>
    <row r="54" spans="1:43" ht="11.45" customHeight="1">
      <c r="AQ54" s="3">
        <v>11</v>
      </c>
    </row>
    <row r="55" spans="1:43" ht="14.65" customHeight="1">
      <c r="T55" s="885"/>
      <c r="U55" s="885"/>
      <c r="V55" s="885"/>
      <c r="W55" s="885"/>
      <c r="X55" s="885"/>
      <c r="Y55" s="885"/>
      <c r="Z55" s="885"/>
      <c r="AA55" s="885"/>
      <c r="AB55" s="885"/>
      <c r="AC55" s="885"/>
      <c r="AD55" s="885"/>
      <c r="AE55" s="885"/>
      <c r="AF55" s="885"/>
      <c r="AG55" s="885"/>
      <c r="AH55" s="885"/>
      <c r="AI55" s="885"/>
      <c r="AJ55" s="885"/>
      <c r="AK55" s="885"/>
      <c r="AQ55" s="3">
        <v>14</v>
      </c>
    </row>
    <row r="56" spans="1:43" ht="14.65" customHeight="1">
      <c r="AQ56" s="3">
        <v>14</v>
      </c>
    </row>
    <row r="57" spans="1:43" ht="14.65" customHeight="1">
      <c r="T57" s="885"/>
      <c r="U57" s="885"/>
      <c r="V57" s="885"/>
      <c r="W57" s="885"/>
      <c r="X57" s="885"/>
      <c r="Y57" s="885"/>
      <c r="Z57" s="885"/>
      <c r="AA57" s="885"/>
      <c r="AB57" s="885"/>
      <c r="AC57" s="885"/>
      <c r="AD57" s="885"/>
      <c r="AE57" s="885"/>
      <c r="AF57" s="885"/>
      <c r="AG57" s="885"/>
      <c r="AH57" s="885"/>
      <c r="AI57" s="885"/>
      <c r="AJ57" s="885"/>
      <c r="AK57" s="885"/>
      <c r="AQ57" s="3">
        <v>14</v>
      </c>
    </row>
    <row r="58" spans="1:43" ht="22.5" hidden="1" customHeight="1">
      <c r="A58" s="11" t="s">
        <v>18</v>
      </c>
      <c r="B58" s="11">
        <v>0</v>
      </c>
      <c r="C58" s="11">
        <v>0</v>
      </c>
      <c r="D58" s="11">
        <v>0</v>
      </c>
      <c r="E58" s="11">
        <v>0</v>
      </c>
      <c r="F58" s="11">
        <v>0</v>
      </c>
      <c r="G58" s="11">
        <v>0</v>
      </c>
      <c r="H58" s="11">
        <v>0</v>
      </c>
      <c r="I58" s="11">
        <v>0</v>
      </c>
      <c r="J58" s="11">
        <v>0</v>
      </c>
      <c r="K58" s="11">
        <v>0</v>
      </c>
      <c r="L58" s="171">
        <v>0</v>
      </c>
      <c r="M58" s="13">
        <v>0</v>
      </c>
      <c r="N58" s="13">
        <v>0</v>
      </c>
      <c r="O58" s="13">
        <v>0</v>
      </c>
      <c r="P58" s="287">
        <v>3</v>
      </c>
      <c r="Q58" s="288">
        <v>3</v>
      </c>
      <c r="R58" s="288">
        <v>3</v>
      </c>
      <c r="S58" s="9">
        <v>12</v>
      </c>
      <c r="T58" s="3">
        <v>35</v>
      </c>
      <c r="U58" s="3">
        <v>0</v>
      </c>
      <c r="V58" s="3">
        <v>0</v>
      </c>
      <c r="W58" s="3">
        <v>0</v>
      </c>
      <c r="X58" s="3">
        <v>0</v>
      </c>
      <c r="Y58" s="3">
        <v>0</v>
      </c>
      <c r="Z58" s="3">
        <v>0</v>
      </c>
      <c r="AA58" s="3">
        <v>0</v>
      </c>
      <c r="AB58" s="3">
        <v>0</v>
      </c>
      <c r="AC58" s="3">
        <v>24</v>
      </c>
      <c r="AD58" s="3">
        <v>24</v>
      </c>
      <c r="AE58" s="3">
        <v>24</v>
      </c>
      <c r="AF58" s="3">
        <v>11</v>
      </c>
      <c r="AG58" s="3">
        <v>3</v>
      </c>
      <c r="AH58" s="3">
        <v>11</v>
      </c>
      <c r="AI58" s="3">
        <v>0</v>
      </c>
      <c r="AJ58" s="3">
        <v>4</v>
      </c>
      <c r="AK58" s="3">
        <v>115</v>
      </c>
      <c r="AL58" s="24">
        <v>10</v>
      </c>
      <c r="AM58" s="24">
        <v>10</v>
      </c>
      <c r="AN58" s="24">
        <v>10</v>
      </c>
      <c r="AO58" s="24">
        <v>10</v>
      </c>
      <c r="AP58" s="24">
        <v>10</v>
      </c>
      <c r="AQ58" s="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4.140625" hidden="1" customWidth="1"/>
    <col min="10" max="10" width="9.85546875" hidden="1" customWidth="1"/>
    <col min="11" max="11" width="14.710937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4" width="24.7109375" hidden="1" customWidth="1"/>
    <col min="25" max="25" width="11.7109375" hidden="1" customWidth="1"/>
    <col min="26" max="26" width="3.7109375" hidden="1" customWidth="1"/>
    <col min="27" max="27" width="11.7109375" hidden="1" customWidth="1"/>
    <col min="28" max="28" width="8.5703125" hidden="1" customWidth="1"/>
    <col min="29" max="29" width="24.7109375" customWidth="1"/>
    <col min="30" max="31" width="24" customWidth="1"/>
    <col min="32" max="32" width="11" customWidth="1"/>
    <col min="33" max="33" width="3.7109375" customWidth="1"/>
    <col min="34" max="34" width="11" customWidth="1"/>
    <col min="35" max="35" width="8.5703125" hidden="1" customWidth="1"/>
    <col min="36" max="36" width="4" customWidth="1"/>
    <col min="37" max="37" width="115" customWidth="1"/>
    <col min="38" max="42" width="10" customWidth="1"/>
    <col min="43" max="43" width="10.5703125" hidden="1"/>
  </cols>
  <sheetData>
    <row r="1" spans="5:43" ht="22.5" hidden="1" customHeight="1">
      <c r="AQ1" s="3" t="s">
        <v>1</v>
      </c>
    </row>
    <row r="2" spans="5:43" ht="23.25" hidden="1" customHeight="1">
      <c r="E2" s="1000">
        <v>1</v>
      </c>
      <c r="R2" s="225"/>
      <c r="S2" s="226" t="e">
        <f>INDEX(PT_DIFFERENTIATION_NUM_NTAR,MATCH(A2,PT_DIFFERENTIATION_NTAR_ID,0))</f>
        <v>#N/A</v>
      </c>
      <c r="T2" s="227" t="s">
        <v>48</v>
      </c>
      <c r="U2" s="228"/>
      <c r="V2" s="995"/>
      <c r="W2" s="996"/>
      <c r="X2" s="996"/>
      <c r="Y2" s="996"/>
      <c r="Z2" s="996"/>
      <c r="AA2" s="996"/>
      <c r="AB2" s="997"/>
      <c r="AC2" s="995" t="e">
        <f>INDEX(PT_DIFFERENTIATION_NTAR,MATCH(A2,PT_DIFFERENTIATION_NTAR_ID,0))</f>
        <v>#N/A</v>
      </c>
      <c r="AD2" s="996"/>
      <c r="AE2" s="996"/>
      <c r="AF2" s="996"/>
      <c r="AG2" s="996"/>
      <c r="AH2" s="996"/>
      <c r="AI2" s="996"/>
      <c r="AJ2" s="997"/>
      <c r="AK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2" s="29" t="str">
        <f t="shared" ref="AN2:AN13" si="0">IF(T2="","",T2)</f>
        <v>Наименование тарифа</v>
      </c>
      <c r="AQ2" s="3">
        <v>0</v>
      </c>
    </row>
    <row r="3" spans="5:43" ht="23.25" hidden="1" customHeight="1">
      <c r="E3" s="1001"/>
      <c r="F3" s="1000">
        <v>1</v>
      </c>
      <c r="Q3" s="231"/>
      <c r="R3" s="232"/>
      <c r="S3" s="226" t="e">
        <f>INDEX(PT_DIFFERENTIATION_NUM_TER,MATCH(B3,PT_DIFFERENTIATION_TER_ID,0))</f>
        <v>#N/A</v>
      </c>
      <c r="T3" s="233" t="s">
        <v>320</v>
      </c>
      <c r="U3" s="228"/>
      <c r="V3" s="995"/>
      <c r="W3" s="996"/>
      <c r="X3" s="996"/>
      <c r="Y3" s="996"/>
      <c r="Z3" s="996"/>
      <c r="AA3" s="996"/>
      <c r="AB3" s="997"/>
      <c r="AC3" s="995" t="e">
        <f>INDEX(PT_DIFFERENTIATION_TER,MATCH(B3,PT_DIFFERENTIATION_TER_ID,0))</f>
        <v>#N/A</v>
      </c>
      <c r="AD3" s="996"/>
      <c r="AE3" s="996"/>
      <c r="AF3" s="996"/>
      <c r="AG3" s="996"/>
      <c r="AH3" s="996"/>
      <c r="AI3" s="996"/>
      <c r="AJ3" s="997"/>
      <c r="AK3" s="230" t="s">
        <v>321</v>
      </c>
      <c r="AN3" s="29" t="str">
        <f t="shared" si="0"/>
        <v>Территория действия тарифа</v>
      </c>
      <c r="AQ3" s="3">
        <v>0</v>
      </c>
    </row>
    <row r="4" spans="5:43" ht="23.25" hidden="1" customHeight="1">
      <c r="E4" s="1001"/>
      <c r="F4" s="1001"/>
      <c r="G4" s="1000">
        <v>1</v>
      </c>
      <c r="Q4" s="231"/>
      <c r="R4" s="232"/>
      <c r="S4" s="226" t="e">
        <f>INDEX(PT_DIFFERENTIATION_NUM_CS,MATCH(C4,PT_DIFFERENTIATION_CS_ID,0))</f>
        <v>#N/A</v>
      </c>
      <c r="T4" s="234" t="s">
        <v>439</v>
      </c>
      <c r="U4" s="228"/>
      <c r="V4" s="995"/>
      <c r="W4" s="996"/>
      <c r="X4" s="996"/>
      <c r="Y4" s="996"/>
      <c r="Z4" s="996"/>
      <c r="AA4" s="996"/>
      <c r="AB4" s="997"/>
      <c r="AC4" s="995" t="e">
        <f>INDEX(PT_DIFFERENTIATION_CS,MATCH(C4,PT_DIFFERENTIATION_CS_ID,0))</f>
        <v>#N/A</v>
      </c>
      <c r="AD4" s="996"/>
      <c r="AE4" s="996"/>
      <c r="AF4" s="996"/>
      <c r="AG4" s="996"/>
      <c r="AH4" s="996"/>
      <c r="AI4" s="996"/>
      <c r="AJ4" s="997"/>
      <c r="AK4" s="230" t="s">
        <v>440</v>
      </c>
      <c r="AN4" s="29" t="str">
        <f t="shared" si="0"/>
        <v>Наименование централизованной системы водоотведения</v>
      </c>
      <c r="AQ4" s="3">
        <v>0</v>
      </c>
    </row>
    <row r="5" spans="5:43" ht="23.25" hidden="1" customHeight="1">
      <c r="E5" s="1001"/>
      <c r="F5" s="1001"/>
      <c r="G5" s="1001"/>
      <c r="H5" s="1001"/>
      <c r="I5" s="1002" t="e">
        <f>S4&amp;".1"</f>
        <v>#N/A</v>
      </c>
      <c r="P5" s="1004">
        <v>1</v>
      </c>
      <c r="R5" s="238"/>
      <c r="S5" s="226" t="e">
        <f>$I5</f>
        <v>#N/A</v>
      </c>
      <c r="T5" s="239" t="s">
        <v>406</v>
      </c>
      <c r="U5" s="228"/>
      <c r="V5" s="1068"/>
      <c r="W5" s="1069"/>
      <c r="X5" s="1069"/>
      <c r="Y5" s="1069"/>
      <c r="Z5" s="1069"/>
      <c r="AA5" s="1069"/>
      <c r="AB5" s="1070"/>
      <c r="AC5" s="1071"/>
      <c r="AD5" s="1072"/>
      <c r="AE5" s="1072"/>
      <c r="AF5" s="1072"/>
      <c r="AG5" s="1072"/>
      <c r="AH5" s="1072"/>
      <c r="AI5" s="1072"/>
      <c r="AJ5" s="1073"/>
      <c r="AK5" s="230" t="s">
        <v>407</v>
      </c>
      <c r="AN5" s="29" t="str">
        <f t="shared" si="0"/>
        <v>Наименование признака дифференциации</v>
      </c>
      <c r="AQ5" s="3">
        <v>0</v>
      </c>
    </row>
    <row r="6" spans="5:43" ht="23.25" hidden="1" customHeight="1">
      <c r="E6" s="1001"/>
      <c r="F6" s="1001"/>
      <c r="G6" s="1001"/>
      <c r="H6" s="1001"/>
      <c r="I6" s="1003"/>
      <c r="J6" s="1002" t="e">
        <f>I5&amp;".1"</f>
        <v>#N/A</v>
      </c>
      <c r="L6" s="237" t="s">
        <v>329</v>
      </c>
      <c r="P6" s="885"/>
      <c r="Q6" s="1004">
        <v>1</v>
      </c>
      <c r="R6" s="240"/>
      <c r="S6" s="226" t="e">
        <f>$J6</f>
        <v>#N/A</v>
      </c>
      <c r="T6" s="241" t="s">
        <v>330</v>
      </c>
      <c r="U6" s="228"/>
      <c r="V6" s="989"/>
      <c r="W6" s="990"/>
      <c r="X6" s="990"/>
      <c r="Y6" s="990"/>
      <c r="Z6" s="990"/>
      <c r="AA6" s="990"/>
      <c r="AB6" s="991"/>
      <c r="AC6" s="989"/>
      <c r="AD6" s="990"/>
      <c r="AE6" s="990"/>
      <c r="AF6" s="990"/>
      <c r="AG6" s="990"/>
      <c r="AH6" s="990"/>
      <c r="AI6" s="990"/>
      <c r="AJ6" s="991"/>
      <c r="AK6" s="317" t="s">
        <v>408</v>
      </c>
      <c r="AN6" s="29" t="str">
        <f t="shared" si="0"/>
        <v>Группа потребителей</v>
      </c>
      <c r="AQ6" s="3">
        <v>0</v>
      </c>
    </row>
    <row r="7" spans="5:43" ht="23.25" hidden="1" customHeight="1">
      <c r="E7" s="1001"/>
      <c r="F7" s="1001"/>
      <c r="G7" s="1001"/>
      <c r="H7" s="1001"/>
      <c r="I7" s="1003"/>
      <c r="J7" s="1003"/>
      <c r="K7" s="1002" t="e">
        <f>J6&amp;".1"</f>
        <v>#N/A</v>
      </c>
      <c r="P7" s="885"/>
      <c r="Q7" s="885"/>
      <c r="R7" s="240">
        <v>1</v>
      </c>
      <c r="S7" s="226" t="e">
        <f>$K7</f>
        <v>#N/A</v>
      </c>
      <c r="T7" s="357"/>
      <c r="U7" s="228"/>
      <c r="V7" s="243"/>
      <c r="W7" s="243"/>
      <c r="X7" s="245"/>
      <c r="Y7" s="1005"/>
      <c r="Z7" s="895" t="s">
        <v>17</v>
      </c>
      <c r="AA7" s="1005"/>
      <c r="AB7" s="895" t="s">
        <v>17</v>
      </c>
      <c r="AC7" s="243"/>
      <c r="AD7" s="243"/>
      <c r="AE7" s="245"/>
      <c r="AF7" s="1005"/>
      <c r="AG7" s="895" t="s">
        <v>17</v>
      </c>
      <c r="AH7" s="1007"/>
      <c r="AI7" s="895" t="s">
        <v>17</v>
      </c>
      <c r="AJ7" s="358"/>
      <c r="AK7" s="10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24" t="e">
        <f ca="1">STRCHECKDATE(V8:AJ8)</f>
        <v>#NAME?</v>
      </c>
      <c r="AN7" s="29" t="str">
        <f t="shared" si="0"/>
        <v/>
      </c>
      <c r="AQ7" s="3">
        <v>0</v>
      </c>
    </row>
    <row r="8" spans="5:43" ht="14.25" hidden="1" customHeight="1">
      <c r="E8" s="1001"/>
      <c r="F8" s="1001"/>
      <c r="G8" s="1001"/>
      <c r="H8" s="1001"/>
      <c r="I8" s="1003"/>
      <c r="J8" s="1003"/>
      <c r="K8" s="1002"/>
      <c r="P8" s="885"/>
      <c r="Q8" s="885"/>
      <c r="R8" s="240"/>
      <c r="S8" s="209"/>
      <c r="T8" s="228"/>
      <c r="U8" s="228"/>
      <c r="V8" s="244"/>
      <c r="W8" s="244"/>
      <c r="X8" s="247" t="str">
        <f>Y7&amp;"-"&amp;AA7</f>
        <v>-</v>
      </c>
      <c r="Y8" s="1006"/>
      <c r="Z8" s="895"/>
      <c r="AA8" s="1006"/>
      <c r="AB8" s="895"/>
      <c r="AC8" s="244"/>
      <c r="AD8" s="244"/>
      <c r="AE8" s="247" t="str">
        <f>AF7&amp;"-"&amp;AH7</f>
        <v>-</v>
      </c>
      <c r="AF8" s="1006"/>
      <c r="AG8" s="895"/>
      <c r="AH8" s="1008"/>
      <c r="AI8" s="895"/>
      <c r="AJ8" s="359"/>
      <c r="AK8" s="1074"/>
      <c r="AN8" s="29" t="str">
        <f t="shared" si="0"/>
        <v/>
      </c>
      <c r="AQ8" s="3">
        <v>0</v>
      </c>
    </row>
    <row r="9" spans="5:43" ht="21" hidden="1" customHeight="1">
      <c r="E9" s="1001"/>
      <c r="F9" s="1001"/>
      <c r="G9" s="1001"/>
      <c r="H9" s="1001"/>
      <c r="I9" s="1003"/>
      <c r="J9" s="1002"/>
      <c r="P9" s="885"/>
      <c r="Q9" s="885"/>
      <c r="R9" s="238"/>
      <c r="S9" s="249"/>
      <c r="T9" s="252" t="s">
        <v>409</v>
      </c>
      <c r="U9" s="54"/>
      <c r="V9" s="54"/>
      <c r="W9" s="54"/>
      <c r="X9" s="54"/>
      <c r="Y9" s="54"/>
      <c r="Z9" s="54"/>
      <c r="AA9" s="54"/>
      <c r="AB9" s="54"/>
      <c r="AC9" s="54"/>
      <c r="AD9" s="54"/>
      <c r="AE9" s="54"/>
      <c r="AF9" s="54"/>
      <c r="AG9" s="54"/>
      <c r="AH9" s="54"/>
      <c r="AI9" s="54"/>
      <c r="AJ9" s="54"/>
      <c r="AK9" s="230" t="s">
        <v>410</v>
      </c>
      <c r="AN9" s="29" t="str">
        <f t="shared" si="0"/>
        <v>Добавить значение признака дифференциации</v>
      </c>
      <c r="AQ9" s="3">
        <v>0</v>
      </c>
    </row>
    <row r="10" spans="5:43" ht="21" hidden="1" customHeight="1">
      <c r="E10" s="1001"/>
      <c r="F10" s="1001"/>
      <c r="G10" s="1001"/>
      <c r="H10" s="1001"/>
      <c r="I10" s="1002"/>
      <c r="P10" s="885"/>
      <c r="R10" s="238"/>
      <c r="S10" s="249"/>
      <c r="T10" s="255" t="s">
        <v>335</v>
      </c>
      <c r="U10" s="54"/>
      <c r="V10" s="54"/>
      <c r="W10" s="54"/>
      <c r="X10" s="54"/>
      <c r="Y10" s="54"/>
      <c r="Z10" s="54"/>
      <c r="AA10" s="54"/>
      <c r="AB10" s="253"/>
      <c r="AC10" s="54"/>
      <c r="AD10" s="54"/>
      <c r="AE10" s="54"/>
      <c r="AF10" s="54"/>
      <c r="AG10" s="54"/>
      <c r="AH10" s="54"/>
      <c r="AI10" s="253"/>
      <c r="AJ10" s="54"/>
      <c r="AK10" s="360"/>
      <c r="AN10" s="29" t="str">
        <f t="shared" si="0"/>
        <v>Добавить группу потребителей</v>
      </c>
      <c r="AQ10" s="3">
        <v>0</v>
      </c>
    </row>
    <row r="11" spans="5:43" ht="21" hidden="1" customHeight="1">
      <c r="E11" s="1001"/>
      <c r="F11" s="1001"/>
      <c r="G11" s="1001"/>
      <c r="H11" s="1000"/>
      <c r="R11" s="225"/>
      <c r="S11" s="249"/>
      <c r="T11" s="361" t="s">
        <v>411</v>
      </c>
      <c r="U11" s="54"/>
      <c r="V11" s="54"/>
      <c r="W11" s="54"/>
      <c r="X11" s="54"/>
      <c r="Y11" s="54"/>
      <c r="Z11" s="54"/>
      <c r="AA11" s="54"/>
      <c r="AB11" s="253"/>
      <c r="AC11" s="54"/>
      <c r="AD11" s="54"/>
      <c r="AE11" s="54"/>
      <c r="AF11" s="54"/>
      <c r="AG11" s="54"/>
      <c r="AH11" s="54"/>
      <c r="AI11" s="253"/>
      <c r="AJ11" s="54"/>
      <c r="AK11" s="254"/>
      <c r="AN11" s="29" t="str">
        <f t="shared" si="0"/>
        <v>Добавить наименование признака дифференциации</v>
      </c>
      <c r="AQ11" s="3">
        <v>0</v>
      </c>
    </row>
    <row r="12" spans="5:43" ht="14.25" hidden="1" customHeight="1">
      <c r="E12" s="1001"/>
      <c r="F12" s="1000"/>
      <c r="T12" s="260" t="s">
        <v>338</v>
      </c>
      <c r="AN12" s="29" t="str">
        <f t="shared" si="0"/>
        <v>Добавить централизованную систему для дифференциации</v>
      </c>
      <c r="AQ12" s="24">
        <v>0</v>
      </c>
    </row>
    <row r="13" spans="5:43" ht="14.25" hidden="1" customHeight="1">
      <c r="E13" s="1000"/>
      <c r="T13" s="260" t="s">
        <v>339</v>
      </c>
      <c r="AN13" s="29" t="str">
        <f t="shared" si="0"/>
        <v>Добавить территорию для дифференциации</v>
      </c>
      <c r="AQ13" s="24">
        <v>0</v>
      </c>
    </row>
    <row r="14" spans="5:43" ht="14.25" hidden="1" customHeight="1">
      <c r="AQ14" s="3">
        <v>0</v>
      </c>
    </row>
    <row r="15" spans="5:43" ht="14.25" hidden="1" customHeight="1">
      <c r="AC15" s="261"/>
      <c r="AD15" s="261"/>
      <c r="AE15" s="262"/>
      <c r="AF15" s="999"/>
      <c r="AG15" s="998" t="s">
        <v>17</v>
      </c>
      <c r="AH15" s="999"/>
      <c r="AI15" s="998" t="s">
        <v>17</v>
      </c>
      <c r="AQ15" s="3">
        <v>0</v>
      </c>
    </row>
    <row r="16" spans="5:43" ht="14.25" hidden="1" customHeight="1">
      <c r="AC16" s="261"/>
      <c r="AD16" s="261"/>
      <c r="AE16" s="247" t="str">
        <f>AF15&amp;"-"&amp;AH15</f>
        <v>-</v>
      </c>
      <c r="AF16" s="998"/>
      <c r="AG16" s="998"/>
      <c r="AH16" s="998"/>
      <c r="AI16" s="998"/>
      <c r="AQ16" s="3">
        <v>0</v>
      </c>
    </row>
    <row r="17" spans="15:43" ht="14.25" hidden="1" customHeight="1">
      <c r="AQ17" s="3">
        <v>0</v>
      </c>
    </row>
    <row r="18" spans="15:43" ht="22.5" hidden="1" customHeight="1">
      <c r="O18" s="263" t="s">
        <v>340</v>
      </c>
      <c r="Y18" s="263"/>
      <c r="AA18" s="263"/>
      <c r="AF18" s="263"/>
      <c r="AH18" s="263"/>
      <c r="AQ18" s="11">
        <v>0</v>
      </c>
    </row>
    <row r="19" spans="15:43" ht="14.25" hidden="1" customHeight="1">
      <c r="AQ19" s="11">
        <v>0</v>
      </c>
    </row>
    <row r="20" spans="15:43" ht="12" hidden="1" customHeight="1">
      <c r="O20" s="237" t="s">
        <v>341</v>
      </c>
      <c r="T20" s="11" t="s">
        <v>342</v>
      </c>
      <c r="Z20" s="60" t="s">
        <v>343</v>
      </c>
      <c r="AB20" s="60" t="s">
        <v>344</v>
      </c>
      <c r="AC20" s="11" t="s">
        <v>342</v>
      </c>
      <c r="AG20" s="60" t="s">
        <v>345</v>
      </c>
      <c r="AI20" s="60" t="s">
        <v>344</v>
      </c>
      <c r="AQ20" s="11">
        <v>0</v>
      </c>
    </row>
    <row r="21" spans="15:43" ht="14.25" hidden="1" customHeight="1">
      <c r="AQ21" s="3">
        <v>0</v>
      </c>
    </row>
    <row r="22" spans="15:43" ht="14.25" hidden="1" customHeight="1">
      <c r="AQ22" s="3">
        <v>0</v>
      </c>
    </row>
    <row r="23" spans="15:43" ht="14.65" customHeight="1">
      <c r="Q23" s="264"/>
      <c r="R23" s="264"/>
      <c r="S23" s="265"/>
      <c r="T23" s="12"/>
      <c r="U23" s="12"/>
      <c r="AQ23" s="3">
        <v>14</v>
      </c>
    </row>
    <row r="24" spans="15:43" ht="14.65" customHeight="1">
      <c r="Q24" s="264"/>
      <c r="R24" s="264"/>
      <c r="S24" s="98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982"/>
      <c r="U24" s="982"/>
      <c r="V24" s="982"/>
      <c r="W24" s="982"/>
      <c r="X24" s="982"/>
      <c r="Y24" s="982"/>
      <c r="Z24" s="982"/>
      <c r="AA24" s="982"/>
      <c r="AB24" s="982"/>
      <c r="AC24" s="982"/>
      <c r="AD24" s="982"/>
      <c r="AE24" s="982"/>
      <c r="AF24" s="982"/>
      <c r="AG24" s="982"/>
      <c r="AH24" s="982"/>
      <c r="AQ24" s="3">
        <v>14</v>
      </c>
    </row>
    <row r="25" spans="15:43" ht="14.65" customHeight="1">
      <c r="Q25" s="264"/>
      <c r="R25" s="264"/>
      <c r="S25" s="955" t="e">
        <f>IF(org=0,"Не определено",org)</f>
        <v>#REF!</v>
      </c>
      <c r="T25" s="955"/>
      <c r="U25" s="955"/>
      <c r="V25" s="955"/>
      <c r="W25" s="955"/>
      <c r="X25" s="955"/>
      <c r="Y25" s="955"/>
      <c r="Z25" s="955"/>
      <c r="AA25" s="955"/>
      <c r="AB25" s="955"/>
      <c r="AC25" s="955"/>
      <c r="AD25" s="955"/>
      <c r="AE25" s="955"/>
      <c r="AF25" s="955"/>
      <c r="AG25" s="955"/>
      <c r="AH25" s="955"/>
      <c r="AQ25" s="3">
        <v>14</v>
      </c>
    </row>
    <row r="26" spans="15:43" ht="14.25" hidden="1" customHeight="1">
      <c r="Q26" s="264"/>
      <c r="R26" s="264"/>
      <c r="S26" s="265"/>
      <c r="T26" s="12"/>
      <c r="U26" s="12"/>
      <c r="V26" s="266"/>
      <c r="W26" s="266"/>
      <c r="X26" s="266"/>
      <c r="Y26" s="266"/>
      <c r="Z26" s="266"/>
      <c r="AA26" s="266"/>
      <c r="AB26" s="266"/>
      <c r="AC26" s="266"/>
      <c r="AD26" s="266"/>
      <c r="AE26" s="266"/>
      <c r="AF26" s="266"/>
      <c r="AG26" s="266"/>
      <c r="AH26" s="266"/>
      <c r="AI26" s="266"/>
      <c r="AQ26" s="3">
        <v>0</v>
      </c>
    </row>
    <row r="27" spans="15:43" ht="25.5" hidden="1" customHeight="1">
      <c r="S27" s="992" t="s">
        <v>9</v>
      </c>
      <c r="T27" s="992"/>
      <c r="U27" s="268"/>
      <c r="V27" s="994" t="e">
        <f>IF(TITLE_NAME_OR_PR_CHANGE="",IF(TITLE_NAME_OR_PR="","",TITLE_NAME_OR_PR),TITLE_NAME_OR_PR_CHANGE)</f>
        <v>#REF!</v>
      </c>
      <c r="W27" s="994"/>
      <c r="X27" s="994"/>
      <c r="Y27" s="994"/>
      <c r="Z27" s="994"/>
      <c r="AA27" s="994"/>
      <c r="AC27" s="994" t="e">
        <f>IF(TITLE_NAME_OR_PR_CHANGE="",IF(TITLE_NAME_OR_PR="","",TITLE_NAME_OR_PR),TITLE_NAME_OR_PR_CHANGE)</f>
        <v>#REF!</v>
      </c>
      <c r="AD27" s="994"/>
      <c r="AE27" s="994"/>
      <c r="AF27" s="994"/>
      <c r="AG27" s="994"/>
      <c r="AH27" s="994"/>
      <c r="AQ27" s="50">
        <v>0</v>
      </c>
    </row>
    <row r="28" spans="15:43" ht="18.75" hidden="1" customHeight="1">
      <c r="S28" s="992" t="s">
        <v>346</v>
      </c>
      <c r="T28" s="992"/>
      <c r="U28" s="268"/>
      <c r="V28" s="993" t="e">
        <f>IF(TITLE_DATE_PR_CHANGE="",IF(TITLE_DATE_PR="","",TITLE_DATE_PR),TITLE_DATE_PR_CHANGE)</f>
        <v>#REF!</v>
      </c>
      <c r="W28" s="993"/>
      <c r="X28" s="993"/>
      <c r="Y28" s="993"/>
      <c r="Z28" s="993"/>
      <c r="AA28" s="993"/>
      <c r="AC28" s="993" t="e">
        <f>IF(TITLE_DATE_PR_CHANGE="",IF(TITLE_DATE_PR="","",TITLE_DATE_PR),TITLE_DATE_PR_CHANGE)</f>
        <v>#REF!</v>
      </c>
      <c r="AD28" s="993"/>
      <c r="AE28" s="993"/>
      <c r="AF28" s="993"/>
      <c r="AG28" s="993"/>
      <c r="AH28" s="993"/>
      <c r="AQ28" s="50">
        <v>0</v>
      </c>
    </row>
    <row r="29" spans="15:43" ht="18.75" hidden="1" customHeight="1">
      <c r="S29" s="992" t="s">
        <v>347</v>
      </c>
      <c r="T29" s="992"/>
      <c r="U29" s="268"/>
      <c r="V29" s="994" t="e">
        <f>IF(TITLE_NUMBER_PR_CHANGE="",IF(TITLE_NUMBER_PR="","",TITLE_NUMBER_PR),TITLE_NUMBER_PR_CHANGE)</f>
        <v>#REF!</v>
      </c>
      <c r="W29" s="994"/>
      <c r="X29" s="994"/>
      <c r="Y29" s="994"/>
      <c r="Z29" s="994"/>
      <c r="AA29" s="994"/>
      <c r="AC29" s="994" t="e">
        <f>IF(TITLE_NUMBER_PR_CHANGE="",IF(TITLE_NUMBER_PR="","",TITLE_NUMBER_PR),TITLE_NUMBER_PR_CHANGE)</f>
        <v>#REF!</v>
      </c>
      <c r="AD29" s="994"/>
      <c r="AE29" s="994"/>
      <c r="AF29" s="994"/>
      <c r="AG29" s="994"/>
      <c r="AH29" s="994"/>
      <c r="AQ29" s="50">
        <v>0</v>
      </c>
    </row>
    <row r="30" spans="15:43" ht="18.75" hidden="1" customHeight="1">
      <c r="S30" s="992" t="s">
        <v>10</v>
      </c>
      <c r="T30" s="992"/>
      <c r="U30" s="268"/>
      <c r="V30" s="994" t="e">
        <f>IF(TITLE_IST_PUB_CHANGE="",IF(TITLE_IST_PUB="","",TITLE_IST_PUB),TITLE_IST_PUB_CHANGE)</f>
        <v>#REF!</v>
      </c>
      <c r="W30" s="994"/>
      <c r="X30" s="994"/>
      <c r="Y30" s="994"/>
      <c r="Z30" s="994"/>
      <c r="AA30" s="994"/>
      <c r="AC30" s="994" t="e">
        <f>IF(TITLE_IST_PUB_CHANGE="",IF(TITLE_IST_PUB="","",TITLE_IST_PUB),TITLE_IST_PUB_CHANGE)</f>
        <v>#REF!</v>
      </c>
      <c r="AD30" s="994"/>
      <c r="AE30" s="994"/>
      <c r="AF30" s="994"/>
      <c r="AG30" s="994"/>
      <c r="AH30" s="994"/>
      <c r="AQ30" s="50">
        <v>0</v>
      </c>
    </row>
    <row r="31" spans="15:43" ht="14.25" hidden="1" customHeight="1">
      <c r="Q31" s="264"/>
      <c r="R31" s="264"/>
      <c r="S31" s="265"/>
      <c r="T31" s="12"/>
      <c r="U31" s="12"/>
      <c r="V31" s="266"/>
      <c r="W31" s="266"/>
      <c r="X31" s="266"/>
      <c r="Y31" s="266"/>
      <c r="Z31" s="266"/>
      <c r="AA31" s="266"/>
      <c r="AB31" s="266"/>
      <c r="AC31" s="266"/>
      <c r="AD31" s="266"/>
      <c r="AE31" s="266"/>
      <c r="AF31" s="266"/>
      <c r="AG31" s="266"/>
      <c r="AH31" s="266"/>
      <c r="AI31" s="266"/>
      <c r="AQ31" s="3">
        <v>0</v>
      </c>
    </row>
    <row r="32" spans="15:43" ht="18.75" hidden="1" customHeight="1">
      <c r="S32" s="992" t="s">
        <v>348</v>
      </c>
      <c r="T32" s="992"/>
      <c r="U32" s="268"/>
      <c r="V32" s="993" t="e">
        <f>IF(TITLE_DATE_PR_CHANGE="",IF(TITLE_DATE_PR="","",TITLE_DATE_PR),TITLE_DATE_PR_CHANGE)</f>
        <v>#REF!</v>
      </c>
      <c r="W32" s="993"/>
      <c r="X32" s="993"/>
      <c r="Y32" s="993"/>
      <c r="Z32" s="993"/>
      <c r="AA32" s="993"/>
      <c r="AC32" s="993" t="e">
        <f>IF(TITLE_DATE_PR_CHANGE="",IF(TITLE_DATE_PR="","",TITLE_DATE_PR),TITLE_DATE_PR_CHANGE)</f>
        <v>#REF!</v>
      </c>
      <c r="AD32" s="993"/>
      <c r="AE32" s="993"/>
      <c r="AF32" s="993"/>
      <c r="AG32" s="993"/>
      <c r="AH32" s="993"/>
      <c r="AQ32" s="50">
        <v>0</v>
      </c>
    </row>
    <row r="33" spans="1:43" ht="18.75" hidden="1" customHeight="1">
      <c r="S33" s="992" t="s">
        <v>349</v>
      </c>
      <c r="T33" s="992"/>
      <c r="U33" s="268"/>
      <c r="V33" s="994" t="e">
        <f>IF(TITLE_NUMBER_PR_CHANGE="",IF(TITLE_NUMBER_PR="","",TITLE_NUMBER_PR),TITLE_NUMBER_PR_CHANGE)</f>
        <v>#REF!</v>
      </c>
      <c r="W33" s="994"/>
      <c r="X33" s="994"/>
      <c r="Y33" s="994"/>
      <c r="Z33" s="994"/>
      <c r="AA33" s="994"/>
      <c r="AC33" s="994" t="e">
        <f>IF(TITLE_NUMBER_PR_CHANGE="",IF(TITLE_NUMBER_PR="","",TITLE_NUMBER_PR),TITLE_NUMBER_PR_CHANGE)</f>
        <v>#REF!</v>
      </c>
      <c r="AD33" s="994"/>
      <c r="AE33" s="994"/>
      <c r="AF33" s="994"/>
      <c r="AG33" s="994"/>
      <c r="AH33" s="994"/>
      <c r="AQ33" s="50">
        <v>0</v>
      </c>
    </row>
    <row r="34" spans="1:43" ht="1.1499999999999999" customHeight="1">
      <c r="AB34" s="24" t="s">
        <v>350</v>
      </c>
      <c r="AI34" s="24" t="s">
        <v>350</v>
      </c>
      <c r="AQ34" s="50">
        <v>1</v>
      </c>
    </row>
    <row r="35" spans="1:43" ht="14.65" customHeight="1">
      <c r="Q35" s="264"/>
      <c r="R35" s="264"/>
      <c r="S35" s="265"/>
      <c r="T35" s="12"/>
      <c r="U35" s="270"/>
      <c r="V35" s="1012"/>
      <c r="W35" s="1012"/>
      <c r="X35" s="1012"/>
      <c r="Y35" s="1012"/>
      <c r="Z35" s="1012"/>
      <c r="AA35" s="1012"/>
      <c r="AB35" s="1012"/>
      <c r="AC35" s="1012"/>
      <c r="AD35" s="1012"/>
      <c r="AE35" s="1012"/>
      <c r="AF35" s="1012"/>
      <c r="AG35" s="1012"/>
      <c r="AH35" s="1012"/>
      <c r="AI35" s="1012"/>
      <c r="AQ35" s="3">
        <v>14</v>
      </c>
    </row>
    <row r="36" spans="1:43" ht="14.65" customHeight="1">
      <c r="Q36" s="264"/>
      <c r="R36" s="264"/>
      <c r="S36" s="894" t="s">
        <v>223</v>
      </c>
      <c r="T36" s="894"/>
      <c r="U36" s="894"/>
      <c r="V36" s="894"/>
      <c r="W36" s="894"/>
      <c r="X36" s="894"/>
      <c r="Y36" s="894"/>
      <c r="Z36" s="894"/>
      <c r="AA36" s="894"/>
      <c r="AB36" s="894"/>
      <c r="AC36" s="894"/>
      <c r="AD36" s="894"/>
      <c r="AE36" s="894"/>
      <c r="AF36" s="894"/>
      <c r="AG36" s="894"/>
      <c r="AH36" s="894"/>
      <c r="AI36" s="894"/>
      <c r="AJ36" s="894"/>
      <c r="AK36" s="894" t="s">
        <v>224</v>
      </c>
      <c r="AQ36" s="3">
        <v>14</v>
      </c>
    </row>
    <row r="37" spans="1:43" ht="14.65" customHeight="1">
      <c r="Q37" s="264"/>
      <c r="R37" s="264"/>
      <c r="S37" s="1013" t="s">
        <v>24</v>
      </c>
      <c r="T37" s="962" t="s">
        <v>351</v>
      </c>
      <c r="U37" s="272"/>
      <c r="V37" s="1014" t="s">
        <v>352</v>
      </c>
      <c r="W37" s="1015"/>
      <c r="X37" s="1015"/>
      <c r="Y37" s="1015"/>
      <c r="Z37" s="1015"/>
      <c r="AA37" s="1016"/>
      <c r="AB37" s="1017" t="s">
        <v>353</v>
      </c>
      <c r="AC37" s="1014" t="s">
        <v>352</v>
      </c>
      <c r="AD37" s="1015"/>
      <c r="AE37" s="1015"/>
      <c r="AF37" s="1015"/>
      <c r="AG37" s="1015"/>
      <c r="AH37" s="1016"/>
      <c r="AI37" s="1017" t="s">
        <v>354</v>
      </c>
      <c r="AJ37" s="1020" t="s">
        <v>355</v>
      </c>
      <c r="AK37" s="894"/>
      <c r="AQ37" s="3">
        <v>14</v>
      </c>
    </row>
    <row r="38" spans="1:43" ht="35.65" customHeight="1">
      <c r="Q38" s="264"/>
      <c r="R38" s="264"/>
      <c r="S38" s="1013"/>
      <c r="T38" s="962"/>
      <c r="U38" s="274"/>
      <c r="V38" s="92" t="s">
        <v>412</v>
      </c>
      <c r="W38" s="887" t="s">
        <v>358</v>
      </c>
      <c r="X38" s="886"/>
      <c r="Y38" s="887" t="s">
        <v>359</v>
      </c>
      <c r="Z38" s="890"/>
      <c r="AA38" s="886"/>
      <c r="AB38" s="1018"/>
      <c r="AC38" s="92" t="s">
        <v>412</v>
      </c>
      <c r="AD38" s="887" t="s">
        <v>358</v>
      </c>
      <c r="AE38" s="886"/>
      <c r="AF38" s="887" t="s">
        <v>359</v>
      </c>
      <c r="AG38" s="890"/>
      <c r="AH38" s="886"/>
      <c r="AI38" s="1018"/>
      <c r="AJ38" s="1021"/>
      <c r="AK38" s="894"/>
      <c r="AQ38" s="3">
        <v>34</v>
      </c>
    </row>
    <row r="39" spans="1:43" ht="90.4" customHeight="1">
      <c r="B39" s="60" t="s">
        <v>60</v>
      </c>
      <c r="C39" s="60" t="s">
        <v>61</v>
      </c>
      <c r="D39" s="60" t="s">
        <v>62</v>
      </c>
      <c r="E39" s="237" t="s">
        <v>360</v>
      </c>
      <c r="F39" s="237" t="s">
        <v>361</v>
      </c>
      <c r="G39" s="237" t="s">
        <v>362</v>
      </c>
      <c r="I39" s="237" t="s">
        <v>413</v>
      </c>
      <c r="J39" s="237" t="s">
        <v>365</v>
      </c>
      <c r="K39" s="237" t="s">
        <v>414</v>
      </c>
      <c r="L39" s="237" t="s">
        <v>341</v>
      </c>
      <c r="Q39" s="264"/>
      <c r="R39" s="264"/>
      <c r="S39" s="1013"/>
      <c r="T39" s="962"/>
      <c r="U39" s="275"/>
      <c r="V39" s="92" t="s">
        <v>441</v>
      </c>
      <c r="W39" s="65" t="s">
        <v>442</v>
      </c>
      <c r="X39" s="65" t="s">
        <v>417</v>
      </c>
      <c r="Y39" s="65" t="s">
        <v>369</v>
      </c>
      <c r="Z39" s="967" t="s">
        <v>370</v>
      </c>
      <c r="AA39" s="981"/>
      <c r="AB39" s="1019"/>
      <c r="AC39" s="92" t="s">
        <v>441</v>
      </c>
      <c r="AD39" s="65" t="s">
        <v>442</v>
      </c>
      <c r="AE39" s="65" t="s">
        <v>417</v>
      </c>
      <c r="AF39" s="65" t="s">
        <v>369</v>
      </c>
      <c r="AG39" s="967" t="s">
        <v>370</v>
      </c>
      <c r="AH39" s="981"/>
      <c r="AI39" s="1019"/>
      <c r="AJ39" s="1022"/>
      <c r="AK39" s="894"/>
      <c r="AQ39" s="3">
        <v>86</v>
      </c>
    </row>
    <row r="40" spans="1:43" ht="0" hidden="1" customHeight="1">
      <c r="Q40" s="278"/>
      <c r="R40" s="279">
        <v>1</v>
      </c>
      <c r="S40" s="280" t="s">
        <v>31</v>
      </c>
      <c r="T40" s="281" t="s">
        <v>39</v>
      </c>
      <c r="U40" s="282" t="str">
        <f ca="1">OFFSET(U40,0,-1)</f>
        <v>2</v>
      </c>
      <c r="V40" s="283">
        <f ca="1">OFFSET(V40,0,-1)+1</f>
        <v>3</v>
      </c>
      <c r="W40" s="283">
        <f ca="1">OFFSET(W40,0,-1)+1</f>
        <v>4</v>
      </c>
      <c r="X40" s="283">
        <f ca="1">OFFSET(X40,0,-1)+1</f>
        <v>5</v>
      </c>
      <c r="Y40" s="283">
        <f ca="1">OFFSET(Y40,0,-1)+1</f>
        <v>6</v>
      </c>
      <c r="Z40" s="1011">
        <f ca="1">OFFSET(Z40,0,-1)+1</f>
        <v>7</v>
      </c>
      <c r="AA40" s="1011"/>
      <c r="AB40" s="283">
        <f ca="1">OFFSET(AB40,0,-2)+1</f>
        <v>8</v>
      </c>
      <c r="AC40" s="283">
        <f ca="1">OFFSET(AC40,0,-1)+1</f>
        <v>9</v>
      </c>
      <c r="AD40" s="283">
        <f ca="1">OFFSET(AD40,0,-1)+1</f>
        <v>10</v>
      </c>
      <c r="AE40" s="283">
        <f ca="1">OFFSET(AE40,0,-1)+1</f>
        <v>11</v>
      </c>
      <c r="AF40" s="283">
        <f ca="1">OFFSET(AF40,0,-1)+1</f>
        <v>12</v>
      </c>
      <c r="AG40" s="1011">
        <f ca="1">OFFSET(AG40,0,-1)+1</f>
        <v>13</v>
      </c>
      <c r="AH40" s="1011"/>
      <c r="AI40" s="283">
        <f ca="1">OFFSET(AI40,0,-2)+1</f>
        <v>14</v>
      </c>
      <c r="AJ40" s="282">
        <f ca="1">OFFSET(AJ40,0,-1)</f>
        <v>14</v>
      </c>
      <c r="AK40" s="283">
        <f ca="1">OFFSET(AK40,0,-1)+1</f>
        <v>15</v>
      </c>
      <c r="AQ40" s="189">
        <v>0</v>
      </c>
    </row>
    <row r="41" spans="1:43" ht="24" customHeight="1">
      <c r="A41" s="284" t="s">
        <v>194</v>
      </c>
      <c r="E41" s="1000">
        <v>1</v>
      </c>
      <c r="R41" s="225"/>
      <c r="S41" s="226">
        <f>INDEX(PT_DIFFERENTIATION_NUM_NTAR,MATCH(A41,PT_DIFFERENTIATION_NTAR_ID,0))</f>
        <v>0</v>
      </c>
      <c r="T41" s="227" t="s">
        <v>48</v>
      </c>
      <c r="U41" s="228"/>
      <c r="V41" s="995"/>
      <c r="W41" s="996"/>
      <c r="X41" s="996"/>
      <c r="Y41" s="996"/>
      <c r="Z41" s="996"/>
      <c r="AA41" s="996"/>
      <c r="AB41" s="997"/>
      <c r="AC41" s="995" t="str">
        <f>INDEX(PT_DIFFERENTIATION_NTAR,MATCH(A41,PT_DIFFERENTIATION_NTAR_ID,0))</f>
        <v/>
      </c>
      <c r="AD41" s="996"/>
      <c r="AE41" s="996"/>
      <c r="AF41" s="996"/>
      <c r="AG41" s="996"/>
      <c r="AH41" s="996"/>
      <c r="AI41" s="996"/>
      <c r="AJ41" s="997"/>
      <c r="AK41"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41" s="29" t="str">
        <f t="shared" ref="AN41:AN53" si="1">IF(T41="","",T41)</f>
        <v>Наименование тарифа</v>
      </c>
      <c r="AQ41" s="3">
        <v>23</v>
      </c>
    </row>
    <row r="42" spans="1:43" ht="24" customHeight="1">
      <c r="A42" s="284" t="s">
        <v>194</v>
      </c>
      <c r="B42" s="284" t="s">
        <v>195</v>
      </c>
      <c r="E42" s="1001"/>
      <c r="F42" s="1000">
        <v>1</v>
      </c>
      <c r="Q42" s="231"/>
      <c r="R42" s="232"/>
      <c r="S42" s="226" t="str">
        <f>INDEX(PT_DIFFERENTIATION_NUM_TER,MATCH(B42,PT_DIFFERENTIATION_TER_ID,0))</f>
        <v>.</v>
      </c>
      <c r="T42" s="233" t="s">
        <v>320</v>
      </c>
      <c r="U42" s="228"/>
      <c r="V42" s="995"/>
      <c r="W42" s="996"/>
      <c r="X42" s="996"/>
      <c r="Y42" s="996"/>
      <c r="Z42" s="996"/>
      <c r="AA42" s="996"/>
      <c r="AB42" s="997"/>
      <c r="AC42" s="995" t="str">
        <f>INDEX(PT_DIFFERENTIATION_TER,MATCH(B42,PT_DIFFERENTIATION_TER_ID,0))</f>
        <v/>
      </c>
      <c r="AD42" s="996"/>
      <c r="AE42" s="996"/>
      <c r="AF42" s="996"/>
      <c r="AG42" s="996"/>
      <c r="AH42" s="996"/>
      <c r="AI42" s="996"/>
      <c r="AJ42" s="997"/>
      <c r="AK42" s="230" t="s">
        <v>321</v>
      </c>
      <c r="AN42" s="29" t="str">
        <f t="shared" si="1"/>
        <v>Территория действия тарифа</v>
      </c>
      <c r="AQ42" s="3">
        <v>23</v>
      </c>
    </row>
    <row r="43" spans="1:43" ht="24" customHeight="1">
      <c r="A43" s="284" t="s">
        <v>194</v>
      </c>
      <c r="B43" s="284" t="s">
        <v>195</v>
      </c>
      <c r="C43" s="284" t="s">
        <v>196</v>
      </c>
      <c r="E43" s="1001"/>
      <c r="F43" s="1001"/>
      <c r="G43" s="1000">
        <v>1</v>
      </c>
      <c r="Q43" s="231"/>
      <c r="R43" s="232"/>
      <c r="S43" s="226" t="str">
        <f>INDEX(PT_DIFFERENTIATION_NUM_CS,MATCH(C43,PT_DIFFERENTIATION_CS_ID,0))</f>
        <v>..</v>
      </c>
      <c r="T43" s="234" t="s">
        <v>439</v>
      </c>
      <c r="U43" s="228"/>
      <c r="V43" s="995"/>
      <c r="W43" s="996"/>
      <c r="X43" s="996"/>
      <c r="Y43" s="996"/>
      <c r="Z43" s="996"/>
      <c r="AA43" s="996"/>
      <c r="AB43" s="997"/>
      <c r="AC43" s="995" t="str">
        <f>INDEX(PT_DIFFERENTIATION_CS,MATCH(C43,PT_DIFFERENTIATION_CS_ID,0))</f>
        <v/>
      </c>
      <c r="AD43" s="996"/>
      <c r="AE43" s="996"/>
      <c r="AF43" s="996"/>
      <c r="AG43" s="996"/>
      <c r="AH43" s="996"/>
      <c r="AI43" s="996"/>
      <c r="AJ43" s="997"/>
      <c r="AK43" s="230" t="s">
        <v>440</v>
      </c>
      <c r="AN43" s="29" t="str">
        <f t="shared" si="1"/>
        <v>Наименование централизованной системы водоотведения</v>
      </c>
      <c r="AQ43" s="3">
        <v>23</v>
      </c>
    </row>
    <row r="44" spans="1:43" ht="24" customHeight="1">
      <c r="A44" s="284" t="s">
        <v>194</v>
      </c>
      <c r="B44" s="284" t="s">
        <v>195</v>
      </c>
      <c r="C44" s="284" t="s">
        <v>196</v>
      </c>
      <c r="D44" s="284" t="s">
        <v>444</v>
      </c>
      <c r="E44" s="1001"/>
      <c r="F44" s="1001"/>
      <c r="G44" s="1001"/>
      <c r="H44" s="1001"/>
      <c r="I44" s="1002" t="str">
        <f>S43&amp;".1"</f>
        <v>...1</v>
      </c>
      <c r="P44" s="1004">
        <v>1</v>
      </c>
      <c r="R44" s="238"/>
      <c r="S44" s="226" t="str">
        <f>$I44</f>
        <v>...1</v>
      </c>
      <c r="T44" s="239" t="s">
        <v>406</v>
      </c>
      <c r="U44" s="228"/>
      <c r="V44" s="1068"/>
      <c r="W44" s="1069"/>
      <c r="X44" s="1069"/>
      <c r="Y44" s="1069"/>
      <c r="Z44" s="1069"/>
      <c r="AA44" s="1069"/>
      <c r="AB44" s="1070"/>
      <c r="AC44" s="1071"/>
      <c r="AD44" s="1072"/>
      <c r="AE44" s="1072"/>
      <c r="AF44" s="1072"/>
      <c r="AG44" s="1072"/>
      <c r="AH44" s="1072"/>
      <c r="AI44" s="1072"/>
      <c r="AJ44" s="1073"/>
      <c r="AK44" s="230" t="s">
        <v>407</v>
      </c>
      <c r="AN44" s="29" t="str">
        <f t="shared" si="1"/>
        <v>Наименование признака дифференциации</v>
      </c>
      <c r="AQ44" s="3">
        <v>23</v>
      </c>
    </row>
    <row r="45" spans="1:43" ht="24" customHeight="1">
      <c r="A45" s="284" t="s">
        <v>194</v>
      </c>
      <c r="B45" s="284" t="s">
        <v>195</v>
      </c>
      <c r="C45" s="284" t="s">
        <v>196</v>
      </c>
      <c r="D45" s="284" t="s">
        <v>444</v>
      </c>
      <c r="E45" s="1001"/>
      <c r="F45" s="1001"/>
      <c r="G45" s="1001"/>
      <c r="H45" s="1001"/>
      <c r="I45" s="1003"/>
      <c r="J45" s="1002" t="str">
        <f>I44&amp;".1"</f>
        <v>...1.1</v>
      </c>
      <c r="L45" s="237" t="s">
        <v>329</v>
      </c>
      <c r="P45" s="885"/>
      <c r="Q45" s="1004">
        <v>1</v>
      </c>
      <c r="R45" s="240"/>
      <c r="S45" s="226" t="str">
        <f>$J45</f>
        <v>...1.1</v>
      </c>
      <c r="T45" s="241" t="s">
        <v>330</v>
      </c>
      <c r="U45" s="228"/>
      <c r="V45" s="989"/>
      <c r="W45" s="990"/>
      <c r="X45" s="990"/>
      <c r="Y45" s="990"/>
      <c r="Z45" s="990"/>
      <c r="AA45" s="990"/>
      <c r="AB45" s="991"/>
      <c r="AC45" s="989"/>
      <c r="AD45" s="990"/>
      <c r="AE45" s="990"/>
      <c r="AF45" s="990"/>
      <c r="AG45" s="990"/>
      <c r="AH45" s="990"/>
      <c r="AI45" s="990"/>
      <c r="AJ45" s="991"/>
      <c r="AK45" s="317" t="s">
        <v>408</v>
      </c>
      <c r="AN45" s="29" t="str">
        <f t="shared" si="1"/>
        <v>Группа потребителей</v>
      </c>
      <c r="AQ45" s="3">
        <v>23</v>
      </c>
    </row>
    <row r="46" spans="1:43" ht="24" customHeight="1">
      <c r="A46" s="284" t="s">
        <v>194</v>
      </c>
      <c r="B46" s="284" t="s">
        <v>195</v>
      </c>
      <c r="C46" s="284" t="s">
        <v>196</v>
      </c>
      <c r="D46" s="284" t="s">
        <v>444</v>
      </c>
      <c r="E46" s="1001"/>
      <c r="F46" s="1001"/>
      <c r="G46" s="1001"/>
      <c r="H46" s="1001"/>
      <c r="I46" s="1003"/>
      <c r="J46" s="1003"/>
      <c r="K46" s="1002" t="str">
        <f>J45&amp;".1"</f>
        <v>...1.1.1</v>
      </c>
      <c r="P46" s="885"/>
      <c r="Q46" s="885"/>
      <c r="R46" s="240">
        <v>1</v>
      </c>
      <c r="S46" s="226" t="str">
        <f>$K46</f>
        <v>...1.1.1</v>
      </c>
      <c r="T46" s="357"/>
      <c r="U46" s="228"/>
      <c r="V46" s="261"/>
      <c r="W46" s="261"/>
      <c r="X46" s="262"/>
      <c r="Y46" s="999"/>
      <c r="Z46" s="998" t="s">
        <v>17</v>
      </c>
      <c r="AA46" s="999"/>
      <c r="AB46" s="998" t="s">
        <v>17</v>
      </c>
      <c r="AC46" s="243"/>
      <c r="AD46" s="243"/>
      <c r="AE46" s="245"/>
      <c r="AF46" s="1005"/>
      <c r="AG46" s="895" t="s">
        <v>17</v>
      </c>
      <c r="AH46" s="1007"/>
      <c r="AI46" s="895" t="s">
        <v>3</v>
      </c>
      <c r="AJ46" s="358"/>
      <c r="AK46" s="10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24" t="e">
        <f ca="1">STRCHECKDATE(V47:AJ47)</f>
        <v>#NAME?</v>
      </c>
      <c r="AN46" s="29" t="str">
        <f t="shared" si="1"/>
        <v/>
      </c>
      <c r="AQ46" s="3">
        <v>23</v>
      </c>
    </row>
    <row r="47" spans="1:43" ht="0" hidden="1" customHeight="1">
      <c r="A47" s="284" t="s">
        <v>194</v>
      </c>
      <c r="B47" s="284" t="s">
        <v>195</v>
      </c>
      <c r="C47" s="284" t="s">
        <v>196</v>
      </c>
      <c r="D47" s="284" t="s">
        <v>444</v>
      </c>
      <c r="E47" s="1001"/>
      <c r="F47" s="1001"/>
      <c r="G47" s="1001"/>
      <c r="H47" s="1001"/>
      <c r="I47" s="1003"/>
      <c r="J47" s="1003"/>
      <c r="K47" s="1002"/>
      <c r="P47" s="885"/>
      <c r="Q47" s="885"/>
      <c r="R47" s="240"/>
      <c r="S47" s="209"/>
      <c r="T47" s="228"/>
      <c r="U47" s="228"/>
      <c r="V47" s="261"/>
      <c r="W47" s="261"/>
      <c r="X47" s="247" t="str">
        <f>Y46&amp;"-"&amp;AA46</f>
        <v>-</v>
      </c>
      <c r="Y47" s="998"/>
      <c r="Z47" s="998"/>
      <c r="AA47" s="998"/>
      <c r="AB47" s="998"/>
      <c r="AC47" s="244"/>
      <c r="AD47" s="244"/>
      <c r="AE47" s="247" t="str">
        <f>AF46&amp;"-"&amp;AH46</f>
        <v>-</v>
      </c>
      <c r="AF47" s="1006"/>
      <c r="AG47" s="895"/>
      <c r="AH47" s="1008"/>
      <c r="AI47" s="895"/>
      <c r="AJ47" s="359"/>
      <c r="AK47" s="1074"/>
      <c r="AN47" s="29" t="str">
        <f t="shared" si="1"/>
        <v/>
      </c>
      <c r="AQ47" s="3">
        <v>0</v>
      </c>
    </row>
    <row r="48" spans="1:43" ht="21" customHeight="1">
      <c r="A48" s="284" t="s">
        <v>194</v>
      </c>
      <c r="B48" s="284" t="s">
        <v>195</v>
      </c>
      <c r="C48" s="284" t="s">
        <v>196</v>
      </c>
      <c r="D48" s="284" t="s">
        <v>444</v>
      </c>
      <c r="E48" s="1001"/>
      <c r="F48" s="1001"/>
      <c r="G48" s="1001"/>
      <c r="H48" s="1001"/>
      <c r="I48" s="1003"/>
      <c r="J48" s="1002"/>
      <c r="P48" s="885"/>
      <c r="Q48" s="885"/>
      <c r="R48" s="238"/>
      <c r="S48" s="249"/>
      <c r="T48" s="252" t="s">
        <v>409</v>
      </c>
      <c r="U48" s="54"/>
      <c r="V48" s="54"/>
      <c r="W48" s="54"/>
      <c r="X48" s="54"/>
      <c r="Y48" s="54"/>
      <c r="Z48" s="54"/>
      <c r="AA48" s="54"/>
      <c r="AB48" s="54"/>
      <c r="AC48" s="54"/>
      <c r="AD48" s="54"/>
      <c r="AE48" s="54"/>
      <c r="AF48" s="54"/>
      <c r="AG48" s="54"/>
      <c r="AH48" s="54"/>
      <c r="AI48" s="54"/>
      <c r="AJ48" s="54"/>
      <c r="AK48" s="230" t="s">
        <v>410</v>
      </c>
      <c r="AN48" s="29" t="str">
        <f t="shared" si="1"/>
        <v>Добавить значение признака дифференциации</v>
      </c>
      <c r="AQ48" s="3">
        <v>20</v>
      </c>
    </row>
    <row r="49" spans="1:43" ht="21.95" customHeight="1">
      <c r="A49" s="284" t="s">
        <v>194</v>
      </c>
      <c r="B49" s="284" t="s">
        <v>195</v>
      </c>
      <c r="C49" s="284" t="s">
        <v>196</v>
      </c>
      <c r="D49" s="284" t="s">
        <v>444</v>
      </c>
      <c r="E49" s="1001"/>
      <c r="F49" s="1001"/>
      <c r="G49" s="1001"/>
      <c r="H49" s="1001"/>
      <c r="I49" s="1002"/>
      <c r="P49" s="885"/>
      <c r="R49" s="238"/>
      <c r="S49" s="249"/>
      <c r="T49" s="255" t="s">
        <v>335</v>
      </c>
      <c r="U49" s="54"/>
      <c r="V49" s="54"/>
      <c r="W49" s="54"/>
      <c r="X49" s="54"/>
      <c r="Y49" s="54"/>
      <c r="Z49" s="54"/>
      <c r="AA49" s="54"/>
      <c r="AB49" s="253"/>
      <c r="AC49" s="54"/>
      <c r="AD49" s="54"/>
      <c r="AE49" s="54"/>
      <c r="AF49" s="54"/>
      <c r="AG49" s="54"/>
      <c r="AH49" s="54"/>
      <c r="AI49" s="253"/>
      <c r="AJ49" s="54"/>
      <c r="AK49" s="360"/>
      <c r="AN49" s="29" t="str">
        <f t="shared" si="1"/>
        <v>Добавить группу потребителей</v>
      </c>
      <c r="AQ49" s="3">
        <v>21</v>
      </c>
    </row>
    <row r="50" spans="1:43" ht="21.95" customHeight="1">
      <c r="A50" s="284" t="s">
        <v>194</v>
      </c>
      <c r="B50" s="284" t="s">
        <v>195</v>
      </c>
      <c r="C50" s="284" t="s">
        <v>196</v>
      </c>
      <c r="D50" s="284" t="s">
        <v>444</v>
      </c>
      <c r="E50" s="1001"/>
      <c r="F50" s="1001"/>
      <c r="G50" s="1001"/>
      <c r="H50" s="1000"/>
      <c r="R50" s="225"/>
      <c r="S50" s="249"/>
      <c r="T50" s="361" t="s">
        <v>411</v>
      </c>
      <c r="U50" s="54"/>
      <c r="V50" s="54"/>
      <c r="W50" s="54"/>
      <c r="X50" s="54"/>
      <c r="Y50" s="54"/>
      <c r="Z50" s="54"/>
      <c r="AA50" s="54"/>
      <c r="AB50" s="253"/>
      <c r="AC50" s="54"/>
      <c r="AD50" s="54"/>
      <c r="AE50" s="54"/>
      <c r="AF50" s="54"/>
      <c r="AG50" s="54"/>
      <c r="AH50" s="54"/>
      <c r="AI50" s="253"/>
      <c r="AJ50" s="54"/>
      <c r="AK50" s="254"/>
      <c r="AN50" s="29" t="str">
        <f t="shared" si="1"/>
        <v>Добавить наименование признака дифференциации</v>
      </c>
      <c r="AQ50" s="3">
        <v>21</v>
      </c>
    </row>
    <row r="51" spans="1:43" ht="0" hidden="1" customHeight="1">
      <c r="A51" s="21" t="s">
        <v>194</v>
      </c>
      <c r="B51" s="21" t="s">
        <v>195</v>
      </c>
      <c r="E51" s="1001"/>
      <c r="F51" s="1000"/>
      <c r="T51" s="260" t="s">
        <v>338</v>
      </c>
      <c r="AN51" s="29" t="str">
        <f t="shared" si="1"/>
        <v>Добавить централизованную систему для дифференциации</v>
      </c>
      <c r="AQ51" s="24">
        <v>0</v>
      </c>
    </row>
    <row r="52" spans="1:43" ht="0" hidden="1" customHeight="1">
      <c r="A52" s="21" t="s">
        <v>194</v>
      </c>
      <c r="E52" s="1000"/>
      <c r="T52" s="260" t="s">
        <v>339</v>
      </c>
      <c r="AN52" s="29" t="str">
        <f t="shared" si="1"/>
        <v>Добавить территорию для дифференциации</v>
      </c>
      <c r="AQ52" s="24">
        <v>0</v>
      </c>
    </row>
    <row r="53" spans="1:43" ht="0" hidden="1" customHeight="1">
      <c r="T53" s="260" t="s">
        <v>371</v>
      </c>
      <c r="AN53" s="29" t="str">
        <f t="shared" si="1"/>
        <v>Добавить наименование тарифа</v>
      </c>
      <c r="AQ53" s="24">
        <v>0</v>
      </c>
    </row>
    <row r="54" spans="1:43" ht="11.45" customHeight="1">
      <c r="AQ54" s="3">
        <v>11</v>
      </c>
    </row>
    <row r="55" spans="1:43" ht="14.65" customHeight="1">
      <c r="T55" s="885"/>
      <c r="U55" s="885"/>
      <c r="V55" s="885"/>
      <c r="W55" s="885"/>
      <c r="X55" s="885"/>
      <c r="Y55" s="885"/>
      <c r="Z55" s="885"/>
      <c r="AA55" s="885"/>
      <c r="AB55" s="885"/>
      <c r="AC55" s="885"/>
      <c r="AD55" s="885"/>
      <c r="AE55" s="885"/>
      <c r="AF55" s="885"/>
      <c r="AG55" s="885"/>
      <c r="AH55" s="885"/>
      <c r="AI55" s="885"/>
      <c r="AJ55" s="885"/>
      <c r="AK55" s="885"/>
      <c r="AQ55" s="3">
        <v>14</v>
      </c>
    </row>
    <row r="56" spans="1:43" ht="14.65" customHeight="1">
      <c r="AQ56" s="3">
        <v>14</v>
      </c>
    </row>
    <row r="57" spans="1:43" ht="14.65" customHeight="1">
      <c r="T57" s="885"/>
      <c r="U57" s="885"/>
      <c r="V57" s="885"/>
      <c r="W57" s="885"/>
      <c r="X57" s="885"/>
      <c r="Y57" s="885"/>
      <c r="Z57" s="885"/>
      <c r="AA57" s="885"/>
      <c r="AB57" s="885"/>
      <c r="AC57" s="885"/>
      <c r="AD57" s="885"/>
      <c r="AE57" s="885"/>
      <c r="AF57" s="885"/>
      <c r="AG57" s="885"/>
      <c r="AH57" s="885"/>
      <c r="AI57" s="885"/>
      <c r="AJ57" s="885"/>
      <c r="AK57" s="885"/>
      <c r="AQ57" s="3">
        <v>14</v>
      </c>
    </row>
    <row r="58" spans="1:43" ht="22.5" hidden="1" customHeight="1">
      <c r="A58" s="11" t="s">
        <v>18</v>
      </c>
      <c r="B58" s="11">
        <v>0</v>
      </c>
      <c r="C58" s="11">
        <v>0</v>
      </c>
      <c r="D58" s="11">
        <v>0</v>
      </c>
      <c r="E58" s="11">
        <v>0</v>
      </c>
      <c r="F58" s="11">
        <v>0</v>
      </c>
      <c r="G58" s="11">
        <v>0</v>
      </c>
      <c r="H58" s="11">
        <v>0</v>
      </c>
      <c r="I58" s="11">
        <v>0</v>
      </c>
      <c r="J58" s="11">
        <v>0</v>
      </c>
      <c r="K58" s="11">
        <v>0</v>
      </c>
      <c r="L58" s="171">
        <v>0</v>
      </c>
      <c r="M58" s="13">
        <v>0</v>
      </c>
      <c r="N58" s="13">
        <v>0</v>
      </c>
      <c r="O58" s="13">
        <v>0</v>
      </c>
      <c r="P58" s="287">
        <v>3</v>
      </c>
      <c r="Q58" s="288">
        <v>3</v>
      </c>
      <c r="R58" s="288">
        <v>3</v>
      </c>
      <c r="S58" s="9">
        <v>12</v>
      </c>
      <c r="T58" s="3">
        <v>35</v>
      </c>
      <c r="U58" s="3">
        <v>0</v>
      </c>
      <c r="V58" s="3">
        <v>0</v>
      </c>
      <c r="W58" s="3">
        <v>0</v>
      </c>
      <c r="X58" s="3">
        <v>0</v>
      </c>
      <c r="Y58" s="3">
        <v>0</v>
      </c>
      <c r="Z58" s="3">
        <v>0</v>
      </c>
      <c r="AA58" s="3">
        <v>0</v>
      </c>
      <c r="AB58" s="3">
        <v>0</v>
      </c>
      <c r="AC58" s="3">
        <v>24</v>
      </c>
      <c r="AD58" s="3">
        <v>24</v>
      </c>
      <c r="AE58" s="3">
        <v>24</v>
      </c>
      <c r="AF58" s="3">
        <v>11</v>
      </c>
      <c r="AG58" s="3">
        <v>3</v>
      </c>
      <c r="AH58" s="3">
        <v>11</v>
      </c>
      <c r="AI58" s="3">
        <v>0</v>
      </c>
      <c r="AJ58" s="3">
        <v>4</v>
      </c>
      <c r="AK58" s="3">
        <v>115</v>
      </c>
      <c r="AL58" s="24">
        <v>10</v>
      </c>
      <c r="AM58" s="24">
        <v>10</v>
      </c>
      <c r="AN58" s="24">
        <v>10</v>
      </c>
      <c r="AO58" s="24">
        <v>10</v>
      </c>
      <c r="AP58" s="24">
        <v>10</v>
      </c>
      <c r="AQ58" s="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hidden="1" customWidth="1"/>
    <col min="2" max="2" width="11" hidden="1" customWidth="1"/>
    <col min="3" max="3" width="10.5703125" hidden="1"/>
    <col min="4" max="4" width="12.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7" width="3.7109375" hidden="1" customWidth="1"/>
    <col min="18" max="18" width="3" customWidth="1"/>
    <col min="19" max="19" width="12" customWidth="1"/>
    <col min="20" max="20" width="31" customWidth="1"/>
    <col min="21" max="21" width="0.140625" customWidth="1"/>
    <col min="22" max="25" width="21.7109375" hidden="1" customWidth="1"/>
    <col min="26" max="26" width="11.7109375" hidden="1" customWidth="1"/>
    <col min="27" max="27" width="3.7109375" hidden="1" customWidth="1"/>
    <col min="28" max="28" width="11.7109375" hidden="1" customWidth="1"/>
    <col min="29" max="29" width="8.5703125" hidden="1" customWidth="1"/>
    <col min="30" max="30" width="3.7109375" customWidth="1"/>
    <col min="31" max="32" width="3" customWidth="1"/>
    <col min="33" max="33" width="24" customWidth="1"/>
    <col min="34" max="34" width="3.7109375" customWidth="1"/>
    <col min="35" max="36" width="3" customWidth="1"/>
    <col min="37" max="37" width="24" customWidth="1"/>
    <col min="38" max="38" width="3.7109375" customWidth="1"/>
    <col min="39" max="40" width="3" customWidth="1"/>
    <col min="41" max="41" width="18" customWidth="1"/>
    <col min="42" max="42" width="3.7109375" customWidth="1"/>
    <col min="43" max="44" width="3" customWidth="1"/>
    <col min="45" max="45" width="18" customWidth="1"/>
    <col min="46" max="49" width="21" customWidth="1"/>
    <col min="50" max="50" width="11" customWidth="1"/>
    <col min="51" max="51" width="3.7109375" customWidth="1"/>
    <col min="52" max="52" width="11" customWidth="1"/>
    <col min="53" max="53" width="8.5703125" hidden="1" customWidth="1"/>
    <col min="54" max="54" width="4" customWidth="1"/>
    <col min="55" max="55" width="115" customWidth="1"/>
    <col min="56" max="60" width="10" customWidth="1"/>
    <col min="61" max="61" width="10.5703125" hidden="1"/>
  </cols>
  <sheetData>
    <row r="1" spans="5:61" ht="22.5" hidden="1" customHeight="1">
      <c r="BI1" s="3" t="s">
        <v>1</v>
      </c>
    </row>
    <row r="2" spans="5:61" ht="21" hidden="1" customHeight="1">
      <c r="E2" s="1000">
        <v>1</v>
      </c>
      <c r="R2" s="225"/>
      <c r="S2" s="226" t="e">
        <f>INDEX(PT_DIFFERENTIATION_NUM_NTAR,MATCH(A2,PT_DIFFERENTIATION_NTAR_ID,0))</f>
        <v>#N/A</v>
      </c>
      <c r="T2" s="227" t="s">
        <v>48</v>
      </c>
      <c r="U2" s="228"/>
      <c r="V2" s="996"/>
      <c r="W2" s="996"/>
      <c r="X2" s="996"/>
      <c r="Y2" s="996"/>
      <c r="Z2" s="996"/>
      <c r="AA2" s="996"/>
      <c r="AB2" s="996"/>
      <c r="AC2" s="997"/>
      <c r="AD2" s="995" t="e">
        <f>INDEX(PT_DIFFERENTIATION_NTAR,MATCH(A2,PT_DIFFERENTIATION_NTAR_ID,0))</f>
        <v>#N/A</v>
      </c>
      <c r="AE2" s="996"/>
      <c r="AF2" s="996"/>
      <c r="AG2" s="996"/>
      <c r="AH2" s="996"/>
      <c r="AI2" s="996"/>
      <c r="AJ2" s="996"/>
      <c r="AK2" s="996"/>
      <c r="AL2" s="996"/>
      <c r="AM2" s="996"/>
      <c r="AN2" s="996"/>
      <c r="AO2" s="996"/>
      <c r="AP2" s="996"/>
      <c r="AQ2" s="996"/>
      <c r="AR2" s="996"/>
      <c r="AS2" s="996"/>
      <c r="AT2" s="996"/>
      <c r="AU2" s="996"/>
      <c r="AV2" s="996"/>
      <c r="AW2" s="996"/>
      <c r="AX2" s="996"/>
      <c r="AY2" s="996"/>
      <c r="AZ2" s="996"/>
      <c r="BA2" s="996"/>
      <c r="BB2" s="997"/>
      <c r="BC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F2" s="29" t="str">
        <f t="shared" ref="BF2:BF8" si="0">IF(T2="","",T2)</f>
        <v>Наименование тарифа</v>
      </c>
      <c r="BI2" s="3">
        <v>0</v>
      </c>
    </row>
    <row r="3" spans="5:61" ht="21" hidden="1" customHeight="1">
      <c r="E3" s="1001"/>
      <c r="F3" s="1000">
        <v>1</v>
      </c>
      <c r="Q3" s="328"/>
      <c r="R3" s="232"/>
      <c r="S3" s="226" t="e">
        <f>INDEX(PT_DIFFERENTIATION_NUM_TER,MATCH(B3,PT_DIFFERENTIATION_TER_ID,0))</f>
        <v>#N/A</v>
      </c>
      <c r="T3" s="233" t="s">
        <v>320</v>
      </c>
      <c r="U3" s="228"/>
      <c r="V3" s="996"/>
      <c r="W3" s="996"/>
      <c r="X3" s="996"/>
      <c r="Y3" s="996"/>
      <c r="Z3" s="996"/>
      <c r="AA3" s="996"/>
      <c r="AB3" s="996"/>
      <c r="AC3" s="997"/>
      <c r="AD3" s="995" t="e">
        <f>INDEX(PT_DIFFERENTIATION_TER,MATCH(B3,PT_DIFFERENTIATION_TER_ID,0))</f>
        <v>#N/A</v>
      </c>
      <c r="AE3" s="996"/>
      <c r="AF3" s="996"/>
      <c r="AG3" s="996"/>
      <c r="AH3" s="996"/>
      <c r="AI3" s="996"/>
      <c r="AJ3" s="996"/>
      <c r="AK3" s="996"/>
      <c r="AL3" s="996"/>
      <c r="AM3" s="996"/>
      <c r="AN3" s="996"/>
      <c r="AO3" s="996"/>
      <c r="AP3" s="996"/>
      <c r="AQ3" s="996"/>
      <c r="AR3" s="996"/>
      <c r="AS3" s="996"/>
      <c r="AT3" s="996"/>
      <c r="AU3" s="996"/>
      <c r="AV3" s="996"/>
      <c r="AW3" s="996"/>
      <c r="AX3" s="996"/>
      <c r="AY3" s="996"/>
      <c r="AZ3" s="996"/>
      <c r="BA3" s="996"/>
      <c r="BB3" s="997"/>
      <c r="BC3" s="230" t="s">
        <v>321</v>
      </c>
      <c r="BF3" s="29" t="str">
        <f t="shared" si="0"/>
        <v>Территория действия тарифа</v>
      </c>
      <c r="BI3" s="3">
        <v>0</v>
      </c>
    </row>
    <row r="4" spans="5:61" ht="33.75" hidden="1" customHeight="1">
      <c r="E4" s="1001"/>
      <c r="F4" s="1001"/>
      <c r="G4" s="1000">
        <v>1</v>
      </c>
      <c r="Q4" s="328"/>
      <c r="R4" s="232"/>
      <c r="S4" s="226" t="e">
        <f>INDEX(PT_DIFFERENTIATION_NUM_CS,MATCH(C4,PT_DIFFERENTIATION_CS_ID,0))</f>
        <v>#N/A</v>
      </c>
      <c r="T4" s="234" t="s">
        <v>439</v>
      </c>
      <c r="U4" s="228"/>
      <c r="V4" s="996"/>
      <c r="W4" s="996"/>
      <c r="X4" s="996"/>
      <c r="Y4" s="996"/>
      <c r="Z4" s="996"/>
      <c r="AA4" s="996"/>
      <c r="AB4" s="996"/>
      <c r="AC4" s="997"/>
      <c r="AD4" s="995" t="e">
        <f>INDEX(PT_DIFFERENTIATION_CS,MATCH(C4,PT_DIFFERENTIATION_CS_ID,0))</f>
        <v>#N/A</v>
      </c>
      <c r="AE4" s="996"/>
      <c r="AF4" s="996"/>
      <c r="AG4" s="996"/>
      <c r="AH4" s="996"/>
      <c r="AI4" s="996"/>
      <c r="AJ4" s="996"/>
      <c r="AK4" s="996"/>
      <c r="AL4" s="996"/>
      <c r="AM4" s="996"/>
      <c r="AN4" s="996"/>
      <c r="AO4" s="996"/>
      <c r="AP4" s="996"/>
      <c r="AQ4" s="996"/>
      <c r="AR4" s="996"/>
      <c r="AS4" s="996"/>
      <c r="AT4" s="996"/>
      <c r="AU4" s="996"/>
      <c r="AV4" s="996"/>
      <c r="AW4" s="996"/>
      <c r="AX4" s="996"/>
      <c r="AY4" s="996"/>
      <c r="AZ4" s="996"/>
      <c r="BA4" s="996"/>
      <c r="BB4" s="997"/>
      <c r="BC4" s="230" t="s">
        <v>440</v>
      </c>
      <c r="BF4" s="29" t="str">
        <f t="shared" si="0"/>
        <v>Наименование централизованной системы водоотведения</v>
      </c>
      <c r="BI4" s="3">
        <v>0</v>
      </c>
    </row>
    <row r="5" spans="5:61" ht="14.25" hidden="1" customHeight="1">
      <c r="E5" s="1001"/>
      <c r="F5" s="1001"/>
      <c r="G5" s="1001"/>
      <c r="H5" s="1000">
        <v>1</v>
      </c>
      <c r="Q5" s="366"/>
      <c r="R5" s="240"/>
      <c r="S5" s="124"/>
      <c r="T5" s="367"/>
      <c r="U5" s="295"/>
      <c r="V5" s="1032"/>
      <c r="W5" s="1032"/>
      <c r="X5" s="1032"/>
      <c r="Y5" s="1032"/>
      <c r="Z5" s="1032"/>
      <c r="AA5" s="1032"/>
      <c r="AB5" s="1032"/>
      <c r="AC5" s="1033"/>
      <c r="AD5" s="1031"/>
      <c r="AE5" s="1032"/>
      <c r="AF5" s="1032"/>
      <c r="AG5" s="1032"/>
      <c r="AH5" s="1032"/>
      <c r="AI5" s="1032"/>
      <c r="AJ5" s="1032"/>
      <c r="AK5" s="1032"/>
      <c r="AL5" s="1032"/>
      <c r="AM5" s="1032"/>
      <c r="AN5" s="1032"/>
      <c r="AO5" s="1032"/>
      <c r="AP5" s="1032"/>
      <c r="AQ5" s="1032"/>
      <c r="AR5" s="1032"/>
      <c r="AS5" s="1032"/>
      <c r="AT5" s="1032"/>
      <c r="AU5" s="1032"/>
      <c r="AV5" s="1032"/>
      <c r="AW5" s="1032"/>
      <c r="AX5" s="1032"/>
      <c r="AY5" s="1032"/>
      <c r="AZ5" s="1032"/>
      <c r="BA5" s="1032"/>
      <c r="BB5" s="1033"/>
      <c r="BC5" s="297" t="s">
        <v>325</v>
      </c>
      <c r="BF5" s="29" t="str">
        <f t="shared" si="0"/>
        <v/>
      </c>
      <c r="BI5" s="24">
        <v>0</v>
      </c>
    </row>
    <row r="6" spans="5:61" ht="14.25" hidden="1" customHeight="1">
      <c r="E6" s="1001"/>
      <c r="F6" s="1001"/>
      <c r="G6" s="1001"/>
      <c r="H6" s="1001"/>
      <c r="I6" s="1002" t="str">
        <f>S5&amp;".1"</f>
        <v>.1</v>
      </c>
      <c r="L6" s="302" t="s">
        <v>326</v>
      </c>
      <c r="P6" s="1004">
        <v>1</v>
      </c>
      <c r="R6" s="238"/>
      <c r="S6" s="124"/>
      <c r="T6" s="294"/>
      <c r="U6" s="295"/>
      <c r="V6" s="1032"/>
      <c r="W6" s="1032"/>
      <c r="X6" s="1032"/>
      <c r="Y6" s="1032"/>
      <c r="Z6" s="1032"/>
      <c r="AA6" s="1032"/>
      <c r="AB6" s="1032"/>
      <c r="AC6" s="1033"/>
      <c r="AD6" s="1031"/>
      <c r="AE6" s="1032"/>
      <c r="AF6" s="1032"/>
      <c r="AG6" s="1032"/>
      <c r="AH6" s="1032"/>
      <c r="AI6" s="1032"/>
      <c r="AJ6" s="1032"/>
      <c r="AK6" s="1032"/>
      <c r="AL6" s="1032"/>
      <c r="AM6" s="1032"/>
      <c r="AN6" s="1032"/>
      <c r="AO6" s="1032"/>
      <c r="AP6" s="1032"/>
      <c r="AQ6" s="1032"/>
      <c r="AR6" s="1032"/>
      <c r="AS6" s="1032"/>
      <c r="AT6" s="1032"/>
      <c r="AU6" s="1032"/>
      <c r="AV6" s="1032"/>
      <c r="AW6" s="1032"/>
      <c r="AX6" s="1032"/>
      <c r="AY6" s="1032"/>
      <c r="AZ6" s="1032"/>
      <c r="BA6" s="1032"/>
      <c r="BB6" s="1033"/>
      <c r="BC6" s="297"/>
      <c r="BF6" s="29" t="str">
        <f t="shared" si="0"/>
        <v/>
      </c>
      <c r="BI6" s="24">
        <v>0</v>
      </c>
    </row>
    <row r="7" spans="5:61" ht="14.25" hidden="1" customHeight="1">
      <c r="E7" s="1001"/>
      <c r="F7" s="1001"/>
      <c r="G7" s="1001"/>
      <c r="H7" s="1001"/>
      <c r="I7" s="1003"/>
      <c r="J7" s="1002" t="str">
        <f>S5&amp;".1"</f>
        <v>.1</v>
      </c>
      <c r="P7" s="885"/>
      <c r="Q7" s="1004">
        <v>1</v>
      </c>
      <c r="R7" s="240"/>
      <c r="S7" s="124"/>
      <c r="T7" s="329"/>
      <c r="U7" s="295"/>
      <c r="V7" s="1032"/>
      <c r="W7" s="1032"/>
      <c r="X7" s="1032"/>
      <c r="Y7" s="1032"/>
      <c r="Z7" s="1032"/>
      <c r="AA7" s="1032"/>
      <c r="AB7" s="1032"/>
      <c r="AC7" s="1033"/>
      <c r="AD7" s="1031"/>
      <c r="AE7" s="1032"/>
      <c r="AF7" s="1032"/>
      <c r="AG7" s="1032"/>
      <c r="AH7" s="1032"/>
      <c r="AI7" s="1032"/>
      <c r="AJ7" s="1032"/>
      <c r="AK7" s="1032"/>
      <c r="AL7" s="1032"/>
      <c r="AM7" s="1032"/>
      <c r="AN7" s="1032"/>
      <c r="AO7" s="1032"/>
      <c r="AP7" s="1032"/>
      <c r="AQ7" s="1032"/>
      <c r="AR7" s="1032"/>
      <c r="AS7" s="1032"/>
      <c r="AT7" s="1032"/>
      <c r="AU7" s="1032"/>
      <c r="AV7" s="1032"/>
      <c r="AW7" s="1032"/>
      <c r="AX7" s="1032"/>
      <c r="AY7" s="1032"/>
      <c r="AZ7" s="1032"/>
      <c r="BA7" s="1032"/>
      <c r="BB7" s="1033"/>
      <c r="BC7" s="297"/>
      <c r="BF7" s="29" t="str">
        <f t="shared" si="0"/>
        <v/>
      </c>
      <c r="BI7" s="24">
        <v>0</v>
      </c>
    </row>
    <row r="8" spans="5:61" ht="11.25" hidden="1" customHeight="1">
      <c r="E8" s="1001"/>
      <c r="F8" s="1001"/>
      <c r="G8" s="1001"/>
      <c r="H8" s="1001"/>
      <c r="I8" s="1003"/>
      <c r="J8" s="1003"/>
      <c r="K8" s="1002" t="e">
        <f>S4&amp;".1"</f>
        <v>#N/A</v>
      </c>
      <c r="P8" s="885"/>
      <c r="Q8" s="885"/>
      <c r="R8" s="1060">
        <v>1</v>
      </c>
      <c r="S8" s="1057" t="e">
        <f>$K8</f>
        <v>#N/A</v>
      </c>
      <c r="T8" s="1077"/>
      <c r="U8" s="228"/>
      <c r="V8" s="243"/>
      <c r="W8" s="245"/>
      <c r="X8" s="243"/>
      <c r="Y8" s="245"/>
      <c r="Z8" s="246"/>
      <c r="AA8" s="56" t="s">
        <v>17</v>
      </c>
      <c r="AB8" s="246"/>
      <c r="AC8" s="56" t="s">
        <v>17</v>
      </c>
      <c r="AD8" s="948" t="s">
        <v>17</v>
      </c>
      <c r="AE8" s="1053"/>
      <c r="AF8" s="958">
        <v>1</v>
      </c>
      <c r="AG8" s="1076"/>
      <c r="AH8" s="895" t="s">
        <v>17</v>
      </c>
      <c r="AI8" s="1053"/>
      <c r="AJ8" s="958">
        <v>1</v>
      </c>
      <c r="AK8" s="1067" t="s">
        <v>4</v>
      </c>
      <c r="AL8" s="895" t="s">
        <v>17</v>
      </c>
      <c r="AM8" s="936"/>
      <c r="AN8" s="958">
        <v>1</v>
      </c>
      <c r="AO8" s="1080"/>
      <c r="AP8" s="1081" t="s">
        <v>17</v>
      </c>
      <c r="AQ8" s="332"/>
      <c r="AR8" s="118">
        <v>1</v>
      </c>
      <c r="AS8" s="15" t="s">
        <v>4</v>
      </c>
      <c r="AT8" s="243"/>
      <c r="AU8" s="245"/>
      <c r="AV8" s="243"/>
      <c r="AW8" s="245"/>
      <c r="AX8" s="246"/>
      <c r="AY8" s="56" t="s">
        <v>17</v>
      </c>
      <c r="AZ8" s="246"/>
      <c r="BA8" s="56" t="s">
        <v>17</v>
      </c>
      <c r="BB8" s="285"/>
      <c r="BC8" s="1023" t="s">
        <v>424</v>
      </c>
      <c r="BF8" s="29" t="str">
        <f t="shared" si="0"/>
        <v/>
      </c>
      <c r="BI8" s="3">
        <v>0</v>
      </c>
    </row>
    <row r="9" spans="5:61" ht="11.25" hidden="1" customHeight="1">
      <c r="E9" s="1001"/>
      <c r="F9" s="1001"/>
      <c r="G9" s="1001"/>
      <c r="H9" s="1001"/>
      <c r="I9" s="1003"/>
      <c r="J9" s="1003"/>
      <c r="K9" s="1002"/>
      <c r="P9" s="885"/>
      <c r="Q9" s="885"/>
      <c r="R9" s="1060"/>
      <c r="S9" s="1058"/>
      <c r="T9" s="1078"/>
      <c r="U9" s="228"/>
      <c r="V9" s="322"/>
      <c r="W9" s="335"/>
      <c r="X9" s="322"/>
      <c r="Y9" s="335"/>
      <c r="Z9" s="322"/>
      <c r="AA9" s="322"/>
      <c r="AB9" s="322"/>
      <c r="AC9" s="322"/>
      <c r="AD9" s="949"/>
      <c r="AE9" s="1053"/>
      <c r="AF9" s="958"/>
      <c r="AG9" s="1076"/>
      <c r="AH9" s="895"/>
      <c r="AI9" s="1053"/>
      <c r="AJ9" s="958"/>
      <c r="AK9" s="1067"/>
      <c r="AL9" s="895"/>
      <c r="AM9" s="941"/>
      <c r="AN9" s="958"/>
      <c r="AO9" s="1080"/>
      <c r="AP9" s="1082"/>
      <c r="AQ9" s="334"/>
      <c r="AR9" s="45"/>
      <c r="AS9" s="45" t="s">
        <v>425</v>
      </c>
      <c r="AT9" s="322"/>
      <c r="AU9" s="335"/>
      <c r="AV9" s="322"/>
      <c r="AW9" s="335"/>
      <c r="AX9" s="322"/>
      <c r="AY9" s="322"/>
      <c r="AZ9" s="322"/>
      <c r="BA9" s="322"/>
      <c r="BB9" s="333"/>
      <c r="BC9" s="1024"/>
      <c r="BI9" s="3">
        <v>0</v>
      </c>
    </row>
    <row r="10" spans="5:61" ht="11.25" hidden="1" customHeight="1">
      <c r="E10" s="1001"/>
      <c r="F10" s="1001"/>
      <c r="G10" s="1001"/>
      <c r="H10" s="1001"/>
      <c r="I10" s="1003"/>
      <c r="J10" s="1003"/>
      <c r="K10" s="1002"/>
      <c r="P10" s="885"/>
      <c r="Q10" s="885"/>
      <c r="R10" s="1060"/>
      <c r="S10" s="1058"/>
      <c r="T10" s="1078"/>
      <c r="U10" s="228"/>
      <c r="V10" s="322"/>
      <c r="W10" s="335"/>
      <c r="X10" s="322"/>
      <c r="Y10" s="335"/>
      <c r="Z10" s="322"/>
      <c r="AA10" s="322"/>
      <c r="AB10" s="322"/>
      <c r="AC10" s="322"/>
      <c r="AD10" s="949"/>
      <c r="AE10" s="1053"/>
      <c r="AF10" s="958"/>
      <c r="AG10" s="1076"/>
      <c r="AH10" s="895"/>
      <c r="AI10" s="1053"/>
      <c r="AJ10" s="958"/>
      <c r="AK10" s="1067"/>
      <c r="AL10" s="895"/>
      <c r="AM10" s="334"/>
      <c r="AN10" s="368"/>
      <c r="AO10" s="368" t="s">
        <v>445</v>
      </c>
      <c r="AP10" s="45"/>
      <c r="AQ10" s="45"/>
      <c r="AR10" s="45"/>
      <c r="AS10" s="322"/>
      <c r="AT10" s="322"/>
      <c r="AU10" s="335"/>
      <c r="AV10" s="322"/>
      <c r="AW10" s="335"/>
      <c r="AX10" s="322"/>
      <c r="AY10" s="322"/>
      <c r="AZ10" s="322"/>
      <c r="BA10" s="322"/>
      <c r="BB10" s="333"/>
      <c r="BC10" s="1024"/>
      <c r="BI10" s="3">
        <v>0</v>
      </c>
    </row>
    <row r="11" spans="5:61" ht="11.25" hidden="1" customHeight="1">
      <c r="E11" s="1001"/>
      <c r="F11" s="1001"/>
      <c r="G11" s="1001"/>
      <c r="H11" s="1001"/>
      <c r="I11" s="1003"/>
      <c r="J11" s="1003"/>
      <c r="K11" s="1002"/>
      <c r="P11" s="885"/>
      <c r="Q11" s="885"/>
      <c r="R11" s="1060"/>
      <c r="S11" s="1058"/>
      <c r="T11" s="1078"/>
      <c r="U11" s="228"/>
      <c r="V11" s="322"/>
      <c r="W11" s="335"/>
      <c r="X11" s="322"/>
      <c r="Y11" s="335"/>
      <c r="Z11" s="322"/>
      <c r="AA11" s="322"/>
      <c r="AB11" s="322"/>
      <c r="AC11" s="322"/>
      <c r="AD11" s="949"/>
      <c r="AE11" s="1053"/>
      <c r="AF11" s="958"/>
      <c r="AG11" s="1076"/>
      <c r="AH11" s="895"/>
      <c r="AI11" s="337"/>
      <c r="AJ11" s="42"/>
      <c r="AK11" s="200" t="s">
        <v>446</v>
      </c>
      <c r="AL11" s="322"/>
      <c r="AM11" s="322"/>
      <c r="AN11" s="322"/>
      <c r="AO11" s="322"/>
      <c r="AP11" s="322"/>
      <c r="AQ11" s="322"/>
      <c r="AR11" s="322"/>
      <c r="AS11" s="322"/>
      <c r="AT11" s="322"/>
      <c r="AU11" s="335"/>
      <c r="AV11" s="322"/>
      <c r="AW11" s="335"/>
      <c r="AX11" s="322"/>
      <c r="AY11" s="322"/>
      <c r="AZ11" s="322"/>
      <c r="BA11" s="322"/>
      <c r="BB11" s="333"/>
      <c r="BC11" s="1024"/>
      <c r="BI11" s="3">
        <v>0</v>
      </c>
    </row>
    <row r="12" spans="5:61" ht="11.25" hidden="1" customHeight="1">
      <c r="E12" s="1001"/>
      <c r="F12" s="1001"/>
      <c r="G12" s="1001"/>
      <c r="H12" s="1001"/>
      <c r="I12" s="1003"/>
      <c r="J12" s="1003"/>
      <c r="K12" s="1002"/>
      <c r="P12" s="885"/>
      <c r="Q12" s="885"/>
      <c r="R12" s="1060"/>
      <c r="S12" s="1059"/>
      <c r="T12" s="1079"/>
      <c r="U12" s="228"/>
      <c r="V12" s="322"/>
      <c r="W12" s="323" t="str">
        <f>Z8&amp;"-"&amp;AB8</f>
        <v>-</v>
      </c>
      <c r="X12" s="322"/>
      <c r="Y12" s="323" t="str">
        <f>AB8&amp;"-"&amp;AD8</f>
        <v>-да</v>
      </c>
      <c r="Z12" s="322"/>
      <c r="AA12" s="322"/>
      <c r="AB12" s="322"/>
      <c r="AC12" s="322"/>
      <c r="AD12" s="900"/>
      <c r="AE12" s="339"/>
      <c r="AF12" s="340"/>
      <c r="AG12" s="45" t="s">
        <v>428</v>
      </c>
      <c r="AH12" s="322"/>
      <c r="AI12" s="322"/>
      <c r="AJ12" s="322"/>
      <c r="AK12" s="322"/>
      <c r="AL12" s="322"/>
      <c r="AM12" s="322"/>
      <c r="AN12" s="322"/>
      <c r="AO12" s="322"/>
      <c r="AP12" s="322"/>
      <c r="AQ12" s="322"/>
      <c r="AR12" s="322"/>
      <c r="AS12" s="322"/>
      <c r="AT12" s="322"/>
      <c r="AU12" s="323" t="str">
        <f>AX8&amp;"-"&amp;AZ8</f>
        <v>-</v>
      </c>
      <c r="AV12" s="322"/>
      <c r="AW12" s="323" t="str">
        <f>AZ8&amp;"-"&amp;BB8</f>
        <v>-</v>
      </c>
      <c r="AX12" s="322"/>
      <c r="AY12" s="322"/>
      <c r="AZ12" s="322"/>
      <c r="BA12" s="322"/>
      <c r="BB12" s="338" t="str">
        <f>BE8&amp;"-"&amp;BG8</f>
        <v>-</v>
      </c>
      <c r="BC12" s="1024"/>
      <c r="BF12" s="29" t="str">
        <f t="shared" ref="BF12:BF18" si="1">IF(T12="","",T12)</f>
        <v/>
      </c>
      <c r="BI12" s="3">
        <v>0</v>
      </c>
    </row>
    <row r="13" spans="5:61" ht="11.25" hidden="1" customHeight="1">
      <c r="E13" s="1001"/>
      <c r="F13" s="1001"/>
      <c r="G13" s="1001"/>
      <c r="H13" s="1001"/>
      <c r="I13" s="1003"/>
      <c r="J13" s="1002"/>
      <c r="P13" s="885"/>
      <c r="Q13" s="885"/>
      <c r="R13" s="238"/>
      <c r="S13" s="249"/>
      <c r="T13" s="252" t="s">
        <v>391</v>
      </c>
      <c r="U13" s="54"/>
      <c r="V13" s="54"/>
      <c r="W13" s="54"/>
      <c r="X13" s="54"/>
      <c r="Y13" s="54"/>
      <c r="Z13" s="54"/>
      <c r="AA13" s="54"/>
      <c r="AB13" s="54"/>
      <c r="AC13" s="54"/>
      <c r="AD13" s="353"/>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251"/>
      <c r="BC13" s="1025"/>
      <c r="BF13" s="29" t="str">
        <f t="shared" si="1"/>
        <v>Добавить строку</v>
      </c>
      <c r="BI13" s="3">
        <v>0</v>
      </c>
    </row>
    <row r="14" spans="5:61" ht="14.25" hidden="1" customHeight="1">
      <c r="E14" s="1001"/>
      <c r="F14" s="1001"/>
      <c r="G14" s="1001"/>
      <c r="H14" s="1001"/>
      <c r="I14" s="1002"/>
      <c r="P14" s="885"/>
      <c r="R14" s="238"/>
      <c r="S14" s="298"/>
      <c r="T14" s="299"/>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1"/>
      <c r="BF14" s="29" t="str">
        <f t="shared" si="1"/>
        <v/>
      </c>
      <c r="BI14" s="24">
        <v>0</v>
      </c>
    </row>
    <row r="15" spans="5:61" ht="14.25" hidden="1" customHeight="1">
      <c r="E15" s="1001"/>
      <c r="F15" s="1001"/>
      <c r="G15" s="1001"/>
      <c r="H15" s="1000"/>
      <c r="R15" s="341"/>
      <c r="S15" s="298"/>
      <c r="T15" s="299"/>
      <c r="U15" s="300"/>
      <c r="V15" s="300"/>
      <c r="W15" s="300"/>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1"/>
      <c r="BF15" s="29" t="str">
        <f t="shared" si="1"/>
        <v/>
      </c>
      <c r="BI15" s="24">
        <v>0</v>
      </c>
    </row>
    <row r="16" spans="5:61" ht="14.25" hidden="1" customHeight="1">
      <c r="E16" s="1001"/>
      <c r="F16" s="1001"/>
      <c r="G16" s="1000"/>
      <c r="BF16" s="29" t="str">
        <f t="shared" si="1"/>
        <v/>
      </c>
      <c r="BI16" s="24">
        <v>0</v>
      </c>
    </row>
    <row r="17" spans="5:61" ht="14.25" hidden="1" customHeight="1">
      <c r="E17" s="1001"/>
      <c r="F17" s="1000"/>
      <c r="T17" s="260" t="s">
        <v>338</v>
      </c>
      <c r="BF17" s="29" t="str">
        <f t="shared" si="1"/>
        <v>Добавить централизованную систему для дифференциации</v>
      </c>
      <c r="BI17" s="24">
        <v>0</v>
      </c>
    </row>
    <row r="18" spans="5:61" ht="14.25" hidden="1" customHeight="1">
      <c r="E18" s="1000"/>
      <c r="T18" s="260" t="s">
        <v>339</v>
      </c>
      <c r="BF18" s="29" t="str">
        <f t="shared" si="1"/>
        <v>Добавить территорию для дифференциации</v>
      </c>
      <c r="BI18" s="24">
        <v>0</v>
      </c>
    </row>
    <row r="19" spans="5:61" ht="14.25" hidden="1" customHeight="1">
      <c r="BI19" s="3">
        <v>0</v>
      </c>
    </row>
    <row r="20" spans="5:61" ht="14.25" hidden="1" customHeight="1">
      <c r="AD20" s="342" t="s">
        <v>3</v>
      </c>
      <c r="AF20" s="342">
        <v>1</v>
      </c>
      <c r="AH20" s="342" t="s">
        <v>3</v>
      </c>
      <c r="AJ20" s="342">
        <v>1</v>
      </c>
      <c r="AL20" s="342" t="s">
        <v>3</v>
      </c>
      <c r="AN20" s="342">
        <v>1</v>
      </c>
      <c r="AP20" s="342" t="s">
        <v>3</v>
      </c>
      <c r="AR20" s="342">
        <v>1</v>
      </c>
      <c r="AT20" s="244"/>
      <c r="AU20" s="292"/>
      <c r="AV20" s="244"/>
      <c r="AW20" s="292"/>
      <c r="AX20" s="346"/>
      <c r="AY20" s="347" t="s">
        <v>17</v>
      </c>
      <c r="AZ20" s="346"/>
      <c r="BA20" s="347" t="s">
        <v>17</v>
      </c>
      <c r="BI20" s="3">
        <v>0</v>
      </c>
    </row>
    <row r="21" spans="5:61" ht="14.25" hidden="1" customHeight="1">
      <c r="BI21" s="3">
        <v>0</v>
      </c>
    </row>
    <row r="22" spans="5:61" ht="14.25" hidden="1" customHeight="1">
      <c r="O22" s="263" t="s">
        <v>340</v>
      </c>
      <c r="Z22" s="290"/>
      <c r="AB22" s="290"/>
      <c r="AX22" s="290"/>
      <c r="AZ22" s="290"/>
      <c r="BI22" s="3">
        <v>0</v>
      </c>
    </row>
    <row r="23" spans="5:61" ht="14.25" hidden="1" customHeight="1">
      <c r="BI23" s="3">
        <v>0</v>
      </c>
    </row>
    <row r="24" spans="5:61" ht="14.25" hidden="1" customHeight="1">
      <c r="O24" s="348" t="s">
        <v>341</v>
      </c>
      <c r="AA24" s="348" t="s">
        <v>343</v>
      </c>
      <c r="AC24" s="348" t="s">
        <v>344</v>
      </c>
      <c r="AD24" s="348" t="s">
        <v>392</v>
      </c>
      <c r="AH24" s="348" t="s">
        <v>392</v>
      </c>
      <c r="AK24" s="348" t="s">
        <v>429</v>
      </c>
      <c r="AL24" s="348" t="s">
        <v>392</v>
      </c>
      <c r="AP24" s="348" t="s">
        <v>392</v>
      </c>
      <c r="AY24" s="348" t="s">
        <v>343</v>
      </c>
      <c r="BA24" s="348" t="s">
        <v>344</v>
      </c>
      <c r="BI24" s="348">
        <v>0</v>
      </c>
    </row>
    <row r="25" spans="5:61" ht="14.25" hidden="1" customHeight="1">
      <c r="BI25" s="3">
        <v>0</v>
      </c>
    </row>
    <row r="26" spans="5:61" ht="14.25" hidden="1" customHeight="1">
      <c r="BI26" s="3">
        <v>0</v>
      </c>
    </row>
    <row r="27" spans="5:61" ht="14.65" customHeight="1">
      <c r="Q27" s="349"/>
      <c r="R27" s="264"/>
      <c r="S27" s="265"/>
      <c r="T27" s="12"/>
      <c r="U27" s="12"/>
      <c r="BI27" s="3">
        <v>14</v>
      </c>
    </row>
    <row r="28" spans="5:61" ht="14.65" customHeight="1">
      <c r="Q28" s="349"/>
      <c r="R28" s="264"/>
      <c r="S28" s="98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982"/>
      <c r="U28" s="982"/>
      <c r="V28" s="982"/>
      <c r="W28" s="982"/>
      <c r="X28" s="982"/>
      <c r="Y28" s="982"/>
      <c r="Z28" s="982"/>
      <c r="AA28" s="982"/>
      <c r="AB28" s="982"/>
      <c r="AC28" s="982"/>
      <c r="AD28" s="982"/>
      <c r="AE28" s="982"/>
      <c r="AF28" s="982"/>
      <c r="AG28" s="982"/>
      <c r="AH28" s="982"/>
      <c r="AI28" s="982"/>
      <c r="AJ28" s="982"/>
      <c r="AK28" s="982"/>
      <c r="AL28" s="982"/>
      <c r="AM28" s="982"/>
      <c r="AN28" s="982"/>
      <c r="AO28" s="982"/>
      <c r="AP28" s="982"/>
      <c r="AQ28" s="982"/>
      <c r="AR28" s="982"/>
      <c r="AS28" s="982"/>
      <c r="AT28" s="982"/>
      <c r="AU28" s="982"/>
      <c r="AV28" s="982"/>
      <c r="AW28" s="982"/>
      <c r="AX28" s="982"/>
      <c r="AY28" s="982"/>
      <c r="AZ28" s="982"/>
      <c r="BI28" s="3">
        <v>14</v>
      </c>
    </row>
    <row r="29" spans="5:61" ht="14.65" customHeight="1">
      <c r="Q29" s="349"/>
      <c r="R29" s="264"/>
      <c r="S29" s="955" t="e">
        <f>IF(org=0,"Не определено",org)</f>
        <v>#REF!</v>
      </c>
      <c r="T29" s="955"/>
      <c r="U29" s="955"/>
      <c r="V29" s="955"/>
      <c r="W29" s="955"/>
      <c r="X29" s="955"/>
      <c r="Y29" s="955"/>
      <c r="Z29" s="955"/>
      <c r="AA29" s="955"/>
      <c r="AB29" s="955"/>
      <c r="AC29" s="955"/>
      <c r="AD29" s="955"/>
      <c r="AE29" s="955"/>
      <c r="AF29" s="955"/>
      <c r="AG29" s="955"/>
      <c r="AH29" s="955"/>
      <c r="AI29" s="955"/>
      <c r="AJ29" s="955"/>
      <c r="AK29" s="955"/>
      <c r="AL29" s="955"/>
      <c r="AM29" s="955"/>
      <c r="AN29" s="955"/>
      <c r="AO29" s="955"/>
      <c r="AP29" s="955"/>
      <c r="AQ29" s="955"/>
      <c r="AR29" s="955"/>
      <c r="AS29" s="955"/>
      <c r="AT29" s="955"/>
      <c r="AU29" s="955"/>
      <c r="AV29" s="955"/>
      <c r="AW29" s="955"/>
      <c r="AX29" s="955"/>
      <c r="AY29" s="955"/>
      <c r="AZ29" s="955"/>
      <c r="BI29" s="3">
        <v>14</v>
      </c>
    </row>
    <row r="30" spans="5:61" ht="14.25" hidden="1" customHeight="1">
      <c r="Q30" s="349"/>
      <c r="R30" s="264"/>
      <c r="S30" s="265"/>
      <c r="T30" s="12"/>
      <c r="U30" s="12"/>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I30" s="3">
        <v>0</v>
      </c>
    </row>
    <row r="31" spans="5:61" ht="25.5" hidden="1" customHeight="1">
      <c r="S31" s="992" t="s">
        <v>9</v>
      </c>
      <c r="T31" s="992"/>
      <c r="U31" s="268"/>
      <c r="V31" s="994" t="e">
        <f>IF(TITLE_NAME_OR_PR_CHANGE="",IF(TITLE_NAME_OR_PR="","",TITLE_NAME_OR_PR),TITLE_NAME_OR_PR_CHANGE)</f>
        <v>#REF!</v>
      </c>
      <c r="W31" s="994"/>
      <c r="X31" s="994"/>
      <c r="Y31" s="994"/>
      <c r="Z31" s="994"/>
      <c r="AA31" s="994"/>
      <c r="AB31" s="994"/>
      <c r="AD31" s="994" t="e">
        <f>IF(TITLE_NAME_OR_PR_CHANGE="",IF(TITLE_NAME_OR_PR="","",TITLE_NAME_OR_PR),TITLE_NAME_OR_PR_CHANGE)</f>
        <v>#REF!</v>
      </c>
      <c r="AE31" s="994"/>
      <c r="AF31" s="994"/>
      <c r="AG31" s="994"/>
      <c r="AH31" s="994"/>
      <c r="AI31" s="994"/>
      <c r="AJ31" s="994"/>
      <c r="AK31" s="994"/>
      <c r="AL31" s="994"/>
      <c r="AM31" s="994"/>
      <c r="AN31" s="994"/>
      <c r="AO31" s="994"/>
      <c r="AP31" s="994"/>
      <c r="AQ31" s="994"/>
      <c r="AR31" s="994"/>
      <c r="AS31" s="994"/>
      <c r="AT31" s="994"/>
      <c r="AU31" s="994"/>
      <c r="AV31" s="994"/>
      <c r="AW31" s="994"/>
      <c r="AX31" s="994"/>
      <c r="AY31" s="994"/>
      <c r="AZ31" s="994"/>
      <c r="BI31" s="50">
        <v>0</v>
      </c>
    </row>
    <row r="32" spans="5:61" ht="18.75" hidden="1" customHeight="1">
      <c r="S32" s="992" t="s">
        <v>346</v>
      </c>
      <c r="T32" s="992"/>
      <c r="U32" s="268"/>
      <c r="V32" s="993" t="e">
        <f>IF(TITLE_DATE_PR_CHANGE="",IF(TITLE_DATE_PR="","",TITLE_DATE_PR),TITLE_DATE_PR_CHANGE)</f>
        <v>#REF!</v>
      </c>
      <c r="W32" s="993"/>
      <c r="X32" s="993"/>
      <c r="Y32" s="993"/>
      <c r="Z32" s="993"/>
      <c r="AA32" s="993"/>
      <c r="AB32" s="993"/>
      <c r="AD32" s="993" t="e">
        <f>IF(TITLE_DATE_PR_CHANGE="",IF(TITLE_DATE_PR="","",TITLE_DATE_PR),TITLE_DATE_PR_CHANGE)</f>
        <v>#REF!</v>
      </c>
      <c r="AE32" s="993"/>
      <c r="AF32" s="993"/>
      <c r="AG32" s="993"/>
      <c r="AH32" s="993"/>
      <c r="AI32" s="993"/>
      <c r="AJ32" s="993"/>
      <c r="AK32" s="993"/>
      <c r="AL32" s="993"/>
      <c r="AM32" s="993"/>
      <c r="AN32" s="993"/>
      <c r="AO32" s="993"/>
      <c r="AP32" s="993"/>
      <c r="AQ32" s="993"/>
      <c r="AR32" s="993"/>
      <c r="AS32" s="993"/>
      <c r="AT32" s="993"/>
      <c r="AU32" s="993"/>
      <c r="AV32" s="993"/>
      <c r="AW32" s="993"/>
      <c r="AX32" s="993"/>
      <c r="AY32" s="993"/>
      <c r="AZ32" s="993"/>
      <c r="BI32" s="50">
        <v>0</v>
      </c>
    </row>
    <row r="33" spans="1:61" ht="18.75" hidden="1" customHeight="1">
      <c r="S33" s="992" t="s">
        <v>347</v>
      </c>
      <c r="T33" s="992"/>
      <c r="U33" s="268"/>
      <c r="V33" s="994" t="e">
        <f>IF(TITLE_NUMBER_PR_CHANGE="",IF(TITLE_NUMBER_PR="","",TITLE_NUMBER_PR),TITLE_NUMBER_PR_CHANGE)</f>
        <v>#REF!</v>
      </c>
      <c r="W33" s="994"/>
      <c r="X33" s="994"/>
      <c r="Y33" s="994"/>
      <c r="Z33" s="994"/>
      <c r="AA33" s="994"/>
      <c r="AB33" s="994"/>
      <c r="AD33" s="994" t="e">
        <f>IF(TITLE_NUMBER_PR_CHANGE="",IF(TITLE_NUMBER_PR="","",TITLE_NUMBER_PR),TITLE_NUMBER_PR_CHANGE)</f>
        <v>#REF!</v>
      </c>
      <c r="AE33" s="994"/>
      <c r="AF33" s="994"/>
      <c r="AG33" s="994"/>
      <c r="AH33" s="994"/>
      <c r="AI33" s="994"/>
      <c r="AJ33" s="994"/>
      <c r="AK33" s="994"/>
      <c r="AL33" s="994"/>
      <c r="AM33" s="994"/>
      <c r="AN33" s="994"/>
      <c r="AO33" s="994"/>
      <c r="AP33" s="994"/>
      <c r="AQ33" s="994"/>
      <c r="AR33" s="994"/>
      <c r="AS33" s="994"/>
      <c r="AT33" s="994"/>
      <c r="AU33" s="994"/>
      <c r="AV33" s="994"/>
      <c r="AW33" s="994"/>
      <c r="AX33" s="994"/>
      <c r="AY33" s="994"/>
      <c r="AZ33" s="994"/>
      <c r="BI33" s="50">
        <v>0</v>
      </c>
    </row>
    <row r="34" spans="1:61" ht="18.75" hidden="1" customHeight="1">
      <c r="S34" s="992" t="s">
        <v>10</v>
      </c>
      <c r="T34" s="992"/>
      <c r="U34" s="268"/>
      <c r="V34" s="994" t="e">
        <f>IF(TITLE_IST_PUB_CHANGE="",IF(TITLE_IST_PUB="","",TITLE_IST_PUB),TITLE_IST_PUB_CHANGE)</f>
        <v>#REF!</v>
      </c>
      <c r="W34" s="994"/>
      <c r="X34" s="994"/>
      <c r="Y34" s="994"/>
      <c r="Z34" s="994"/>
      <c r="AA34" s="994"/>
      <c r="AB34" s="994"/>
      <c r="AD34" s="994" t="e">
        <f>IF(TITLE_IST_PUB_CHANGE="",IF(TITLE_IST_PUB="","",TITLE_IST_PUB),TITLE_IST_PUB_CHANGE)</f>
        <v>#REF!</v>
      </c>
      <c r="AE34" s="994"/>
      <c r="AF34" s="994"/>
      <c r="AG34" s="994"/>
      <c r="AH34" s="994"/>
      <c r="AI34" s="994"/>
      <c r="AJ34" s="994"/>
      <c r="AK34" s="994"/>
      <c r="AL34" s="994"/>
      <c r="AM34" s="994"/>
      <c r="AN34" s="994"/>
      <c r="AO34" s="994"/>
      <c r="AP34" s="994"/>
      <c r="AQ34" s="994"/>
      <c r="AR34" s="994"/>
      <c r="AS34" s="994"/>
      <c r="AT34" s="994"/>
      <c r="AU34" s="994"/>
      <c r="AV34" s="994"/>
      <c r="AW34" s="994"/>
      <c r="AX34" s="994"/>
      <c r="AY34" s="994"/>
      <c r="AZ34" s="994"/>
      <c r="BI34" s="50">
        <v>0</v>
      </c>
    </row>
    <row r="35" spans="1:61" ht="14.25" hidden="1" customHeight="1">
      <c r="Q35" s="349"/>
      <c r="R35" s="264"/>
      <c r="S35" s="265"/>
      <c r="T35" s="12"/>
      <c r="U35" s="12"/>
      <c r="V35" s="266"/>
      <c r="W35" s="266"/>
      <c r="X35" s="266"/>
      <c r="Y35" s="266"/>
      <c r="Z35" s="266"/>
      <c r="AA35" s="266"/>
      <c r="AB35" s="266"/>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I35" s="3">
        <v>0</v>
      </c>
    </row>
    <row r="36" spans="1:61" ht="18.75" hidden="1" customHeight="1">
      <c r="S36" s="992" t="s">
        <v>346</v>
      </c>
      <c r="T36" s="992"/>
      <c r="U36" s="268"/>
      <c r="V36" s="993" t="e">
        <f>IF(TITLE_DATE_PR_CHANGE="",IF(TITLE_DATE_PR="","",TITLE_DATE_PR),TITLE_DATE_PR_CHANGE)</f>
        <v>#REF!</v>
      </c>
      <c r="W36" s="993"/>
      <c r="X36" s="993"/>
      <c r="Y36" s="993"/>
      <c r="Z36" s="993"/>
      <c r="AA36" s="993"/>
      <c r="AB36" s="993"/>
      <c r="AD36" s="993" t="e">
        <f>IF(TITLE_DATE_PR_CHANGE="",IF(TITLE_DATE_PR="","",TITLE_DATE_PR),TITLE_DATE_PR_CHANGE)</f>
        <v>#REF!</v>
      </c>
      <c r="AE36" s="993"/>
      <c r="AF36" s="993"/>
      <c r="AG36" s="993"/>
      <c r="AH36" s="993"/>
      <c r="AI36" s="993"/>
      <c r="AJ36" s="993"/>
      <c r="AK36" s="993"/>
      <c r="AL36" s="993"/>
      <c r="AM36" s="993"/>
      <c r="AN36" s="993"/>
      <c r="AO36" s="993"/>
      <c r="AP36" s="993"/>
      <c r="AQ36" s="993"/>
      <c r="AR36" s="993"/>
      <c r="AS36" s="993"/>
      <c r="AT36" s="993"/>
      <c r="AU36" s="993"/>
      <c r="AV36" s="993"/>
      <c r="AW36" s="993"/>
      <c r="AX36" s="993"/>
      <c r="AY36" s="993"/>
      <c r="AZ36" s="993"/>
      <c r="BI36" s="50">
        <v>0</v>
      </c>
    </row>
    <row r="37" spans="1:61" ht="18.75" hidden="1" customHeight="1">
      <c r="S37" s="992" t="s">
        <v>347</v>
      </c>
      <c r="T37" s="992"/>
      <c r="U37" s="268"/>
      <c r="V37" s="994" t="e">
        <f>IF(TITLE_NUMBER_PR_CHANGE="",IF(TITLE_NUMBER_PR="","",TITLE_NUMBER_PR),TITLE_NUMBER_PR_CHANGE)</f>
        <v>#REF!</v>
      </c>
      <c r="W37" s="994"/>
      <c r="X37" s="994"/>
      <c r="Y37" s="994"/>
      <c r="Z37" s="994"/>
      <c r="AA37" s="994"/>
      <c r="AB37" s="994"/>
      <c r="AD37" s="994" t="e">
        <f>IF(TITLE_NUMBER_PR_CHANGE="",IF(TITLE_NUMBER_PR="","",TITLE_NUMBER_PR),TITLE_NUMBER_PR_CHANGE)</f>
        <v>#REF!</v>
      </c>
      <c r="AE37" s="994"/>
      <c r="AF37" s="994"/>
      <c r="AG37" s="994"/>
      <c r="AH37" s="994"/>
      <c r="AI37" s="994"/>
      <c r="AJ37" s="994"/>
      <c r="AK37" s="994"/>
      <c r="AL37" s="994"/>
      <c r="AM37" s="994"/>
      <c r="AN37" s="994"/>
      <c r="AO37" s="994"/>
      <c r="AP37" s="994"/>
      <c r="AQ37" s="994"/>
      <c r="AR37" s="994"/>
      <c r="AS37" s="994"/>
      <c r="AT37" s="994"/>
      <c r="AU37" s="994"/>
      <c r="AV37" s="994"/>
      <c r="AW37" s="994"/>
      <c r="AX37" s="994"/>
      <c r="AY37" s="994"/>
      <c r="AZ37" s="994"/>
      <c r="BI37" s="50">
        <v>0</v>
      </c>
    </row>
    <row r="38" spans="1:61" ht="0" hidden="1" customHeight="1">
      <c r="AC38" s="24" t="s">
        <v>350</v>
      </c>
      <c r="BA38" s="24" t="s">
        <v>350</v>
      </c>
      <c r="BI38" s="50">
        <v>0</v>
      </c>
    </row>
    <row r="39" spans="1:61" ht="14.65" customHeight="1">
      <c r="Q39" s="349"/>
      <c r="R39" s="264"/>
      <c r="S39" s="265"/>
      <c r="T39" s="12"/>
      <c r="U39" s="270"/>
      <c r="V39" s="1012"/>
      <c r="W39" s="1012"/>
      <c r="X39" s="1012"/>
      <c r="Y39" s="1012"/>
      <c r="Z39" s="1012"/>
      <c r="AA39" s="1012"/>
      <c r="AB39" s="1012"/>
      <c r="AC39" s="1012"/>
      <c r="AD39" s="1012"/>
      <c r="AE39" s="1012"/>
      <c r="AF39" s="1012"/>
      <c r="AG39" s="1012"/>
      <c r="AH39" s="1012"/>
      <c r="AI39" s="1012"/>
      <c r="AJ39" s="1012"/>
      <c r="AK39" s="1012"/>
      <c r="AL39" s="1012"/>
      <c r="AM39" s="1012"/>
      <c r="AN39" s="1012"/>
      <c r="AO39" s="1012"/>
      <c r="AP39" s="1012"/>
      <c r="AQ39" s="1012"/>
      <c r="AR39" s="1012"/>
      <c r="AS39" s="1012"/>
      <c r="AT39" s="1012"/>
      <c r="AU39" s="1012"/>
      <c r="AV39" s="1012"/>
      <c r="AW39" s="1012"/>
      <c r="AX39" s="1012"/>
      <c r="AY39" s="1012"/>
      <c r="AZ39" s="1012"/>
      <c r="BA39" s="1012"/>
      <c r="BI39" s="3">
        <v>14</v>
      </c>
    </row>
    <row r="40" spans="1:61" ht="14.65" customHeight="1">
      <c r="Q40" s="349"/>
      <c r="R40" s="264"/>
      <c r="S40" s="894" t="s">
        <v>223</v>
      </c>
      <c r="T40" s="894"/>
      <c r="U40" s="894"/>
      <c r="V40" s="894"/>
      <c r="W40" s="894"/>
      <c r="X40" s="894"/>
      <c r="Y40" s="894"/>
      <c r="Z40" s="894"/>
      <c r="AA40" s="894"/>
      <c r="AB40" s="894"/>
      <c r="AC40" s="894"/>
      <c r="AD40" s="894"/>
      <c r="AE40" s="894"/>
      <c r="AF40" s="894"/>
      <c r="AG40" s="894"/>
      <c r="AH40" s="894"/>
      <c r="AI40" s="894"/>
      <c r="AJ40" s="894"/>
      <c r="AK40" s="894"/>
      <c r="AL40" s="894"/>
      <c r="AM40" s="894"/>
      <c r="AN40" s="894"/>
      <c r="AO40" s="894"/>
      <c r="AP40" s="894"/>
      <c r="AQ40" s="894"/>
      <c r="AR40" s="894"/>
      <c r="AS40" s="894"/>
      <c r="AT40" s="894"/>
      <c r="AU40" s="894"/>
      <c r="AV40" s="894"/>
      <c r="AW40" s="894"/>
      <c r="AX40" s="894"/>
      <c r="AY40" s="894"/>
      <c r="AZ40" s="894"/>
      <c r="BA40" s="894"/>
      <c r="BB40" s="894"/>
      <c r="BC40" s="894" t="s">
        <v>224</v>
      </c>
      <c r="BI40" s="3">
        <v>14</v>
      </c>
    </row>
    <row r="41" spans="1:61" ht="14.65" customHeight="1">
      <c r="Q41" s="349"/>
      <c r="R41" s="264"/>
      <c r="S41" s="1013" t="s">
        <v>24</v>
      </c>
      <c r="T41" s="962" t="s">
        <v>430</v>
      </c>
      <c r="U41" s="272"/>
      <c r="V41" s="1014" t="s">
        <v>352</v>
      </c>
      <c r="W41" s="1015"/>
      <c r="X41" s="1015"/>
      <c r="Y41" s="1015"/>
      <c r="Z41" s="1015"/>
      <c r="AA41" s="1015"/>
      <c r="AB41" s="1016"/>
      <c r="AC41" s="1017" t="s">
        <v>353</v>
      </c>
      <c r="AD41" s="1046" t="s">
        <v>447</v>
      </c>
      <c r="AE41" s="1030"/>
      <c r="AF41" s="1030"/>
      <c r="AG41" s="1047"/>
      <c r="AH41" s="1046" t="s">
        <v>448</v>
      </c>
      <c r="AI41" s="1030"/>
      <c r="AJ41" s="1030"/>
      <c r="AK41" s="1047"/>
      <c r="AL41" s="1046" t="s">
        <v>449</v>
      </c>
      <c r="AM41" s="1030"/>
      <c r="AN41" s="1030"/>
      <c r="AO41" s="1047"/>
      <c r="AP41" s="1046" t="s">
        <v>434</v>
      </c>
      <c r="AQ41" s="1030"/>
      <c r="AR41" s="1030"/>
      <c r="AS41" s="1047"/>
      <c r="AT41" s="1014" t="s">
        <v>352</v>
      </c>
      <c r="AU41" s="1015"/>
      <c r="AV41" s="1015"/>
      <c r="AW41" s="1015"/>
      <c r="AX41" s="1015"/>
      <c r="AY41" s="1015"/>
      <c r="AZ41" s="1016"/>
      <c r="BA41" s="1017" t="s">
        <v>353</v>
      </c>
      <c r="BB41" s="1020" t="s">
        <v>355</v>
      </c>
      <c r="BC41" s="894"/>
      <c r="BI41" s="3">
        <v>14</v>
      </c>
    </row>
    <row r="42" spans="1:61" ht="35.65" customHeight="1">
      <c r="Q42" s="349"/>
      <c r="R42" s="264"/>
      <c r="S42" s="1013"/>
      <c r="T42" s="962"/>
      <c r="U42" s="274"/>
      <c r="V42" s="936" t="s">
        <v>435</v>
      </c>
      <c r="W42" s="937"/>
      <c r="X42" s="936" t="s">
        <v>436</v>
      </c>
      <c r="Y42" s="937"/>
      <c r="Z42" s="936" t="s">
        <v>437</v>
      </c>
      <c r="AA42" s="1042"/>
      <c r="AB42" s="937"/>
      <c r="AC42" s="1018"/>
      <c r="AD42" s="1048"/>
      <c r="AE42" s="1049"/>
      <c r="AF42" s="1049"/>
      <c r="AG42" s="1061"/>
      <c r="AH42" s="1048"/>
      <c r="AI42" s="1049"/>
      <c r="AJ42" s="1049"/>
      <c r="AK42" s="1061"/>
      <c r="AL42" s="1048"/>
      <c r="AM42" s="1049"/>
      <c r="AN42" s="1049"/>
      <c r="AO42" s="1061"/>
      <c r="AP42" s="1048"/>
      <c r="AQ42" s="1049"/>
      <c r="AR42" s="1049"/>
      <c r="AS42" s="1061"/>
      <c r="AT42" s="936" t="s">
        <v>450</v>
      </c>
      <c r="AU42" s="937"/>
      <c r="AV42" s="936" t="s">
        <v>451</v>
      </c>
      <c r="AW42" s="937"/>
      <c r="AX42" s="936" t="s">
        <v>437</v>
      </c>
      <c r="AY42" s="1042"/>
      <c r="AZ42" s="937"/>
      <c r="BA42" s="1018"/>
      <c r="BB42" s="1021"/>
      <c r="BC42" s="894"/>
      <c r="BI42" s="3">
        <v>34</v>
      </c>
    </row>
    <row r="43" spans="1:61" ht="14.65" customHeight="1">
      <c r="Q43" s="349"/>
      <c r="R43" s="264"/>
      <c r="S43" s="1013"/>
      <c r="T43" s="962"/>
      <c r="U43" s="274"/>
      <c r="V43" s="941"/>
      <c r="W43" s="942"/>
      <c r="X43" s="941"/>
      <c r="Y43" s="942"/>
      <c r="Z43" s="941"/>
      <c r="AA43" s="1043"/>
      <c r="AB43" s="942"/>
      <c r="AC43" s="1018"/>
      <c r="AD43" s="1048"/>
      <c r="AE43" s="1049"/>
      <c r="AF43" s="1049"/>
      <c r="AG43" s="1061"/>
      <c r="AH43" s="1048"/>
      <c r="AI43" s="1049"/>
      <c r="AJ43" s="1049"/>
      <c r="AK43" s="1061"/>
      <c r="AL43" s="1048"/>
      <c r="AM43" s="1049"/>
      <c r="AN43" s="1049"/>
      <c r="AO43" s="1061"/>
      <c r="AP43" s="1048"/>
      <c r="AQ43" s="1049"/>
      <c r="AR43" s="1049"/>
      <c r="AS43" s="1061"/>
      <c r="AT43" s="941"/>
      <c r="AU43" s="942"/>
      <c r="AV43" s="941"/>
      <c r="AW43" s="942"/>
      <c r="AX43" s="941"/>
      <c r="AY43" s="1043"/>
      <c r="AZ43" s="942"/>
      <c r="BA43" s="1018"/>
      <c r="BB43" s="1021"/>
      <c r="BC43" s="894"/>
      <c r="BI43" s="3">
        <v>14</v>
      </c>
    </row>
    <row r="44" spans="1:61" ht="14.65" customHeight="1">
      <c r="B44" s="60" t="s">
        <v>60</v>
      </c>
      <c r="C44" s="60" t="s">
        <v>61</v>
      </c>
      <c r="D44" s="60" t="s">
        <v>62</v>
      </c>
      <c r="E44" s="237" t="s">
        <v>360</v>
      </c>
      <c r="F44" s="237" t="s">
        <v>361</v>
      </c>
      <c r="G44" s="237" t="s">
        <v>362</v>
      </c>
      <c r="H44" s="237" t="s">
        <v>363</v>
      </c>
      <c r="I44" s="237" t="s">
        <v>364</v>
      </c>
      <c r="J44" s="237" t="s">
        <v>365</v>
      </c>
      <c r="K44" s="237" t="s">
        <v>366</v>
      </c>
      <c r="L44" s="237" t="s">
        <v>341</v>
      </c>
      <c r="Q44" s="349"/>
      <c r="R44" s="264"/>
      <c r="S44" s="1013"/>
      <c r="T44" s="962"/>
      <c r="U44" s="275"/>
      <c r="V44" s="120" t="s">
        <v>401</v>
      </c>
      <c r="W44" s="120" t="s">
        <v>402</v>
      </c>
      <c r="X44" s="120" t="s">
        <v>401</v>
      </c>
      <c r="Y44" s="120" t="s">
        <v>402</v>
      </c>
      <c r="Z44" s="65" t="s">
        <v>369</v>
      </c>
      <c r="AA44" s="967" t="s">
        <v>370</v>
      </c>
      <c r="AB44" s="981"/>
      <c r="AC44" s="1019"/>
      <c r="AD44" s="1050"/>
      <c r="AE44" s="1051"/>
      <c r="AF44" s="1051"/>
      <c r="AG44" s="1052"/>
      <c r="AH44" s="1050"/>
      <c r="AI44" s="1051"/>
      <c r="AJ44" s="1051"/>
      <c r="AK44" s="1052"/>
      <c r="AL44" s="1050"/>
      <c r="AM44" s="1051"/>
      <c r="AN44" s="1051"/>
      <c r="AO44" s="1052"/>
      <c r="AP44" s="1050"/>
      <c r="AQ44" s="1051"/>
      <c r="AR44" s="1051"/>
      <c r="AS44" s="1052"/>
      <c r="AT44" s="120" t="s">
        <v>401</v>
      </c>
      <c r="AU44" s="120" t="s">
        <v>402</v>
      </c>
      <c r="AV44" s="120" t="s">
        <v>401</v>
      </c>
      <c r="AW44" s="120" t="s">
        <v>402</v>
      </c>
      <c r="AX44" s="65" t="s">
        <v>369</v>
      </c>
      <c r="AY44" s="967" t="s">
        <v>370</v>
      </c>
      <c r="AZ44" s="981"/>
      <c r="BA44" s="1019"/>
      <c r="BB44" s="1022"/>
      <c r="BC44" s="894"/>
      <c r="BI44" s="3">
        <v>14</v>
      </c>
    </row>
    <row r="45" spans="1:61" ht="11.25" hidden="1" customHeight="1">
      <c r="Q45" s="279"/>
      <c r="R45" s="279">
        <v>1</v>
      </c>
      <c r="S45" s="280" t="s">
        <v>31</v>
      </c>
      <c r="T45" s="281" t="s">
        <v>39</v>
      </c>
      <c r="U45" s="282" t="str">
        <f ca="1">OFFSET(U45,0,-1)</f>
        <v>2</v>
      </c>
      <c r="V45" s="283">
        <f t="shared" ref="V45:AA45" ca="1" si="2">OFFSET(V45,0,-1)+1</f>
        <v>3</v>
      </c>
      <c r="W45" s="283">
        <f t="shared" ca="1" si="2"/>
        <v>4</v>
      </c>
      <c r="X45" s="283">
        <f t="shared" ca="1" si="2"/>
        <v>5</v>
      </c>
      <c r="Y45" s="283">
        <f t="shared" ca="1" si="2"/>
        <v>6</v>
      </c>
      <c r="Z45" s="283">
        <f t="shared" ca="1" si="2"/>
        <v>7</v>
      </c>
      <c r="AA45" s="1011">
        <f t="shared" ca="1" si="2"/>
        <v>8</v>
      </c>
      <c r="AB45" s="1011"/>
      <c r="AC45" s="283">
        <f ca="1">OFFSET(AC45,0,-2)+1</f>
        <v>9</v>
      </c>
      <c r="AD45" s="283">
        <f ca="1">OFFSET(AD45,0,-1)+1</f>
        <v>10</v>
      </c>
      <c r="AE45" s="283"/>
      <c r="AF45" s="283"/>
      <c r="AG45" s="283"/>
      <c r="AH45" s="283"/>
      <c r="AI45" s="283"/>
      <c r="AJ45" s="283"/>
      <c r="AK45" s="283"/>
      <c r="AL45" s="283"/>
      <c r="AM45" s="283"/>
      <c r="AN45" s="283"/>
      <c r="AO45" s="283"/>
      <c r="AP45" s="283"/>
      <c r="AQ45" s="283"/>
      <c r="AR45" s="283"/>
      <c r="AS45" s="283"/>
      <c r="AT45" s="283"/>
      <c r="AU45" s="283"/>
      <c r="AV45" s="283"/>
      <c r="AW45" s="283">
        <f ca="1">OFFSET(AW45,0,-1)+1</f>
        <v>1</v>
      </c>
      <c r="AX45" s="283">
        <f ca="1">OFFSET(AX45,0,-1)+1</f>
        <v>2</v>
      </c>
      <c r="AY45" s="1011">
        <f ca="1">OFFSET(AY45,0,-1)+1</f>
        <v>3</v>
      </c>
      <c r="AZ45" s="1011"/>
      <c r="BA45" s="283">
        <f ca="1">OFFSET(BA45,0,-2)+1</f>
        <v>4</v>
      </c>
      <c r="BB45" s="282">
        <f ca="1">OFFSET(BB45,0,-1)</f>
        <v>4</v>
      </c>
      <c r="BC45" s="283">
        <f ca="1">OFFSET(BC45,0,-1)+1</f>
        <v>5</v>
      </c>
      <c r="BI45" s="189">
        <v>0</v>
      </c>
    </row>
    <row r="46" spans="1:61" ht="21.95" customHeight="1">
      <c r="A46" s="284" t="s">
        <v>199</v>
      </c>
      <c r="E46" s="1000">
        <v>1</v>
      </c>
      <c r="R46" s="225"/>
      <c r="S46" s="226">
        <f>INDEX(PT_DIFFERENTIATION_NUM_NTAR,MATCH(A46,PT_DIFFERENTIATION_NTAR_ID,0))</f>
        <v>0</v>
      </c>
      <c r="T46" s="227" t="s">
        <v>48</v>
      </c>
      <c r="U46" s="228"/>
      <c r="V46" s="996"/>
      <c r="W46" s="996"/>
      <c r="X46" s="996"/>
      <c r="Y46" s="996"/>
      <c r="Z46" s="996"/>
      <c r="AA46" s="996"/>
      <c r="AB46" s="996"/>
      <c r="AC46" s="997"/>
      <c r="AD46" s="995" t="str">
        <f>INDEX(PT_DIFFERENTIATION_NTAR,MATCH(A46,PT_DIFFERENTIATION_NTAR_ID,0))</f>
        <v/>
      </c>
      <c r="AE46" s="996"/>
      <c r="AF46" s="996"/>
      <c r="AG46" s="996"/>
      <c r="AH46" s="996"/>
      <c r="AI46" s="996"/>
      <c r="AJ46" s="996"/>
      <c r="AK46" s="996"/>
      <c r="AL46" s="996"/>
      <c r="AM46" s="996"/>
      <c r="AN46" s="996"/>
      <c r="AO46" s="996"/>
      <c r="AP46" s="996"/>
      <c r="AQ46" s="996"/>
      <c r="AR46" s="996"/>
      <c r="AS46" s="996"/>
      <c r="AT46" s="996"/>
      <c r="AU46" s="996"/>
      <c r="AV46" s="996"/>
      <c r="AW46" s="996"/>
      <c r="AX46" s="996"/>
      <c r="AY46" s="996"/>
      <c r="AZ46" s="996"/>
      <c r="BA46" s="996"/>
      <c r="BB46" s="997"/>
      <c r="BC46"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F46" s="29" t="str">
        <f t="shared" ref="BF46:BF52" si="3">IF(T46="","",T46)</f>
        <v>Наименование тарифа</v>
      </c>
      <c r="BI46" s="3">
        <v>21</v>
      </c>
    </row>
    <row r="47" spans="1:61" ht="21.95" customHeight="1">
      <c r="A47" s="284" t="s">
        <v>199</v>
      </c>
      <c r="B47" s="284" t="s">
        <v>200</v>
      </c>
      <c r="E47" s="1001"/>
      <c r="F47" s="1000">
        <v>1</v>
      </c>
      <c r="Q47" s="328"/>
      <c r="R47" s="232"/>
      <c r="S47" s="226" t="str">
        <f>INDEX(PT_DIFFERENTIATION_NUM_TER,MATCH(B47,PT_DIFFERENTIATION_TER_ID,0))</f>
        <v>.</v>
      </c>
      <c r="T47" s="233" t="s">
        <v>320</v>
      </c>
      <c r="U47" s="228"/>
      <c r="V47" s="996"/>
      <c r="W47" s="996"/>
      <c r="X47" s="996"/>
      <c r="Y47" s="996"/>
      <c r="Z47" s="996"/>
      <c r="AA47" s="996"/>
      <c r="AB47" s="996"/>
      <c r="AC47" s="997"/>
      <c r="AD47" s="995" t="str">
        <f>INDEX(PT_DIFFERENTIATION_TER,MATCH(B47,PT_DIFFERENTIATION_TER_ID,0))</f>
        <v/>
      </c>
      <c r="AE47" s="996"/>
      <c r="AF47" s="996"/>
      <c r="AG47" s="996"/>
      <c r="AH47" s="996"/>
      <c r="AI47" s="996"/>
      <c r="AJ47" s="996"/>
      <c r="AK47" s="996"/>
      <c r="AL47" s="996"/>
      <c r="AM47" s="996"/>
      <c r="AN47" s="996"/>
      <c r="AO47" s="996"/>
      <c r="AP47" s="996"/>
      <c r="AQ47" s="996"/>
      <c r="AR47" s="996"/>
      <c r="AS47" s="996"/>
      <c r="AT47" s="996"/>
      <c r="AU47" s="996"/>
      <c r="AV47" s="996"/>
      <c r="AW47" s="996"/>
      <c r="AX47" s="996"/>
      <c r="AY47" s="996"/>
      <c r="AZ47" s="996"/>
      <c r="BA47" s="996"/>
      <c r="BB47" s="997"/>
      <c r="BC47" s="230" t="s">
        <v>321</v>
      </c>
      <c r="BF47" s="29" t="str">
        <f t="shared" si="3"/>
        <v>Территория действия тарифа</v>
      </c>
      <c r="BI47" s="3">
        <v>21</v>
      </c>
    </row>
    <row r="48" spans="1:61" ht="35.65" customHeight="1">
      <c r="A48" s="284" t="s">
        <v>199</v>
      </c>
      <c r="B48" s="284" t="s">
        <v>200</v>
      </c>
      <c r="C48" s="284" t="s">
        <v>201</v>
      </c>
      <c r="E48" s="1001"/>
      <c r="F48" s="1001"/>
      <c r="G48" s="1000">
        <v>1</v>
      </c>
      <c r="Q48" s="328"/>
      <c r="R48" s="232"/>
      <c r="S48" s="226" t="str">
        <f>INDEX(PT_DIFFERENTIATION_NUM_CS,MATCH(C48,PT_DIFFERENTIATION_CS_ID,0))</f>
        <v>..</v>
      </c>
      <c r="T48" s="234" t="s">
        <v>439</v>
      </c>
      <c r="U48" s="228"/>
      <c r="V48" s="996"/>
      <c r="W48" s="996"/>
      <c r="X48" s="996"/>
      <c r="Y48" s="996"/>
      <c r="Z48" s="996"/>
      <c r="AA48" s="996"/>
      <c r="AB48" s="996"/>
      <c r="AC48" s="997"/>
      <c r="AD48" s="995" t="str">
        <f>INDEX(PT_DIFFERENTIATION_CS,MATCH(C48,PT_DIFFERENTIATION_CS_ID,0))</f>
        <v/>
      </c>
      <c r="AE48" s="996"/>
      <c r="AF48" s="996"/>
      <c r="AG48" s="996"/>
      <c r="AH48" s="996"/>
      <c r="AI48" s="996"/>
      <c r="AJ48" s="996"/>
      <c r="AK48" s="996"/>
      <c r="AL48" s="996"/>
      <c r="AM48" s="996"/>
      <c r="AN48" s="996"/>
      <c r="AO48" s="996"/>
      <c r="AP48" s="996"/>
      <c r="AQ48" s="996"/>
      <c r="AR48" s="996"/>
      <c r="AS48" s="996"/>
      <c r="AT48" s="996"/>
      <c r="AU48" s="996"/>
      <c r="AV48" s="996"/>
      <c r="AW48" s="996"/>
      <c r="AX48" s="996"/>
      <c r="AY48" s="996"/>
      <c r="AZ48" s="996"/>
      <c r="BA48" s="996"/>
      <c r="BB48" s="997"/>
      <c r="BC48" s="230" t="s">
        <v>440</v>
      </c>
      <c r="BF48" s="29" t="str">
        <f t="shared" si="3"/>
        <v>Наименование централизованной системы водоотведения</v>
      </c>
      <c r="BI48" s="3">
        <v>34</v>
      </c>
    </row>
    <row r="49" spans="1:61" ht="0" hidden="1" customHeight="1">
      <c r="A49" s="21" t="s">
        <v>199</v>
      </c>
      <c r="B49" s="21" t="s">
        <v>200</v>
      </c>
      <c r="C49" s="21" t="s">
        <v>201</v>
      </c>
      <c r="D49" s="21" t="s">
        <v>452</v>
      </c>
      <c r="E49" s="1001"/>
      <c r="F49" s="1001"/>
      <c r="G49" s="1001"/>
      <c r="H49" s="1000">
        <v>1</v>
      </c>
      <c r="Q49" s="366"/>
      <c r="R49" s="240"/>
      <c r="S49" s="124"/>
      <c r="T49" s="367"/>
      <c r="U49" s="295"/>
      <c r="V49" s="1032"/>
      <c r="W49" s="1032"/>
      <c r="X49" s="1032"/>
      <c r="Y49" s="1032"/>
      <c r="Z49" s="1032"/>
      <c r="AA49" s="1032"/>
      <c r="AB49" s="1032"/>
      <c r="AC49" s="1033"/>
      <c r="AD49" s="1031"/>
      <c r="AE49" s="1032"/>
      <c r="AF49" s="1032"/>
      <c r="AG49" s="1032"/>
      <c r="AH49" s="1032"/>
      <c r="AI49" s="1032"/>
      <c r="AJ49" s="1032"/>
      <c r="AK49" s="1032"/>
      <c r="AL49" s="1032"/>
      <c r="AM49" s="1032"/>
      <c r="AN49" s="1032"/>
      <c r="AO49" s="1032"/>
      <c r="AP49" s="1032"/>
      <c r="AQ49" s="1032"/>
      <c r="AR49" s="1032"/>
      <c r="AS49" s="1032"/>
      <c r="AT49" s="1032"/>
      <c r="AU49" s="1032"/>
      <c r="AV49" s="1032"/>
      <c r="AW49" s="1032"/>
      <c r="AX49" s="1032"/>
      <c r="AY49" s="1032"/>
      <c r="AZ49" s="1032"/>
      <c r="BA49" s="1032"/>
      <c r="BB49" s="1033"/>
      <c r="BC49" s="297" t="s">
        <v>325</v>
      </c>
      <c r="BF49" s="29" t="str">
        <f t="shared" si="3"/>
        <v/>
      </c>
      <c r="BI49" s="24">
        <v>0</v>
      </c>
    </row>
    <row r="50" spans="1:61" ht="0" hidden="1" customHeight="1">
      <c r="A50" s="21" t="s">
        <v>199</v>
      </c>
      <c r="B50" s="21" t="s">
        <v>200</v>
      </c>
      <c r="C50" s="21" t="s">
        <v>201</v>
      </c>
      <c r="D50" s="21" t="s">
        <v>452</v>
      </c>
      <c r="E50" s="1001"/>
      <c r="F50" s="1001"/>
      <c r="G50" s="1001"/>
      <c r="H50" s="1001"/>
      <c r="I50" s="1002" t="str">
        <f>S49&amp;".1"</f>
        <v>.1</v>
      </c>
      <c r="L50" s="302" t="s">
        <v>326</v>
      </c>
      <c r="P50" s="1004">
        <v>1</v>
      </c>
      <c r="R50" s="238"/>
      <c r="S50" s="124"/>
      <c r="T50" s="294"/>
      <c r="U50" s="295"/>
      <c r="V50" s="1032"/>
      <c r="W50" s="1032"/>
      <c r="X50" s="1032"/>
      <c r="Y50" s="1032"/>
      <c r="Z50" s="1032"/>
      <c r="AA50" s="1032"/>
      <c r="AB50" s="1032"/>
      <c r="AC50" s="1033"/>
      <c r="AD50" s="1031"/>
      <c r="AE50" s="1032"/>
      <c r="AF50" s="1032"/>
      <c r="AG50" s="1032"/>
      <c r="AH50" s="1032"/>
      <c r="AI50" s="1032"/>
      <c r="AJ50" s="1032"/>
      <c r="AK50" s="1032"/>
      <c r="AL50" s="1032"/>
      <c r="AM50" s="1032"/>
      <c r="AN50" s="1032"/>
      <c r="AO50" s="1032"/>
      <c r="AP50" s="1032"/>
      <c r="AQ50" s="1032"/>
      <c r="AR50" s="1032"/>
      <c r="AS50" s="1032"/>
      <c r="AT50" s="1032"/>
      <c r="AU50" s="1032"/>
      <c r="AV50" s="1032"/>
      <c r="AW50" s="1032"/>
      <c r="AX50" s="1032"/>
      <c r="AY50" s="1032"/>
      <c r="AZ50" s="1032"/>
      <c r="BA50" s="1032"/>
      <c r="BB50" s="1033"/>
      <c r="BC50" s="297"/>
      <c r="BF50" s="29" t="str">
        <f t="shared" si="3"/>
        <v/>
      </c>
      <c r="BI50" s="24">
        <v>0</v>
      </c>
    </row>
    <row r="51" spans="1:61" ht="0" hidden="1" customHeight="1">
      <c r="A51" s="21" t="s">
        <v>199</v>
      </c>
      <c r="B51" s="21" t="s">
        <v>200</v>
      </c>
      <c r="C51" s="21" t="s">
        <v>201</v>
      </c>
      <c r="D51" s="21" t="s">
        <v>452</v>
      </c>
      <c r="E51" s="1001"/>
      <c r="F51" s="1001"/>
      <c r="G51" s="1001"/>
      <c r="H51" s="1001"/>
      <c r="I51" s="1003"/>
      <c r="J51" s="1002" t="str">
        <f>S49&amp;".1"</f>
        <v>.1</v>
      </c>
      <c r="P51" s="885"/>
      <c r="Q51" s="1004">
        <v>1</v>
      </c>
      <c r="R51" s="240"/>
      <c r="S51" s="124"/>
      <c r="T51" s="329"/>
      <c r="U51" s="295"/>
      <c r="V51" s="1032"/>
      <c r="W51" s="1032"/>
      <c r="X51" s="1032"/>
      <c r="Y51" s="1032"/>
      <c r="Z51" s="1032"/>
      <c r="AA51" s="1032"/>
      <c r="AB51" s="1032"/>
      <c r="AC51" s="1033"/>
      <c r="AD51" s="1031"/>
      <c r="AE51" s="1032"/>
      <c r="AF51" s="1032"/>
      <c r="AG51" s="1032"/>
      <c r="AH51" s="1032"/>
      <c r="AI51" s="1032"/>
      <c r="AJ51" s="1032"/>
      <c r="AK51" s="1032"/>
      <c r="AL51" s="1032"/>
      <c r="AM51" s="1032"/>
      <c r="AN51" s="1083"/>
      <c r="AO51" s="1083"/>
      <c r="AP51" s="1032"/>
      <c r="AQ51" s="1032"/>
      <c r="AR51" s="1032"/>
      <c r="AS51" s="1032"/>
      <c r="AT51" s="1032"/>
      <c r="AU51" s="1032"/>
      <c r="AV51" s="1032"/>
      <c r="AW51" s="1032"/>
      <c r="AX51" s="1032"/>
      <c r="AY51" s="1032"/>
      <c r="AZ51" s="1032"/>
      <c r="BA51" s="1032"/>
      <c r="BB51" s="1033"/>
      <c r="BC51" s="297"/>
      <c r="BF51" s="29" t="str">
        <f t="shared" si="3"/>
        <v/>
      </c>
      <c r="BI51" s="24">
        <v>0</v>
      </c>
    </row>
    <row r="52" spans="1:61" ht="11.45" customHeight="1">
      <c r="A52" s="284" t="s">
        <v>199</v>
      </c>
      <c r="B52" s="284" t="s">
        <v>200</v>
      </c>
      <c r="C52" s="284" t="s">
        <v>201</v>
      </c>
      <c r="D52" s="284" t="s">
        <v>452</v>
      </c>
      <c r="E52" s="1001"/>
      <c r="F52" s="1001"/>
      <c r="G52" s="1001"/>
      <c r="H52" s="1001"/>
      <c r="I52" s="1003"/>
      <c r="J52" s="1003"/>
      <c r="K52" s="1002" t="str">
        <f>S48&amp;".1"</f>
        <v>...1</v>
      </c>
      <c r="P52" s="885"/>
      <c r="Q52" s="885"/>
      <c r="R52" s="240">
        <v>1</v>
      </c>
      <c r="S52" s="1057" t="str">
        <f>$K52</f>
        <v>...1</v>
      </c>
      <c r="T52" s="1077"/>
      <c r="U52" s="228"/>
      <c r="V52" s="243"/>
      <c r="W52" s="245"/>
      <c r="X52" s="243"/>
      <c r="Y52" s="245"/>
      <c r="Z52" s="246"/>
      <c r="AA52" s="56" t="s">
        <v>17</v>
      </c>
      <c r="AB52" s="246"/>
      <c r="AC52" s="56" t="s">
        <v>17</v>
      </c>
      <c r="AD52" s="948" t="s">
        <v>17</v>
      </c>
      <c r="AE52" s="1053"/>
      <c r="AF52" s="958">
        <v>1</v>
      </c>
      <c r="AG52" s="1076"/>
      <c r="AH52" s="895" t="s">
        <v>17</v>
      </c>
      <c r="AI52" s="1053"/>
      <c r="AJ52" s="958">
        <v>1</v>
      </c>
      <c r="AK52" s="1067" t="s">
        <v>4</v>
      </c>
      <c r="AL52" s="895" t="s">
        <v>17</v>
      </c>
      <c r="AM52" s="936"/>
      <c r="AN52" s="958">
        <v>1</v>
      </c>
      <c r="AO52" s="1080"/>
      <c r="AP52" s="1081" t="s">
        <v>17</v>
      </c>
      <c r="AQ52" s="332"/>
      <c r="AR52" s="118">
        <v>1</v>
      </c>
      <c r="AS52" s="15" t="s">
        <v>4</v>
      </c>
      <c r="AT52" s="243"/>
      <c r="AU52" s="245"/>
      <c r="AV52" s="243"/>
      <c r="AW52" s="245"/>
      <c r="AX52" s="246"/>
      <c r="AY52" s="56" t="s">
        <v>17</v>
      </c>
      <c r="AZ52" s="246"/>
      <c r="BA52" s="56" t="s">
        <v>17</v>
      </c>
      <c r="BB52" s="285"/>
      <c r="BC52" s="1023" t="s">
        <v>424</v>
      </c>
      <c r="BF52" s="29" t="str">
        <f t="shared" si="3"/>
        <v/>
      </c>
      <c r="BI52" s="3">
        <v>11</v>
      </c>
    </row>
    <row r="53" spans="1:61" ht="11.45" customHeight="1">
      <c r="E53" s="1001"/>
      <c r="F53" s="1001"/>
      <c r="G53" s="1001"/>
      <c r="H53" s="1001"/>
      <c r="I53" s="1003"/>
      <c r="J53" s="1003"/>
      <c r="K53" s="1002"/>
      <c r="P53" s="885"/>
      <c r="Q53" s="885"/>
      <c r="R53" s="240"/>
      <c r="S53" s="1058"/>
      <c r="T53" s="1078"/>
      <c r="U53" s="228"/>
      <c r="V53" s="322"/>
      <c r="W53" s="335"/>
      <c r="X53" s="322"/>
      <c r="Y53" s="335"/>
      <c r="Z53" s="322"/>
      <c r="AA53" s="322"/>
      <c r="AB53" s="322"/>
      <c r="AC53" s="322"/>
      <c r="AD53" s="949"/>
      <c r="AE53" s="1053"/>
      <c r="AF53" s="958"/>
      <c r="AG53" s="1076"/>
      <c r="AH53" s="895"/>
      <c r="AI53" s="1053"/>
      <c r="AJ53" s="958"/>
      <c r="AK53" s="1067"/>
      <c r="AL53" s="895"/>
      <c r="AM53" s="941"/>
      <c r="AN53" s="958"/>
      <c r="AO53" s="1080"/>
      <c r="AP53" s="1082"/>
      <c r="AQ53" s="334"/>
      <c r="AR53" s="45"/>
      <c r="AS53" s="45" t="s">
        <v>425</v>
      </c>
      <c r="AT53" s="322"/>
      <c r="AU53" s="335"/>
      <c r="AV53" s="322"/>
      <c r="AW53" s="335"/>
      <c r="AX53" s="322"/>
      <c r="AY53" s="322"/>
      <c r="AZ53" s="322"/>
      <c r="BA53" s="322"/>
      <c r="BB53" s="333"/>
      <c r="BC53" s="1024"/>
      <c r="BI53" s="3">
        <v>11</v>
      </c>
    </row>
    <row r="54" spans="1:61" ht="11.45" customHeight="1">
      <c r="A54" s="284" t="s">
        <v>199</v>
      </c>
      <c r="E54" s="1001"/>
      <c r="F54" s="1001"/>
      <c r="G54" s="1001"/>
      <c r="H54" s="1001"/>
      <c r="I54" s="1003"/>
      <c r="J54" s="1003"/>
      <c r="K54" s="1002"/>
      <c r="P54" s="885"/>
      <c r="Q54" s="885"/>
      <c r="R54" s="240"/>
      <c r="S54" s="1058"/>
      <c r="T54" s="1078"/>
      <c r="U54" s="228"/>
      <c r="V54" s="322"/>
      <c r="W54" s="335"/>
      <c r="X54" s="322"/>
      <c r="Y54" s="335"/>
      <c r="Z54" s="322"/>
      <c r="AA54" s="322"/>
      <c r="AB54" s="322"/>
      <c r="AC54" s="322"/>
      <c r="AD54" s="949"/>
      <c r="AE54" s="1053"/>
      <c r="AF54" s="958"/>
      <c r="AG54" s="1076"/>
      <c r="AH54" s="895"/>
      <c r="AI54" s="1053"/>
      <c r="AJ54" s="958"/>
      <c r="AK54" s="1067"/>
      <c r="AL54" s="895"/>
      <c r="AM54" s="334"/>
      <c r="AN54" s="368"/>
      <c r="AO54" s="368" t="s">
        <v>445</v>
      </c>
      <c r="AP54" s="45"/>
      <c r="AQ54" s="45"/>
      <c r="AR54" s="45"/>
      <c r="AS54" s="322"/>
      <c r="AT54" s="322"/>
      <c r="AU54" s="335"/>
      <c r="AV54" s="322"/>
      <c r="AW54" s="335"/>
      <c r="AX54" s="322"/>
      <c r="AY54" s="322"/>
      <c r="AZ54" s="322"/>
      <c r="BA54" s="322"/>
      <c r="BB54" s="333"/>
      <c r="BC54" s="1024"/>
      <c r="BI54" s="3">
        <v>11</v>
      </c>
    </row>
    <row r="55" spans="1:61" ht="11.45" customHeight="1">
      <c r="A55" s="284" t="s">
        <v>199</v>
      </c>
      <c r="E55" s="1001"/>
      <c r="F55" s="1001"/>
      <c r="G55" s="1001"/>
      <c r="H55" s="1001"/>
      <c r="I55" s="1003"/>
      <c r="J55" s="1003"/>
      <c r="K55" s="1002"/>
      <c r="P55" s="885"/>
      <c r="Q55" s="885"/>
      <c r="R55" s="240"/>
      <c r="S55" s="1058"/>
      <c r="T55" s="1078"/>
      <c r="U55" s="228"/>
      <c r="V55" s="322"/>
      <c r="W55" s="335"/>
      <c r="X55" s="322"/>
      <c r="Y55" s="335"/>
      <c r="Z55" s="322"/>
      <c r="AA55" s="322"/>
      <c r="AB55" s="322"/>
      <c r="AC55" s="322"/>
      <c r="AD55" s="949"/>
      <c r="AE55" s="1053"/>
      <c r="AF55" s="958"/>
      <c r="AG55" s="1076"/>
      <c r="AH55" s="895"/>
      <c r="AI55" s="337"/>
      <c r="AJ55" s="42"/>
      <c r="AK55" s="200" t="s">
        <v>446</v>
      </c>
      <c r="AL55" s="322"/>
      <c r="AM55" s="322"/>
      <c r="AN55" s="322"/>
      <c r="AO55" s="322"/>
      <c r="AP55" s="322"/>
      <c r="AQ55" s="322"/>
      <c r="AR55" s="322"/>
      <c r="AS55" s="322"/>
      <c r="AT55" s="322"/>
      <c r="AU55" s="335"/>
      <c r="AV55" s="322"/>
      <c r="AW55" s="335"/>
      <c r="AX55" s="322"/>
      <c r="AY55" s="322"/>
      <c r="AZ55" s="322"/>
      <c r="BA55" s="322"/>
      <c r="BB55" s="333"/>
      <c r="BC55" s="1024"/>
      <c r="BI55" s="3">
        <v>11</v>
      </c>
    </row>
    <row r="56" spans="1:61" ht="11.45" customHeight="1">
      <c r="A56" s="284" t="s">
        <v>199</v>
      </c>
      <c r="B56" s="284" t="s">
        <v>200</v>
      </c>
      <c r="C56" s="284" t="s">
        <v>201</v>
      </c>
      <c r="D56" s="284" t="s">
        <v>452</v>
      </c>
      <c r="E56" s="1001"/>
      <c r="F56" s="1001"/>
      <c r="G56" s="1001"/>
      <c r="H56" s="1001"/>
      <c r="I56" s="1003"/>
      <c r="J56" s="1003"/>
      <c r="K56" s="1002"/>
      <c r="P56" s="885"/>
      <c r="Q56" s="885"/>
      <c r="R56" s="240"/>
      <c r="S56" s="1059"/>
      <c r="T56" s="1079"/>
      <c r="U56" s="228"/>
      <c r="V56" s="322"/>
      <c r="W56" s="323" t="str">
        <f>Z52&amp;"-"&amp;AB52</f>
        <v>-</v>
      </c>
      <c r="X56" s="322"/>
      <c r="Y56" s="323" t="str">
        <f>AB52&amp;"-"&amp;AD52</f>
        <v>-да</v>
      </c>
      <c r="Z56" s="322"/>
      <c r="AA56" s="322"/>
      <c r="AB56" s="322"/>
      <c r="AC56" s="322"/>
      <c r="AD56" s="900"/>
      <c r="AE56" s="339"/>
      <c r="AF56" s="340"/>
      <c r="AG56" s="45" t="s">
        <v>428</v>
      </c>
      <c r="AH56" s="322"/>
      <c r="AI56" s="322"/>
      <c r="AJ56" s="322"/>
      <c r="AK56" s="322"/>
      <c r="AL56" s="322"/>
      <c r="AM56" s="322"/>
      <c r="AN56" s="322"/>
      <c r="AO56" s="322"/>
      <c r="AP56" s="322"/>
      <c r="AQ56" s="322"/>
      <c r="AR56" s="322"/>
      <c r="AS56" s="322"/>
      <c r="AT56" s="322"/>
      <c r="AU56" s="323" t="str">
        <f>AX52&amp;"-"&amp;AZ52</f>
        <v>-</v>
      </c>
      <c r="AV56" s="322"/>
      <c r="AW56" s="323" t="str">
        <f>AZ52&amp;"-"&amp;BB52</f>
        <v>-</v>
      </c>
      <c r="AX56" s="322"/>
      <c r="AY56" s="322"/>
      <c r="AZ56" s="322"/>
      <c r="BA56" s="322"/>
      <c r="BB56" s="338" t="str">
        <f>BE52&amp;"-"&amp;BG52</f>
        <v>-</v>
      </c>
      <c r="BC56" s="1024"/>
      <c r="BF56" s="29" t="str">
        <f t="shared" ref="BF56:BF63" si="4">IF(T56="","",T56)</f>
        <v/>
      </c>
      <c r="BI56" s="3">
        <v>11</v>
      </c>
    </row>
    <row r="57" spans="1:61" ht="11.45" customHeight="1">
      <c r="A57" s="284" t="s">
        <v>199</v>
      </c>
      <c r="B57" s="284" t="s">
        <v>200</v>
      </c>
      <c r="C57" s="284" t="s">
        <v>201</v>
      </c>
      <c r="D57" s="284" t="s">
        <v>452</v>
      </c>
      <c r="E57" s="1001"/>
      <c r="F57" s="1001"/>
      <c r="G57" s="1001"/>
      <c r="H57" s="1001"/>
      <c r="I57" s="1003"/>
      <c r="J57" s="1002"/>
      <c r="P57" s="885"/>
      <c r="Q57" s="885"/>
      <c r="R57" s="238"/>
      <c r="S57" s="249"/>
      <c r="T57" s="252" t="s">
        <v>391</v>
      </c>
      <c r="U57" s="54"/>
      <c r="V57" s="54"/>
      <c r="W57" s="54"/>
      <c r="X57" s="54"/>
      <c r="Y57" s="54"/>
      <c r="Z57" s="54"/>
      <c r="AA57" s="54"/>
      <c r="AB57" s="54"/>
      <c r="AC57" s="251"/>
      <c r="AD57" s="353"/>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251"/>
      <c r="BC57" s="1025"/>
      <c r="BF57" s="29" t="str">
        <f t="shared" si="4"/>
        <v>Добавить строку</v>
      </c>
      <c r="BI57" s="3">
        <v>11</v>
      </c>
    </row>
    <row r="58" spans="1:61" ht="0" hidden="1" customHeight="1">
      <c r="A58" s="21" t="s">
        <v>199</v>
      </c>
      <c r="B58" s="21" t="s">
        <v>200</v>
      </c>
      <c r="C58" s="21" t="s">
        <v>201</v>
      </c>
      <c r="D58" s="21" t="s">
        <v>452</v>
      </c>
      <c r="E58" s="1001"/>
      <c r="F58" s="1001"/>
      <c r="G58" s="1001"/>
      <c r="H58" s="1001"/>
      <c r="I58" s="1002"/>
      <c r="P58" s="885"/>
      <c r="R58" s="238"/>
      <c r="S58" s="298"/>
      <c r="T58" s="299"/>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1"/>
      <c r="BF58" s="29" t="str">
        <f t="shared" si="4"/>
        <v/>
      </c>
      <c r="BI58" s="24">
        <v>0</v>
      </c>
    </row>
    <row r="59" spans="1:61" ht="0" hidden="1" customHeight="1">
      <c r="A59" s="21" t="s">
        <v>199</v>
      </c>
      <c r="B59" s="21" t="s">
        <v>200</v>
      </c>
      <c r="C59" s="21" t="s">
        <v>201</v>
      </c>
      <c r="D59" s="21" t="s">
        <v>452</v>
      </c>
      <c r="E59" s="1001"/>
      <c r="F59" s="1001"/>
      <c r="G59" s="1001"/>
      <c r="H59" s="1000"/>
      <c r="R59" s="341"/>
      <c r="S59" s="298"/>
      <c r="T59" s="299"/>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1"/>
      <c r="BF59" s="29" t="str">
        <f t="shared" si="4"/>
        <v/>
      </c>
      <c r="BI59" s="24">
        <v>0</v>
      </c>
    </row>
    <row r="60" spans="1:61" ht="0" hidden="1" customHeight="1">
      <c r="A60" s="21" t="s">
        <v>199</v>
      </c>
      <c r="B60" s="21" t="s">
        <v>200</v>
      </c>
      <c r="C60" s="21" t="s">
        <v>201</v>
      </c>
      <c r="E60" s="1001"/>
      <c r="F60" s="1001"/>
      <c r="G60" s="1000"/>
      <c r="BF60" s="29" t="str">
        <f t="shared" si="4"/>
        <v/>
      </c>
      <c r="BI60" s="24">
        <v>0</v>
      </c>
    </row>
    <row r="61" spans="1:61" ht="0" hidden="1" customHeight="1">
      <c r="A61" s="21" t="s">
        <v>199</v>
      </c>
      <c r="B61" s="21" t="s">
        <v>200</v>
      </c>
      <c r="E61" s="1001"/>
      <c r="F61" s="1000"/>
      <c r="T61" s="260" t="s">
        <v>338</v>
      </c>
      <c r="BF61" s="29" t="str">
        <f t="shared" si="4"/>
        <v>Добавить централизованную систему для дифференциации</v>
      </c>
      <c r="BI61" s="24">
        <v>0</v>
      </c>
    </row>
    <row r="62" spans="1:61" ht="0" hidden="1" customHeight="1">
      <c r="A62" s="21" t="s">
        <v>199</v>
      </c>
      <c r="E62" s="1000"/>
      <c r="T62" s="260" t="s">
        <v>339</v>
      </c>
      <c r="BF62" s="29" t="str">
        <f t="shared" si="4"/>
        <v>Добавить территорию для дифференциации</v>
      </c>
      <c r="BI62" s="24">
        <v>0</v>
      </c>
    </row>
    <row r="63" spans="1:61" ht="0" hidden="1" customHeight="1">
      <c r="T63" s="260" t="s">
        <v>371</v>
      </c>
      <c r="BF63" s="29" t="str">
        <f t="shared" si="4"/>
        <v>Добавить наименование тарифа</v>
      </c>
      <c r="BI63" s="24">
        <v>0</v>
      </c>
    </row>
    <row r="64" spans="1:61" ht="11.45" customHeight="1">
      <c r="BI64" s="3">
        <v>11</v>
      </c>
    </row>
    <row r="65" spans="1:61" ht="14.65" customHeight="1">
      <c r="T65" s="885"/>
      <c r="U65" s="885"/>
      <c r="V65" s="885"/>
      <c r="W65" s="885"/>
      <c r="X65" s="885"/>
      <c r="Y65" s="885"/>
      <c r="Z65" s="885"/>
      <c r="AA65" s="885"/>
      <c r="AB65" s="885"/>
      <c r="AC65" s="885"/>
      <c r="AD65" s="885"/>
      <c r="AE65" s="885"/>
      <c r="AF65" s="885"/>
      <c r="AG65" s="885"/>
      <c r="AH65" s="885"/>
      <c r="AI65" s="885"/>
      <c r="AJ65" s="885"/>
      <c r="AK65" s="885"/>
      <c r="AL65" s="885"/>
      <c r="AM65" s="885"/>
      <c r="AN65" s="885"/>
      <c r="AO65" s="885"/>
      <c r="AP65" s="885"/>
      <c r="AQ65" s="885"/>
      <c r="AR65" s="885"/>
      <c r="AS65" s="885"/>
      <c r="AT65" s="885"/>
      <c r="AU65" s="885"/>
      <c r="AV65" s="885"/>
      <c r="AW65" s="885"/>
      <c r="AX65" s="885"/>
      <c r="AY65" s="885"/>
      <c r="AZ65" s="885"/>
      <c r="BA65" s="885"/>
      <c r="BB65" s="885"/>
      <c r="BC65" s="885"/>
      <c r="BI65" s="3">
        <v>14</v>
      </c>
    </row>
    <row r="66" spans="1:61" ht="14.65" customHeight="1">
      <c r="BI66" s="3">
        <v>14</v>
      </c>
    </row>
    <row r="67" spans="1:61" ht="14.65" customHeight="1">
      <c r="T67" s="885"/>
      <c r="U67" s="885"/>
      <c r="V67" s="885"/>
      <c r="W67" s="885"/>
      <c r="X67" s="885"/>
      <c r="Y67" s="885"/>
      <c r="Z67" s="885"/>
      <c r="AA67" s="885"/>
      <c r="AB67" s="885"/>
      <c r="AC67" s="885"/>
      <c r="AD67" s="885"/>
      <c r="AE67" s="885"/>
      <c r="AF67" s="885"/>
      <c r="AG67" s="885"/>
      <c r="AH67" s="885"/>
      <c r="AI67" s="885"/>
      <c r="AJ67" s="885"/>
      <c r="AK67" s="885"/>
      <c r="AL67" s="885"/>
      <c r="AM67" s="885"/>
      <c r="AN67" s="885"/>
      <c r="AO67" s="885"/>
      <c r="AP67" s="885"/>
      <c r="AQ67" s="885"/>
      <c r="AR67" s="885"/>
      <c r="AS67" s="885"/>
      <c r="AT67" s="885"/>
      <c r="AU67" s="885"/>
      <c r="AV67" s="885"/>
      <c r="AW67" s="885"/>
      <c r="AX67" s="885"/>
      <c r="AY67" s="885"/>
      <c r="AZ67" s="885"/>
      <c r="BA67" s="885"/>
      <c r="BB67" s="885"/>
      <c r="BC67" s="885"/>
      <c r="BI67" s="3">
        <v>14</v>
      </c>
    </row>
    <row r="68" spans="1:61" ht="14.65" customHeight="1">
      <c r="BI68" s="3">
        <v>14</v>
      </c>
    </row>
    <row r="69" spans="1:61" ht="14.25" hidden="1" customHeight="1">
      <c r="A69" s="11" t="s">
        <v>18</v>
      </c>
      <c r="B69" s="11">
        <v>0</v>
      </c>
      <c r="C69" s="11">
        <v>0</v>
      </c>
      <c r="D69" s="11">
        <v>0</v>
      </c>
      <c r="E69" s="11">
        <v>0</v>
      </c>
      <c r="F69" s="11">
        <v>0</v>
      </c>
      <c r="G69" s="11">
        <v>0</v>
      </c>
      <c r="H69" s="11">
        <v>0</v>
      </c>
      <c r="I69" s="11">
        <v>0</v>
      </c>
      <c r="J69" s="11">
        <v>0</v>
      </c>
      <c r="K69" s="11">
        <v>0</v>
      </c>
      <c r="L69" s="171">
        <v>0</v>
      </c>
      <c r="M69" s="13">
        <v>0</v>
      </c>
      <c r="N69" s="13">
        <v>0</v>
      </c>
      <c r="O69" s="13">
        <v>0</v>
      </c>
      <c r="P69" s="13">
        <v>0</v>
      </c>
      <c r="Q69" s="355">
        <v>0</v>
      </c>
      <c r="R69" s="288">
        <v>3</v>
      </c>
      <c r="S69" s="9">
        <v>12</v>
      </c>
      <c r="T69" s="3">
        <v>31</v>
      </c>
      <c r="U69" s="3">
        <v>0</v>
      </c>
      <c r="V69" s="3">
        <v>0</v>
      </c>
      <c r="W69" s="3">
        <v>0</v>
      </c>
      <c r="X69" s="3">
        <v>0</v>
      </c>
      <c r="Y69" s="3">
        <v>0</v>
      </c>
      <c r="Z69" s="3">
        <v>0</v>
      </c>
      <c r="AA69" s="3">
        <v>0</v>
      </c>
      <c r="AB69" s="3">
        <v>0</v>
      </c>
      <c r="AC69" s="3">
        <v>0</v>
      </c>
      <c r="AD69" s="3">
        <v>3</v>
      </c>
      <c r="AE69" s="3">
        <v>3</v>
      </c>
      <c r="AF69" s="3">
        <v>3</v>
      </c>
      <c r="AG69" s="3">
        <v>24</v>
      </c>
      <c r="AH69" s="3">
        <v>3</v>
      </c>
      <c r="AI69" s="3">
        <v>3</v>
      </c>
      <c r="AJ69" s="3">
        <v>3</v>
      </c>
      <c r="AK69" s="3">
        <v>24</v>
      </c>
      <c r="AL69" s="3">
        <v>3</v>
      </c>
      <c r="AM69" s="3">
        <v>3</v>
      </c>
      <c r="AN69" s="3">
        <v>3</v>
      </c>
      <c r="AO69" s="3">
        <v>18</v>
      </c>
      <c r="AP69" s="3">
        <v>3</v>
      </c>
      <c r="AQ69" s="3">
        <v>3</v>
      </c>
      <c r="AR69" s="3">
        <v>3</v>
      </c>
      <c r="AS69" s="3">
        <v>18</v>
      </c>
      <c r="AT69" s="3">
        <v>21</v>
      </c>
      <c r="AU69" s="3">
        <v>21</v>
      </c>
      <c r="AV69" s="3">
        <v>21</v>
      </c>
      <c r="AW69" s="3">
        <v>21</v>
      </c>
      <c r="AX69" s="3">
        <v>11</v>
      </c>
      <c r="AY69" s="3">
        <v>3</v>
      </c>
      <c r="AZ69" s="3">
        <v>11</v>
      </c>
      <c r="BA69" s="3">
        <v>0</v>
      </c>
      <c r="BB69" s="3">
        <v>4</v>
      </c>
      <c r="BC69" s="3">
        <v>115</v>
      </c>
      <c r="BD69" s="24">
        <v>10</v>
      </c>
      <c r="BE69" s="24">
        <v>10</v>
      </c>
      <c r="BF69" s="24">
        <v>10</v>
      </c>
      <c r="BG69" s="24">
        <v>10</v>
      </c>
      <c r="BH69" s="24">
        <v>10</v>
      </c>
      <c r="BI69" s="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4.140625" hidden="1" customWidth="1"/>
    <col min="10" max="10" width="9.85546875" hidden="1" customWidth="1"/>
    <col min="11" max="11" width="14.710937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8" width="19.7109375" hidden="1" customWidth="1"/>
    <col min="29" max="29" width="11.7109375" hidden="1" customWidth="1"/>
    <col min="30" max="30" width="3.7109375" hidden="1" customWidth="1"/>
    <col min="31" max="31" width="11.7109375" hidden="1" customWidth="1"/>
    <col min="32" max="32" width="8.5703125" hidden="1" customWidth="1"/>
    <col min="33" max="33" width="19.7109375" customWidth="1"/>
    <col min="34" max="39" width="19" customWidth="1"/>
    <col min="40" max="40" width="11" customWidth="1"/>
    <col min="41" max="41" width="3.7109375" customWidth="1"/>
    <col min="42" max="42" width="11" customWidth="1"/>
    <col min="43" max="43" width="8.5703125" hidden="1" customWidth="1"/>
    <col min="44" max="44" width="4" customWidth="1"/>
    <col min="45" max="45" width="115" customWidth="1"/>
    <col min="46" max="50" width="10" customWidth="1"/>
    <col min="51" max="51" width="10.5703125" hidden="1"/>
  </cols>
  <sheetData>
    <row r="1" spans="5:51" ht="22.5" hidden="1" customHeight="1">
      <c r="AY1" s="3" t="s">
        <v>1</v>
      </c>
    </row>
    <row r="2" spans="5:51" ht="23.25" hidden="1" customHeight="1">
      <c r="E2" s="1000">
        <v>1</v>
      </c>
      <c r="R2" s="225"/>
      <c r="S2" s="226" t="e">
        <f>INDEX(PT_DIFFERENTIATION_NUM_NTAR,MATCH(A2,PT_DIFFERENTIATION_NTAR_ID,0))</f>
        <v>#N/A</v>
      </c>
      <c r="T2" s="227" t="s">
        <v>48</v>
      </c>
      <c r="U2" s="228"/>
      <c r="V2" s="995"/>
      <c r="W2" s="996"/>
      <c r="X2" s="996"/>
      <c r="Y2" s="996"/>
      <c r="Z2" s="996"/>
      <c r="AA2" s="996"/>
      <c r="AB2" s="996"/>
      <c r="AC2" s="996"/>
      <c r="AD2" s="996"/>
      <c r="AE2" s="996"/>
      <c r="AF2" s="997"/>
      <c r="AG2" s="995" t="e">
        <f>INDEX(PT_DIFFERENTIATION_NTAR,MATCH(A2,PT_DIFFERENTIATION_NTAR_ID,0))</f>
        <v>#N/A</v>
      </c>
      <c r="AH2" s="996"/>
      <c r="AI2" s="996"/>
      <c r="AJ2" s="996"/>
      <c r="AK2" s="996"/>
      <c r="AL2" s="996"/>
      <c r="AM2" s="996"/>
      <c r="AN2" s="996"/>
      <c r="AO2" s="996"/>
      <c r="AP2" s="996"/>
      <c r="AQ2" s="996"/>
      <c r="AR2" s="997"/>
      <c r="AS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V2" s="29" t="str">
        <f t="shared" ref="AV2:AV13" si="0">IF(T2="","",T2)</f>
        <v>Наименование тарифа</v>
      </c>
      <c r="AY2" s="3">
        <v>0</v>
      </c>
    </row>
    <row r="3" spans="5:51" ht="23.25" hidden="1" customHeight="1">
      <c r="E3" s="1001"/>
      <c r="F3" s="1000">
        <v>1</v>
      </c>
      <c r="Q3" s="231"/>
      <c r="R3" s="232"/>
      <c r="S3" s="226" t="e">
        <f>INDEX(PT_DIFFERENTIATION_NUM_TER,MATCH(B3,PT_DIFFERENTIATION_TER_ID,0))</f>
        <v>#N/A</v>
      </c>
      <c r="T3" s="233" t="s">
        <v>320</v>
      </c>
      <c r="U3" s="228"/>
      <c r="V3" s="995"/>
      <c r="W3" s="996"/>
      <c r="X3" s="996"/>
      <c r="Y3" s="996"/>
      <c r="Z3" s="996"/>
      <c r="AA3" s="996"/>
      <c r="AB3" s="996"/>
      <c r="AC3" s="996"/>
      <c r="AD3" s="996"/>
      <c r="AE3" s="996"/>
      <c r="AF3" s="997"/>
      <c r="AG3" s="995" t="e">
        <f>INDEX(PT_DIFFERENTIATION_TER,MATCH(B3,PT_DIFFERENTIATION_TER_ID,0))</f>
        <v>#N/A</v>
      </c>
      <c r="AH3" s="996"/>
      <c r="AI3" s="996"/>
      <c r="AJ3" s="996"/>
      <c r="AK3" s="996"/>
      <c r="AL3" s="996"/>
      <c r="AM3" s="996"/>
      <c r="AN3" s="996"/>
      <c r="AO3" s="996"/>
      <c r="AP3" s="996"/>
      <c r="AQ3" s="996"/>
      <c r="AR3" s="997"/>
      <c r="AS3" s="230" t="s">
        <v>321</v>
      </c>
      <c r="AV3" s="29" t="str">
        <f t="shared" si="0"/>
        <v>Территория действия тарифа</v>
      </c>
      <c r="AY3" s="3">
        <v>0</v>
      </c>
    </row>
    <row r="4" spans="5:51" ht="23.25" hidden="1" customHeight="1">
      <c r="E4" s="1001"/>
      <c r="F4" s="1001"/>
      <c r="G4" s="1000">
        <v>1</v>
      </c>
      <c r="Q4" s="231"/>
      <c r="R4" s="232"/>
      <c r="S4" s="226" t="e">
        <f>INDEX(PT_DIFFERENTIATION_NUM_CS,MATCH(C4,PT_DIFFERENTIATION_CS_ID,0))</f>
        <v>#N/A</v>
      </c>
      <c r="T4" s="234" t="s">
        <v>453</v>
      </c>
      <c r="U4" s="228"/>
      <c r="V4" s="995"/>
      <c r="W4" s="996"/>
      <c r="X4" s="996"/>
      <c r="Y4" s="996"/>
      <c r="Z4" s="996"/>
      <c r="AA4" s="996"/>
      <c r="AB4" s="996"/>
      <c r="AC4" s="996"/>
      <c r="AD4" s="996"/>
      <c r="AE4" s="996"/>
      <c r="AF4" s="997"/>
      <c r="AG4" s="995" t="e">
        <f>INDEX(PT_DIFFERENTIATION_CS,MATCH(C4,PT_DIFFERENTIATION_CS_ID,0))</f>
        <v>#N/A</v>
      </c>
      <c r="AH4" s="996"/>
      <c r="AI4" s="996"/>
      <c r="AJ4" s="996"/>
      <c r="AK4" s="996"/>
      <c r="AL4" s="996"/>
      <c r="AM4" s="996"/>
      <c r="AN4" s="996"/>
      <c r="AO4" s="996"/>
      <c r="AP4" s="996"/>
      <c r="AQ4" s="996"/>
      <c r="AR4" s="997"/>
      <c r="AS4" s="230" t="s">
        <v>454</v>
      </c>
      <c r="AV4" s="29" t="str">
        <f t="shared" si="0"/>
        <v>Наименование централизованной системы горячего водоснабжения</v>
      </c>
      <c r="AY4" s="3">
        <v>0</v>
      </c>
    </row>
    <row r="5" spans="5:51" ht="23.25" hidden="1" customHeight="1">
      <c r="E5" s="1001"/>
      <c r="F5" s="1001"/>
      <c r="G5" s="1001"/>
      <c r="H5" s="1001"/>
      <c r="I5" s="1002" t="e">
        <f>S4&amp;".1"</f>
        <v>#N/A</v>
      </c>
      <c r="P5" s="1004">
        <v>1</v>
      </c>
      <c r="R5" s="238"/>
      <c r="S5" s="226" t="e">
        <f>$I5</f>
        <v>#N/A</v>
      </c>
      <c r="T5" s="239" t="s">
        <v>406</v>
      </c>
      <c r="U5" s="228"/>
      <c r="V5" s="1068"/>
      <c r="W5" s="1069"/>
      <c r="X5" s="1069"/>
      <c r="Y5" s="1069"/>
      <c r="Z5" s="1069"/>
      <c r="AA5" s="1069"/>
      <c r="AB5" s="1069"/>
      <c r="AC5" s="1069"/>
      <c r="AD5" s="1069"/>
      <c r="AE5" s="1069"/>
      <c r="AF5" s="1070"/>
      <c r="AG5" s="1071"/>
      <c r="AH5" s="1072"/>
      <c r="AI5" s="1072"/>
      <c r="AJ5" s="1072"/>
      <c r="AK5" s="1072"/>
      <c r="AL5" s="1072"/>
      <c r="AM5" s="1072"/>
      <c r="AN5" s="1072"/>
      <c r="AO5" s="1072"/>
      <c r="AP5" s="1072"/>
      <c r="AQ5" s="1072"/>
      <c r="AR5" s="1073"/>
      <c r="AS5" s="230" t="s">
        <v>407</v>
      </c>
      <c r="AV5" s="29" t="str">
        <f t="shared" si="0"/>
        <v>Наименование признака дифференциации</v>
      </c>
      <c r="AY5" s="3">
        <v>0</v>
      </c>
    </row>
    <row r="6" spans="5:51" ht="23.25" hidden="1" customHeight="1">
      <c r="E6" s="1001"/>
      <c r="F6" s="1001"/>
      <c r="G6" s="1001"/>
      <c r="H6" s="1001"/>
      <c r="I6" s="1003"/>
      <c r="J6" s="1002" t="e">
        <f>I5&amp;".1"</f>
        <v>#N/A</v>
      </c>
      <c r="L6" s="237" t="s">
        <v>329</v>
      </c>
      <c r="P6" s="885"/>
      <c r="Q6" s="1004">
        <v>1</v>
      </c>
      <c r="R6" s="240"/>
      <c r="S6" s="226" t="e">
        <f>$J6</f>
        <v>#N/A</v>
      </c>
      <c r="T6" s="241" t="s">
        <v>330</v>
      </c>
      <c r="U6" s="228"/>
      <c r="V6" s="989"/>
      <c r="W6" s="990"/>
      <c r="X6" s="990"/>
      <c r="Y6" s="990"/>
      <c r="Z6" s="990"/>
      <c r="AA6" s="990"/>
      <c r="AB6" s="990"/>
      <c r="AC6" s="990"/>
      <c r="AD6" s="990"/>
      <c r="AE6" s="990"/>
      <c r="AF6" s="991"/>
      <c r="AG6" s="989"/>
      <c r="AH6" s="990"/>
      <c r="AI6" s="990"/>
      <c r="AJ6" s="990"/>
      <c r="AK6" s="990"/>
      <c r="AL6" s="990"/>
      <c r="AM6" s="990"/>
      <c r="AN6" s="990"/>
      <c r="AO6" s="990"/>
      <c r="AP6" s="990"/>
      <c r="AQ6" s="990"/>
      <c r="AR6" s="991"/>
      <c r="AS6" s="317" t="s">
        <v>408</v>
      </c>
      <c r="AV6" s="29" t="str">
        <f t="shared" si="0"/>
        <v>Группа потребителей</v>
      </c>
      <c r="AY6" s="3">
        <v>0</v>
      </c>
    </row>
    <row r="7" spans="5:51" ht="23.25" hidden="1" customHeight="1">
      <c r="E7" s="1001"/>
      <c r="F7" s="1001"/>
      <c r="G7" s="1001"/>
      <c r="H7" s="1001"/>
      <c r="I7" s="1003"/>
      <c r="J7" s="1003"/>
      <c r="K7" s="1002" t="e">
        <f>J6&amp;".1"</f>
        <v>#N/A</v>
      </c>
      <c r="P7" s="885"/>
      <c r="Q7" s="885"/>
      <c r="R7" s="240">
        <v>1</v>
      </c>
      <c r="S7" s="226" t="e">
        <f>$K7</f>
        <v>#N/A</v>
      </c>
      <c r="T7" s="357"/>
      <c r="U7" s="228"/>
      <c r="V7" s="243"/>
      <c r="W7" s="243"/>
      <c r="X7" s="243"/>
      <c r="Y7" s="243"/>
      <c r="Z7" s="243"/>
      <c r="AA7" s="243"/>
      <c r="AB7" s="243"/>
      <c r="AC7" s="1005"/>
      <c r="AD7" s="895" t="s">
        <v>17</v>
      </c>
      <c r="AE7" s="1005"/>
      <c r="AF7" s="895" t="s">
        <v>17</v>
      </c>
      <c r="AG7" s="243"/>
      <c r="AH7" s="243"/>
      <c r="AI7" s="243"/>
      <c r="AJ7" s="243"/>
      <c r="AK7" s="243"/>
      <c r="AL7" s="243"/>
      <c r="AM7" s="243"/>
      <c r="AN7" s="1005"/>
      <c r="AO7" s="895" t="s">
        <v>17</v>
      </c>
      <c r="AP7" s="1007"/>
      <c r="AQ7" s="895" t="s">
        <v>17</v>
      </c>
      <c r="AR7" s="358"/>
      <c r="AS7" s="10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24" t="e">
        <f ca="1">STRCHECKDATE(V8:AR8)</f>
        <v>#NAME?</v>
      </c>
      <c r="AV7" s="29" t="str">
        <f t="shared" si="0"/>
        <v/>
      </c>
      <c r="AY7" s="3">
        <v>0</v>
      </c>
    </row>
    <row r="8" spans="5:51" ht="14.25" hidden="1" customHeight="1">
      <c r="E8" s="1001"/>
      <c r="F8" s="1001"/>
      <c r="G8" s="1001"/>
      <c r="H8" s="1001"/>
      <c r="I8" s="1003"/>
      <c r="J8" s="1003"/>
      <c r="K8" s="1002"/>
      <c r="P8" s="885"/>
      <c r="Q8" s="885"/>
      <c r="R8" s="240"/>
      <c r="S8" s="209"/>
      <c r="T8" s="228"/>
      <c r="U8" s="228"/>
      <c r="V8" s="244"/>
      <c r="W8" s="244"/>
      <c r="X8" s="244"/>
      <c r="Y8" s="244"/>
      <c r="Z8" s="244"/>
      <c r="AA8" s="244"/>
      <c r="AB8" s="244"/>
      <c r="AC8" s="1006"/>
      <c r="AD8" s="895"/>
      <c r="AE8" s="1006"/>
      <c r="AF8" s="895"/>
      <c r="AG8" s="244"/>
      <c r="AH8" s="244"/>
      <c r="AI8" s="244"/>
      <c r="AJ8" s="244"/>
      <c r="AK8" s="244"/>
      <c r="AL8" s="244"/>
      <c r="AM8" s="244"/>
      <c r="AN8" s="1006"/>
      <c r="AO8" s="895"/>
      <c r="AP8" s="1008"/>
      <c r="AQ8" s="895"/>
      <c r="AR8" s="359"/>
      <c r="AS8" s="1074"/>
      <c r="AV8" s="29" t="str">
        <f t="shared" si="0"/>
        <v/>
      </c>
      <c r="AY8" s="3">
        <v>0</v>
      </c>
    </row>
    <row r="9" spans="5:51" ht="21" hidden="1" customHeight="1">
      <c r="E9" s="1001"/>
      <c r="F9" s="1001"/>
      <c r="G9" s="1001"/>
      <c r="H9" s="1001"/>
      <c r="I9" s="1003"/>
      <c r="J9" s="1002"/>
      <c r="P9" s="885"/>
      <c r="Q9" s="885"/>
      <c r="R9" s="238"/>
      <c r="S9" s="249"/>
      <c r="T9" s="252" t="s">
        <v>409</v>
      </c>
      <c r="U9" s="54"/>
      <c r="V9" s="54"/>
      <c r="W9" s="54"/>
      <c r="X9" s="54"/>
      <c r="Y9" s="54"/>
      <c r="Z9" s="54"/>
      <c r="AA9" s="54"/>
      <c r="AB9" s="54"/>
      <c r="AC9" s="54"/>
      <c r="AD9" s="54"/>
      <c r="AE9" s="54"/>
      <c r="AF9" s="54"/>
      <c r="AG9" s="54"/>
      <c r="AH9" s="54"/>
      <c r="AI9" s="54"/>
      <c r="AJ9" s="54"/>
      <c r="AK9" s="54"/>
      <c r="AL9" s="54"/>
      <c r="AM9" s="54"/>
      <c r="AN9" s="54"/>
      <c r="AO9" s="54"/>
      <c r="AP9" s="54"/>
      <c r="AQ9" s="54"/>
      <c r="AR9" s="54"/>
      <c r="AS9" s="230" t="s">
        <v>410</v>
      </c>
      <c r="AV9" s="29" t="str">
        <f t="shared" si="0"/>
        <v>Добавить значение признака дифференциации</v>
      </c>
      <c r="AY9" s="3">
        <v>0</v>
      </c>
    </row>
    <row r="10" spans="5:51" ht="21" hidden="1" customHeight="1">
      <c r="E10" s="1001"/>
      <c r="F10" s="1001"/>
      <c r="G10" s="1001"/>
      <c r="H10" s="1001"/>
      <c r="I10" s="1002"/>
      <c r="P10" s="885"/>
      <c r="R10" s="238"/>
      <c r="S10" s="249"/>
      <c r="T10" s="255" t="s">
        <v>335</v>
      </c>
      <c r="U10" s="54"/>
      <c r="V10" s="54"/>
      <c r="W10" s="54"/>
      <c r="X10" s="54"/>
      <c r="Y10" s="54"/>
      <c r="Z10" s="54"/>
      <c r="AA10" s="54"/>
      <c r="AB10" s="54"/>
      <c r="AC10" s="54"/>
      <c r="AD10" s="54"/>
      <c r="AE10" s="54"/>
      <c r="AF10" s="253"/>
      <c r="AG10" s="54"/>
      <c r="AH10" s="54"/>
      <c r="AI10" s="54"/>
      <c r="AJ10" s="54"/>
      <c r="AK10" s="54"/>
      <c r="AL10" s="54"/>
      <c r="AM10" s="54"/>
      <c r="AN10" s="54"/>
      <c r="AO10" s="54"/>
      <c r="AP10" s="54"/>
      <c r="AQ10" s="253"/>
      <c r="AR10" s="54"/>
      <c r="AS10" s="360"/>
      <c r="AV10" s="29" t="str">
        <f t="shared" si="0"/>
        <v>Добавить группу потребителей</v>
      </c>
      <c r="AY10" s="3">
        <v>0</v>
      </c>
    </row>
    <row r="11" spans="5:51" ht="21" hidden="1" customHeight="1">
      <c r="E11" s="1001"/>
      <c r="F11" s="1001"/>
      <c r="G11" s="1001"/>
      <c r="H11" s="1000"/>
      <c r="R11" s="225"/>
      <c r="S11" s="249"/>
      <c r="T11" s="361" t="s">
        <v>411</v>
      </c>
      <c r="U11" s="54"/>
      <c r="V11" s="54"/>
      <c r="W11" s="54"/>
      <c r="X11" s="54"/>
      <c r="Y11" s="54"/>
      <c r="Z11" s="54"/>
      <c r="AA11" s="54"/>
      <c r="AB11" s="54"/>
      <c r="AC11" s="54"/>
      <c r="AD11" s="54"/>
      <c r="AE11" s="54"/>
      <c r="AF11" s="253"/>
      <c r="AG11" s="54"/>
      <c r="AH11" s="54"/>
      <c r="AI11" s="54"/>
      <c r="AJ11" s="54"/>
      <c r="AK11" s="54"/>
      <c r="AL11" s="54"/>
      <c r="AM11" s="54"/>
      <c r="AN11" s="54"/>
      <c r="AO11" s="54"/>
      <c r="AP11" s="54"/>
      <c r="AQ11" s="253"/>
      <c r="AR11" s="54"/>
      <c r="AS11" s="254"/>
      <c r="AV11" s="29" t="str">
        <f t="shared" si="0"/>
        <v>Добавить наименование признака дифференциации</v>
      </c>
      <c r="AY11" s="3">
        <v>0</v>
      </c>
    </row>
    <row r="12" spans="5:51" ht="14.25" hidden="1" customHeight="1">
      <c r="E12" s="1001"/>
      <c r="F12" s="1000"/>
      <c r="T12" s="260" t="s">
        <v>338</v>
      </c>
      <c r="AV12" s="29" t="str">
        <f t="shared" si="0"/>
        <v>Добавить централизованную систему для дифференциации</v>
      </c>
      <c r="AY12" s="24">
        <v>0</v>
      </c>
    </row>
    <row r="13" spans="5:51" ht="14.25" hidden="1" customHeight="1">
      <c r="E13" s="1000"/>
      <c r="T13" s="260" t="s">
        <v>339</v>
      </c>
      <c r="AV13" s="29" t="str">
        <f t="shared" si="0"/>
        <v>Добавить территорию для дифференциации</v>
      </c>
      <c r="AY13" s="24">
        <v>0</v>
      </c>
    </row>
    <row r="14" spans="5:51" ht="14.25" hidden="1" customHeight="1">
      <c r="AY14" s="3">
        <v>0</v>
      </c>
    </row>
    <row r="15" spans="5:51" ht="14.25" hidden="1" customHeight="1">
      <c r="AG15" s="261"/>
      <c r="AH15" s="261"/>
      <c r="AI15" s="261"/>
      <c r="AJ15" s="261"/>
      <c r="AK15" s="261"/>
      <c r="AL15" s="261"/>
      <c r="AM15" s="261"/>
      <c r="AN15" s="999"/>
      <c r="AO15" s="998" t="s">
        <v>17</v>
      </c>
      <c r="AP15" s="999"/>
      <c r="AQ15" s="998" t="s">
        <v>17</v>
      </c>
      <c r="AY15" s="3">
        <v>0</v>
      </c>
    </row>
    <row r="16" spans="5:51" ht="14.25" hidden="1" customHeight="1">
      <c r="AG16" s="261"/>
      <c r="AH16" s="261"/>
      <c r="AI16" s="261"/>
      <c r="AJ16" s="261"/>
      <c r="AK16" s="261"/>
      <c r="AL16" s="261"/>
      <c r="AM16" s="261"/>
      <c r="AN16" s="998"/>
      <c r="AO16" s="998"/>
      <c r="AP16" s="998"/>
      <c r="AQ16" s="998"/>
      <c r="AY16" s="3">
        <v>0</v>
      </c>
    </row>
    <row r="17" spans="15:51" ht="14.25" hidden="1" customHeight="1">
      <c r="AY17" s="3">
        <v>0</v>
      </c>
    </row>
    <row r="18" spans="15:51" ht="22.5" hidden="1" customHeight="1">
      <c r="O18" s="263" t="s">
        <v>340</v>
      </c>
      <c r="AC18" s="263"/>
      <c r="AE18" s="263"/>
      <c r="AN18" s="263"/>
      <c r="AP18" s="263"/>
      <c r="AY18" s="11">
        <v>0</v>
      </c>
    </row>
    <row r="19" spans="15:51" ht="14.25" hidden="1" customHeight="1">
      <c r="AY19" s="11">
        <v>0</v>
      </c>
    </row>
    <row r="20" spans="15:51" ht="12" hidden="1" customHeight="1">
      <c r="O20" s="237" t="s">
        <v>341</v>
      </c>
      <c r="T20" s="11" t="s">
        <v>342</v>
      </c>
      <c r="AD20" s="60" t="s">
        <v>343</v>
      </c>
      <c r="AF20" s="60" t="s">
        <v>344</v>
      </c>
      <c r="AG20" s="11" t="s">
        <v>342</v>
      </c>
      <c r="AO20" s="60" t="s">
        <v>345</v>
      </c>
      <c r="AQ20" s="60" t="s">
        <v>344</v>
      </c>
      <c r="AY20" s="11">
        <v>0</v>
      </c>
    </row>
    <row r="21" spans="15:51" ht="14.25" hidden="1" customHeight="1">
      <c r="AY21" s="3">
        <v>0</v>
      </c>
    </row>
    <row r="22" spans="15:51" ht="14.25" hidden="1" customHeight="1">
      <c r="AY22" s="3">
        <v>0</v>
      </c>
    </row>
    <row r="23" spans="15:51" ht="14.65" customHeight="1">
      <c r="Q23" s="264"/>
      <c r="R23" s="264"/>
      <c r="S23" s="265"/>
      <c r="T23" s="12"/>
      <c r="U23" s="12"/>
      <c r="AY23" s="3">
        <v>14</v>
      </c>
    </row>
    <row r="24" spans="15:51" ht="26.25" customHeight="1">
      <c r="Q24" s="264"/>
      <c r="R24" s="264"/>
      <c r="S24" s="98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982"/>
      <c r="U24" s="982"/>
      <c r="V24" s="982"/>
      <c r="W24" s="982"/>
      <c r="X24" s="982"/>
      <c r="Y24" s="982"/>
      <c r="Z24" s="982"/>
      <c r="AA24" s="982"/>
      <c r="AB24" s="982"/>
      <c r="AC24" s="982"/>
      <c r="AD24" s="982"/>
      <c r="AE24" s="982"/>
      <c r="AF24" s="982"/>
      <c r="AG24" s="982"/>
      <c r="AH24" s="982"/>
      <c r="AI24" s="982"/>
      <c r="AJ24" s="982"/>
      <c r="AK24" s="982"/>
      <c r="AL24" s="982"/>
      <c r="AM24" s="982"/>
      <c r="AN24" s="982"/>
      <c r="AO24" s="982"/>
      <c r="AP24" s="982"/>
      <c r="AY24" s="3">
        <v>25</v>
      </c>
    </row>
    <row r="25" spans="15:51" ht="14.65" customHeight="1">
      <c r="Q25" s="264"/>
      <c r="R25" s="264"/>
      <c r="S25" s="955" t="e">
        <f>IF(org=0,"Не определено",org)</f>
        <v>#REF!</v>
      </c>
      <c r="T25" s="955"/>
      <c r="U25" s="955"/>
      <c r="V25" s="955"/>
      <c r="W25" s="955"/>
      <c r="X25" s="955"/>
      <c r="Y25" s="955"/>
      <c r="Z25" s="955"/>
      <c r="AA25" s="955"/>
      <c r="AB25" s="955"/>
      <c r="AC25" s="955"/>
      <c r="AD25" s="955"/>
      <c r="AE25" s="955"/>
      <c r="AF25" s="955"/>
      <c r="AG25" s="955"/>
      <c r="AH25" s="955"/>
      <c r="AI25" s="955"/>
      <c r="AJ25" s="955"/>
      <c r="AK25" s="955"/>
      <c r="AL25" s="955"/>
      <c r="AM25" s="955"/>
      <c r="AN25" s="955"/>
      <c r="AO25" s="955"/>
      <c r="AP25" s="955"/>
      <c r="AY25" s="3">
        <v>14</v>
      </c>
    </row>
    <row r="26" spans="15:51" ht="14.25" hidden="1" customHeight="1">
      <c r="Q26" s="264"/>
      <c r="R26" s="264"/>
      <c r="S26" s="265"/>
      <c r="T26" s="12"/>
      <c r="U26" s="12"/>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Y26" s="3">
        <v>0</v>
      </c>
    </row>
    <row r="27" spans="15:51" ht="25.5" hidden="1" customHeight="1">
      <c r="S27" s="992" t="s">
        <v>9</v>
      </c>
      <c r="T27" s="992"/>
      <c r="U27" s="268"/>
      <c r="V27" s="994" t="e">
        <f>IF(TITLE_NAME_OR_PR_CHANGE="",IF(TITLE_NAME_OR_PR="","",TITLE_NAME_OR_PR),TITLE_NAME_OR_PR_CHANGE)</f>
        <v>#REF!</v>
      </c>
      <c r="W27" s="994"/>
      <c r="X27" s="994"/>
      <c r="Y27" s="994"/>
      <c r="Z27" s="994"/>
      <c r="AA27" s="994"/>
      <c r="AB27" s="994"/>
      <c r="AC27" s="994"/>
      <c r="AD27" s="994"/>
      <c r="AE27" s="994"/>
      <c r="AG27" s="994" t="e">
        <f>IF(TITLE_NAME_OR_PR_CHANGE="",IF(TITLE_NAME_OR_PR="","",TITLE_NAME_OR_PR),TITLE_NAME_OR_PR_CHANGE)</f>
        <v>#REF!</v>
      </c>
      <c r="AH27" s="994"/>
      <c r="AI27" s="994"/>
      <c r="AJ27" s="994"/>
      <c r="AK27" s="994"/>
      <c r="AL27" s="994"/>
      <c r="AM27" s="994"/>
      <c r="AN27" s="994"/>
      <c r="AO27" s="994"/>
      <c r="AP27" s="994"/>
      <c r="AY27" s="50">
        <v>0</v>
      </c>
    </row>
    <row r="28" spans="15:51" ht="18.75" hidden="1" customHeight="1">
      <c r="S28" s="992" t="s">
        <v>346</v>
      </c>
      <c r="T28" s="992"/>
      <c r="U28" s="268"/>
      <c r="V28" s="993" t="e">
        <f>IF(TITLE_DATE_PR_CHANGE="",IF(TITLE_DATE_PR="","",TITLE_DATE_PR),TITLE_DATE_PR_CHANGE)</f>
        <v>#REF!</v>
      </c>
      <c r="W28" s="993"/>
      <c r="X28" s="993"/>
      <c r="Y28" s="993"/>
      <c r="Z28" s="993"/>
      <c r="AA28" s="993"/>
      <c r="AB28" s="993"/>
      <c r="AC28" s="993"/>
      <c r="AD28" s="993"/>
      <c r="AE28" s="993"/>
      <c r="AG28" s="993" t="e">
        <f>IF(TITLE_DATE_PR_CHANGE="",IF(TITLE_DATE_PR="","",TITLE_DATE_PR),TITLE_DATE_PR_CHANGE)</f>
        <v>#REF!</v>
      </c>
      <c r="AH28" s="993"/>
      <c r="AI28" s="993"/>
      <c r="AJ28" s="993"/>
      <c r="AK28" s="993"/>
      <c r="AL28" s="993"/>
      <c r="AM28" s="993"/>
      <c r="AN28" s="993"/>
      <c r="AO28" s="993"/>
      <c r="AP28" s="993"/>
      <c r="AY28" s="50">
        <v>0</v>
      </c>
    </row>
    <row r="29" spans="15:51" ht="18.75" hidden="1" customHeight="1">
      <c r="S29" s="992" t="s">
        <v>347</v>
      </c>
      <c r="T29" s="992"/>
      <c r="U29" s="268"/>
      <c r="V29" s="994" t="e">
        <f>IF(TITLE_NUMBER_PR_CHANGE="",IF(TITLE_NUMBER_PR="","",TITLE_NUMBER_PR),TITLE_NUMBER_PR_CHANGE)</f>
        <v>#REF!</v>
      </c>
      <c r="W29" s="994"/>
      <c r="X29" s="994"/>
      <c r="Y29" s="994"/>
      <c r="Z29" s="994"/>
      <c r="AA29" s="994"/>
      <c r="AB29" s="994"/>
      <c r="AC29" s="994"/>
      <c r="AD29" s="994"/>
      <c r="AE29" s="994"/>
      <c r="AG29" s="994" t="e">
        <f>IF(TITLE_NUMBER_PR_CHANGE="",IF(TITLE_NUMBER_PR="","",TITLE_NUMBER_PR),TITLE_NUMBER_PR_CHANGE)</f>
        <v>#REF!</v>
      </c>
      <c r="AH29" s="994"/>
      <c r="AI29" s="994"/>
      <c r="AJ29" s="994"/>
      <c r="AK29" s="994"/>
      <c r="AL29" s="994"/>
      <c r="AM29" s="994"/>
      <c r="AN29" s="994"/>
      <c r="AO29" s="994"/>
      <c r="AP29" s="994"/>
      <c r="AY29" s="50">
        <v>0</v>
      </c>
    </row>
    <row r="30" spans="15:51" ht="18.75" hidden="1" customHeight="1">
      <c r="S30" s="992" t="s">
        <v>10</v>
      </c>
      <c r="T30" s="992"/>
      <c r="U30" s="268"/>
      <c r="V30" s="994" t="e">
        <f>IF(TITLE_IST_PUB_CHANGE="",IF(TITLE_IST_PUB="","",TITLE_IST_PUB),TITLE_IST_PUB_CHANGE)</f>
        <v>#REF!</v>
      </c>
      <c r="W30" s="994"/>
      <c r="X30" s="994"/>
      <c r="Y30" s="994"/>
      <c r="Z30" s="994"/>
      <c r="AA30" s="994"/>
      <c r="AB30" s="994"/>
      <c r="AC30" s="994"/>
      <c r="AD30" s="994"/>
      <c r="AE30" s="994"/>
      <c r="AG30" s="994" t="e">
        <f>IF(TITLE_IST_PUB_CHANGE="",IF(TITLE_IST_PUB="","",TITLE_IST_PUB),TITLE_IST_PUB_CHANGE)</f>
        <v>#REF!</v>
      </c>
      <c r="AH30" s="994"/>
      <c r="AI30" s="994"/>
      <c r="AJ30" s="994"/>
      <c r="AK30" s="994"/>
      <c r="AL30" s="994"/>
      <c r="AM30" s="994"/>
      <c r="AN30" s="994"/>
      <c r="AO30" s="994"/>
      <c r="AP30" s="994"/>
      <c r="AY30" s="50">
        <v>0</v>
      </c>
    </row>
    <row r="31" spans="15:51" ht="14.25" hidden="1" customHeight="1">
      <c r="Q31" s="264"/>
      <c r="R31" s="264"/>
      <c r="S31" s="265"/>
      <c r="T31" s="12"/>
      <c r="U31" s="12"/>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Y31" s="3">
        <v>0</v>
      </c>
    </row>
    <row r="32" spans="15:51" ht="18.75" hidden="1" customHeight="1">
      <c r="S32" s="992" t="s">
        <v>348</v>
      </c>
      <c r="T32" s="992"/>
      <c r="U32" s="268"/>
      <c r="V32" s="993" t="e">
        <f>IF(TITLE_DATE_PR_CHANGE="",IF(TITLE_DATE_PR="","",TITLE_DATE_PR),TITLE_DATE_PR_CHANGE)</f>
        <v>#REF!</v>
      </c>
      <c r="W32" s="993"/>
      <c r="X32" s="993"/>
      <c r="Y32" s="993"/>
      <c r="Z32" s="993"/>
      <c r="AA32" s="993"/>
      <c r="AB32" s="993"/>
      <c r="AC32" s="993"/>
      <c r="AD32" s="993"/>
      <c r="AE32" s="993"/>
      <c r="AG32" s="993" t="e">
        <f>IF(TITLE_DATE_PR_CHANGE="",IF(TITLE_DATE_PR="","",TITLE_DATE_PR),TITLE_DATE_PR_CHANGE)</f>
        <v>#REF!</v>
      </c>
      <c r="AH32" s="993"/>
      <c r="AI32" s="993"/>
      <c r="AJ32" s="993"/>
      <c r="AK32" s="993"/>
      <c r="AL32" s="993"/>
      <c r="AM32" s="993"/>
      <c r="AN32" s="993"/>
      <c r="AO32" s="993"/>
      <c r="AP32" s="993"/>
      <c r="AY32" s="50">
        <v>0</v>
      </c>
    </row>
    <row r="33" spans="1:51" ht="18.75" hidden="1" customHeight="1">
      <c r="S33" s="992" t="s">
        <v>349</v>
      </c>
      <c r="T33" s="992"/>
      <c r="U33" s="268"/>
      <c r="V33" s="994" t="e">
        <f>IF(TITLE_NUMBER_PR_CHANGE="",IF(TITLE_NUMBER_PR="","",TITLE_NUMBER_PR),TITLE_NUMBER_PR_CHANGE)</f>
        <v>#REF!</v>
      </c>
      <c r="W33" s="994"/>
      <c r="X33" s="994"/>
      <c r="Y33" s="994"/>
      <c r="Z33" s="994"/>
      <c r="AA33" s="994"/>
      <c r="AB33" s="994"/>
      <c r="AC33" s="994"/>
      <c r="AD33" s="994"/>
      <c r="AE33" s="994"/>
      <c r="AG33" s="994" t="e">
        <f>IF(TITLE_NUMBER_PR_CHANGE="",IF(TITLE_NUMBER_PR="","",TITLE_NUMBER_PR),TITLE_NUMBER_PR_CHANGE)</f>
        <v>#REF!</v>
      </c>
      <c r="AH33" s="994"/>
      <c r="AI33" s="994"/>
      <c r="AJ33" s="994"/>
      <c r="AK33" s="994"/>
      <c r="AL33" s="994"/>
      <c r="AM33" s="994"/>
      <c r="AN33" s="994"/>
      <c r="AO33" s="994"/>
      <c r="AP33" s="994"/>
      <c r="AY33" s="50">
        <v>0</v>
      </c>
    </row>
    <row r="34" spans="1:51" ht="1.1499999999999999" customHeight="1">
      <c r="AF34" s="24" t="s">
        <v>350</v>
      </c>
      <c r="AQ34" s="24" t="s">
        <v>350</v>
      </c>
      <c r="AY34" s="50">
        <v>1</v>
      </c>
    </row>
    <row r="35" spans="1:51" ht="14.65" customHeight="1">
      <c r="Q35" s="264"/>
      <c r="R35" s="264"/>
      <c r="S35" s="265"/>
      <c r="T35" s="12"/>
      <c r="U35" s="270"/>
      <c r="V35" s="1012"/>
      <c r="W35" s="1012"/>
      <c r="X35" s="1012"/>
      <c r="Y35" s="1012"/>
      <c r="Z35" s="1012"/>
      <c r="AA35" s="1012"/>
      <c r="AB35" s="1012"/>
      <c r="AC35" s="1012"/>
      <c r="AD35" s="1012"/>
      <c r="AE35" s="1012"/>
      <c r="AF35" s="1012"/>
      <c r="AG35" s="1012"/>
      <c r="AH35" s="1012"/>
      <c r="AI35" s="1012"/>
      <c r="AJ35" s="1012"/>
      <c r="AK35" s="1012"/>
      <c r="AL35" s="1012"/>
      <c r="AM35" s="1012"/>
      <c r="AN35" s="1012"/>
      <c r="AO35" s="1012"/>
      <c r="AP35" s="1012"/>
      <c r="AQ35" s="1012"/>
      <c r="AY35" s="3">
        <v>14</v>
      </c>
    </row>
    <row r="36" spans="1:51" ht="14.65" customHeight="1">
      <c r="Q36" s="264"/>
      <c r="R36" s="264"/>
      <c r="S36" s="894" t="s">
        <v>223</v>
      </c>
      <c r="T36" s="894"/>
      <c r="U36" s="894"/>
      <c r="V36" s="894"/>
      <c r="W36" s="894"/>
      <c r="X36" s="894"/>
      <c r="Y36" s="894"/>
      <c r="Z36" s="894"/>
      <c r="AA36" s="894"/>
      <c r="AB36" s="894"/>
      <c r="AC36" s="894"/>
      <c r="AD36" s="894"/>
      <c r="AE36" s="894"/>
      <c r="AF36" s="894"/>
      <c r="AG36" s="894"/>
      <c r="AH36" s="894"/>
      <c r="AI36" s="894"/>
      <c r="AJ36" s="894"/>
      <c r="AK36" s="894"/>
      <c r="AL36" s="894"/>
      <c r="AM36" s="894"/>
      <c r="AN36" s="894"/>
      <c r="AO36" s="894"/>
      <c r="AP36" s="894"/>
      <c r="AQ36" s="894"/>
      <c r="AR36" s="894"/>
      <c r="AS36" s="894" t="s">
        <v>224</v>
      </c>
      <c r="AY36" s="3">
        <v>14</v>
      </c>
    </row>
    <row r="37" spans="1:51" ht="14.65" customHeight="1">
      <c r="Q37" s="264"/>
      <c r="R37" s="264"/>
      <c r="S37" s="1013" t="s">
        <v>24</v>
      </c>
      <c r="T37" s="962" t="s">
        <v>351</v>
      </c>
      <c r="U37" s="272"/>
      <c r="V37" s="1014" t="s">
        <v>352</v>
      </c>
      <c r="W37" s="1030"/>
      <c r="X37" s="1030"/>
      <c r="Y37" s="1030"/>
      <c r="Z37" s="1030"/>
      <c r="AA37" s="1030"/>
      <c r="AB37" s="1030"/>
      <c r="AC37" s="1015"/>
      <c r="AD37" s="1015"/>
      <c r="AE37" s="1016"/>
      <c r="AF37" s="1017" t="s">
        <v>353</v>
      </c>
      <c r="AG37" s="1014" t="s">
        <v>352</v>
      </c>
      <c r="AH37" s="1015"/>
      <c r="AI37" s="1015"/>
      <c r="AJ37" s="1015"/>
      <c r="AK37" s="1015"/>
      <c r="AL37" s="1015"/>
      <c r="AM37" s="1015"/>
      <c r="AN37" s="1015"/>
      <c r="AO37" s="1015"/>
      <c r="AP37" s="1016"/>
      <c r="AQ37" s="1017" t="s">
        <v>354</v>
      </c>
      <c r="AR37" s="1020" t="s">
        <v>355</v>
      </c>
      <c r="AS37" s="894"/>
      <c r="AY37" s="3">
        <v>14</v>
      </c>
    </row>
    <row r="38" spans="1:51" ht="19.899999999999999" customHeight="1">
      <c r="Q38" s="264"/>
      <c r="R38" s="264"/>
      <c r="S38" s="1013"/>
      <c r="T38" s="962"/>
      <c r="U38" s="274"/>
      <c r="V38" s="894" t="s">
        <v>455</v>
      </c>
      <c r="W38" s="958" t="s">
        <v>456</v>
      </c>
      <c r="X38" s="958"/>
      <c r="Y38" s="958"/>
      <c r="Z38" s="958" t="s">
        <v>457</v>
      </c>
      <c r="AA38" s="958"/>
      <c r="AB38" s="958"/>
      <c r="AC38" s="936" t="s">
        <v>359</v>
      </c>
      <c r="AD38" s="1042"/>
      <c r="AE38" s="937"/>
      <c r="AF38" s="1018"/>
      <c r="AG38" s="894" t="s">
        <v>455</v>
      </c>
      <c r="AH38" s="958" t="s">
        <v>456</v>
      </c>
      <c r="AI38" s="958"/>
      <c r="AJ38" s="958"/>
      <c r="AK38" s="958" t="s">
        <v>457</v>
      </c>
      <c r="AL38" s="958"/>
      <c r="AM38" s="958"/>
      <c r="AN38" s="936" t="s">
        <v>359</v>
      </c>
      <c r="AO38" s="1042"/>
      <c r="AP38" s="937"/>
      <c r="AQ38" s="1018"/>
      <c r="AR38" s="1021"/>
      <c r="AS38" s="894"/>
      <c r="AY38" s="3">
        <v>19</v>
      </c>
    </row>
    <row r="39" spans="1:51" ht="19.899999999999999" customHeight="1">
      <c r="Q39" s="264"/>
      <c r="R39" s="264"/>
      <c r="S39" s="1013"/>
      <c r="T39" s="962"/>
      <c r="U39" s="274"/>
      <c r="V39" s="894"/>
      <c r="W39" s="958" t="s">
        <v>458</v>
      </c>
      <c r="X39" s="958" t="s">
        <v>459</v>
      </c>
      <c r="Y39" s="958"/>
      <c r="Z39" s="958" t="s">
        <v>460</v>
      </c>
      <c r="AA39" s="958" t="s">
        <v>459</v>
      </c>
      <c r="AB39" s="958"/>
      <c r="AC39" s="941"/>
      <c r="AD39" s="1043"/>
      <c r="AE39" s="942"/>
      <c r="AF39" s="1018"/>
      <c r="AG39" s="894"/>
      <c r="AH39" s="958" t="s">
        <v>458</v>
      </c>
      <c r="AI39" s="958" t="s">
        <v>459</v>
      </c>
      <c r="AJ39" s="958"/>
      <c r="AK39" s="958" t="s">
        <v>460</v>
      </c>
      <c r="AL39" s="958" t="s">
        <v>459</v>
      </c>
      <c r="AM39" s="958"/>
      <c r="AN39" s="941"/>
      <c r="AO39" s="1043"/>
      <c r="AP39" s="942"/>
      <c r="AQ39" s="1018"/>
      <c r="AR39" s="1021"/>
      <c r="AS39" s="894"/>
      <c r="AY39" s="3">
        <v>19</v>
      </c>
    </row>
    <row r="40" spans="1:51" ht="61.9" customHeight="1">
      <c r="B40" s="60" t="s">
        <v>60</v>
      </c>
      <c r="C40" s="60" t="s">
        <v>61</v>
      </c>
      <c r="D40" s="60" t="s">
        <v>62</v>
      </c>
      <c r="E40" s="237" t="s">
        <v>360</v>
      </c>
      <c r="F40" s="237" t="s">
        <v>361</v>
      </c>
      <c r="G40" s="237" t="s">
        <v>362</v>
      </c>
      <c r="I40" s="237" t="s">
        <v>413</v>
      </c>
      <c r="J40" s="237" t="s">
        <v>365</v>
      </c>
      <c r="K40" s="237" t="s">
        <v>414</v>
      </c>
      <c r="L40" s="237" t="s">
        <v>341</v>
      </c>
      <c r="Q40" s="264"/>
      <c r="R40" s="264"/>
      <c r="S40" s="1013"/>
      <c r="T40" s="962"/>
      <c r="U40" s="275"/>
      <c r="V40" s="894"/>
      <c r="W40" s="958"/>
      <c r="X40" s="118" t="s">
        <v>461</v>
      </c>
      <c r="Y40" s="118" t="s">
        <v>462</v>
      </c>
      <c r="Z40" s="958"/>
      <c r="AA40" s="118" t="s">
        <v>463</v>
      </c>
      <c r="AB40" s="118" t="s">
        <v>464</v>
      </c>
      <c r="AC40" s="65" t="s">
        <v>369</v>
      </c>
      <c r="AD40" s="967" t="s">
        <v>370</v>
      </c>
      <c r="AE40" s="981"/>
      <c r="AF40" s="1019"/>
      <c r="AG40" s="894"/>
      <c r="AH40" s="958"/>
      <c r="AI40" s="118" t="s">
        <v>461</v>
      </c>
      <c r="AJ40" s="118" t="s">
        <v>462</v>
      </c>
      <c r="AK40" s="958"/>
      <c r="AL40" s="118" t="s">
        <v>463</v>
      </c>
      <c r="AM40" s="118" t="s">
        <v>464</v>
      </c>
      <c r="AN40" s="65" t="s">
        <v>369</v>
      </c>
      <c r="AO40" s="967" t="s">
        <v>370</v>
      </c>
      <c r="AP40" s="981"/>
      <c r="AQ40" s="1019"/>
      <c r="AR40" s="1022"/>
      <c r="AS40" s="894"/>
      <c r="AY40" s="3">
        <v>59</v>
      </c>
    </row>
    <row r="41" spans="1:51" ht="11.25" hidden="1" customHeight="1">
      <c r="Q41" s="278"/>
      <c r="R41" s="279">
        <v>1</v>
      </c>
      <c r="S41" s="280" t="s">
        <v>31</v>
      </c>
      <c r="T41" s="281" t="s">
        <v>39</v>
      </c>
      <c r="U41" s="282" t="str">
        <f ca="1">OFFSET(U41,0,-1)</f>
        <v>2</v>
      </c>
      <c r="V41" s="283">
        <f ca="1">OFFSET(V41,0,-1)+1</f>
        <v>3</v>
      </c>
      <c r="W41" s="185"/>
      <c r="X41" s="185"/>
      <c r="Y41" s="185"/>
      <c r="Z41" s="185"/>
      <c r="AA41" s="185"/>
      <c r="AB41" s="185"/>
      <c r="AC41" s="283">
        <f ca="1">OFFSET(AC41,0,-1)+1</f>
        <v>1</v>
      </c>
      <c r="AD41" s="1011">
        <f ca="1">OFFSET(AD41,0,-1)+1</f>
        <v>2</v>
      </c>
      <c r="AE41" s="1011"/>
      <c r="AF41" s="283">
        <f ca="1">OFFSET(AF41,0,-2)+1</f>
        <v>3</v>
      </c>
      <c r="AG41" s="283">
        <f ca="1">OFFSET(AG41,0,-1)+1</f>
        <v>4</v>
      </c>
      <c r="AH41" s="283"/>
      <c r="AI41" s="283"/>
      <c r="AJ41" s="283"/>
      <c r="AK41" s="283"/>
      <c r="AL41" s="283"/>
      <c r="AM41" s="283">
        <f ca="1">OFFSET(AM41,0,-1)+1</f>
        <v>1</v>
      </c>
      <c r="AN41" s="283">
        <f ca="1">OFFSET(AN41,0,-1)+1</f>
        <v>2</v>
      </c>
      <c r="AO41" s="1011">
        <f ca="1">OFFSET(AO41,0,-1)+1</f>
        <v>3</v>
      </c>
      <c r="AP41" s="1011"/>
      <c r="AQ41" s="283">
        <f ca="1">OFFSET(AQ41,0,-2)+1</f>
        <v>4</v>
      </c>
      <c r="AR41" s="282">
        <f ca="1">OFFSET(AR41,0,-1)</f>
        <v>4</v>
      </c>
      <c r="AS41" s="283">
        <f ca="1">OFFSET(AS41,0,-1)+1</f>
        <v>5</v>
      </c>
      <c r="AY41" s="189">
        <v>0</v>
      </c>
    </row>
    <row r="42" spans="1:51" ht="24" customHeight="1">
      <c r="A42" s="284" t="s">
        <v>174</v>
      </c>
      <c r="E42" s="1000">
        <v>1</v>
      </c>
      <c r="R42" s="225"/>
      <c r="S42" s="226">
        <f>INDEX(PT_DIFFERENTIATION_NUM_NTAR,MATCH(A42,PT_DIFFERENTIATION_NTAR_ID,0))</f>
        <v>0</v>
      </c>
      <c r="T42" s="227" t="s">
        <v>48</v>
      </c>
      <c r="U42" s="228"/>
      <c r="V42" s="995"/>
      <c r="W42" s="996"/>
      <c r="X42" s="996"/>
      <c r="Y42" s="996"/>
      <c r="Z42" s="996"/>
      <c r="AA42" s="996"/>
      <c r="AB42" s="996"/>
      <c r="AC42" s="996"/>
      <c r="AD42" s="996"/>
      <c r="AE42" s="996"/>
      <c r="AF42" s="997"/>
      <c r="AG42" s="995" t="str">
        <f>INDEX(PT_DIFFERENTIATION_NTAR,MATCH(A42,PT_DIFFERENTIATION_NTAR_ID,0))</f>
        <v/>
      </c>
      <c r="AH42" s="996"/>
      <c r="AI42" s="996"/>
      <c r="AJ42" s="996"/>
      <c r="AK42" s="996"/>
      <c r="AL42" s="996"/>
      <c r="AM42" s="996"/>
      <c r="AN42" s="996"/>
      <c r="AO42" s="996"/>
      <c r="AP42" s="996"/>
      <c r="AQ42" s="996"/>
      <c r="AR42" s="997"/>
      <c r="AS4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V42" s="29" t="str">
        <f t="shared" ref="AV42:AV54" si="1">IF(T42="","",T42)</f>
        <v>Наименование тарифа</v>
      </c>
      <c r="AY42" s="3">
        <v>23</v>
      </c>
    </row>
    <row r="43" spans="1:51" ht="24" customHeight="1">
      <c r="A43" s="284" t="s">
        <v>174</v>
      </c>
      <c r="B43" s="284" t="s">
        <v>175</v>
      </c>
      <c r="E43" s="1001"/>
      <c r="F43" s="1000">
        <v>1</v>
      </c>
      <c r="Q43" s="231"/>
      <c r="R43" s="232"/>
      <c r="S43" s="226" t="str">
        <f>INDEX(PT_DIFFERENTIATION_NUM_TER,MATCH(B43,PT_DIFFERENTIATION_TER_ID,0))</f>
        <v>.</v>
      </c>
      <c r="T43" s="233" t="s">
        <v>320</v>
      </c>
      <c r="U43" s="228"/>
      <c r="V43" s="995"/>
      <c r="W43" s="996"/>
      <c r="X43" s="996"/>
      <c r="Y43" s="996"/>
      <c r="Z43" s="996"/>
      <c r="AA43" s="996"/>
      <c r="AB43" s="996"/>
      <c r="AC43" s="996"/>
      <c r="AD43" s="996"/>
      <c r="AE43" s="996"/>
      <c r="AF43" s="997"/>
      <c r="AG43" s="995" t="str">
        <f>INDEX(PT_DIFFERENTIATION_TER,MATCH(B43,PT_DIFFERENTIATION_TER_ID,0))</f>
        <v/>
      </c>
      <c r="AH43" s="996"/>
      <c r="AI43" s="996"/>
      <c r="AJ43" s="996"/>
      <c r="AK43" s="996"/>
      <c r="AL43" s="996"/>
      <c r="AM43" s="996"/>
      <c r="AN43" s="996"/>
      <c r="AO43" s="996"/>
      <c r="AP43" s="996"/>
      <c r="AQ43" s="996"/>
      <c r="AR43" s="997"/>
      <c r="AS43" s="230" t="s">
        <v>321</v>
      </c>
      <c r="AV43" s="29" t="str">
        <f t="shared" si="1"/>
        <v>Территория действия тарифа</v>
      </c>
      <c r="AY43" s="3">
        <v>23</v>
      </c>
    </row>
    <row r="44" spans="1:51" ht="24" customHeight="1">
      <c r="A44" s="284" t="s">
        <v>174</v>
      </c>
      <c r="B44" s="284" t="s">
        <v>175</v>
      </c>
      <c r="C44" s="284" t="s">
        <v>176</v>
      </c>
      <c r="E44" s="1001"/>
      <c r="F44" s="1001"/>
      <c r="G44" s="1000">
        <v>1</v>
      </c>
      <c r="Q44" s="231"/>
      <c r="R44" s="232"/>
      <c r="S44" s="226" t="str">
        <f>INDEX(PT_DIFFERENTIATION_NUM_CS,MATCH(C44,PT_DIFFERENTIATION_CS_ID,0))</f>
        <v>..</v>
      </c>
      <c r="T44" s="234" t="s">
        <v>453</v>
      </c>
      <c r="U44" s="228"/>
      <c r="V44" s="995"/>
      <c r="W44" s="996"/>
      <c r="X44" s="996"/>
      <c r="Y44" s="996"/>
      <c r="Z44" s="996"/>
      <c r="AA44" s="996"/>
      <c r="AB44" s="996"/>
      <c r="AC44" s="996"/>
      <c r="AD44" s="996"/>
      <c r="AE44" s="996"/>
      <c r="AF44" s="997"/>
      <c r="AG44" s="995" t="str">
        <f>INDEX(PT_DIFFERENTIATION_CS,MATCH(C44,PT_DIFFERENTIATION_CS_ID,0))</f>
        <v/>
      </c>
      <c r="AH44" s="996"/>
      <c r="AI44" s="996"/>
      <c r="AJ44" s="996"/>
      <c r="AK44" s="996"/>
      <c r="AL44" s="996"/>
      <c r="AM44" s="996"/>
      <c r="AN44" s="996"/>
      <c r="AO44" s="996"/>
      <c r="AP44" s="996"/>
      <c r="AQ44" s="996"/>
      <c r="AR44" s="997"/>
      <c r="AS44" s="230" t="s">
        <v>454</v>
      </c>
      <c r="AV44" s="29" t="str">
        <f t="shared" si="1"/>
        <v>Наименование централизованной системы горячего водоснабжения</v>
      </c>
      <c r="AY44" s="3">
        <v>23</v>
      </c>
    </row>
    <row r="45" spans="1:51" ht="24" customHeight="1">
      <c r="A45" s="284" t="s">
        <v>174</v>
      </c>
      <c r="B45" s="284" t="s">
        <v>175</v>
      </c>
      <c r="C45" s="284" t="s">
        <v>176</v>
      </c>
      <c r="D45" s="284" t="s">
        <v>465</v>
      </c>
      <c r="E45" s="1001"/>
      <c r="F45" s="1001"/>
      <c r="G45" s="1001"/>
      <c r="H45" s="1001"/>
      <c r="I45" s="1002" t="str">
        <f>S44&amp;".1"</f>
        <v>...1</v>
      </c>
      <c r="P45" s="1004">
        <v>1</v>
      </c>
      <c r="R45" s="238"/>
      <c r="S45" s="226" t="str">
        <f>$I45</f>
        <v>...1</v>
      </c>
      <c r="T45" s="239" t="s">
        <v>406</v>
      </c>
      <c r="U45" s="228"/>
      <c r="V45" s="1068"/>
      <c r="W45" s="1069"/>
      <c r="X45" s="1069"/>
      <c r="Y45" s="1069"/>
      <c r="Z45" s="1069"/>
      <c r="AA45" s="1069"/>
      <c r="AB45" s="1069"/>
      <c r="AC45" s="1069"/>
      <c r="AD45" s="1069"/>
      <c r="AE45" s="1069"/>
      <c r="AF45" s="1070"/>
      <c r="AG45" s="1071"/>
      <c r="AH45" s="1072"/>
      <c r="AI45" s="1072"/>
      <c r="AJ45" s="1072"/>
      <c r="AK45" s="1072"/>
      <c r="AL45" s="1072"/>
      <c r="AM45" s="1072"/>
      <c r="AN45" s="1072"/>
      <c r="AO45" s="1072"/>
      <c r="AP45" s="1072"/>
      <c r="AQ45" s="1072"/>
      <c r="AR45" s="1073"/>
      <c r="AS45" s="230" t="s">
        <v>407</v>
      </c>
      <c r="AV45" s="29" t="str">
        <f t="shared" si="1"/>
        <v>Наименование признака дифференциации</v>
      </c>
      <c r="AY45" s="3">
        <v>23</v>
      </c>
    </row>
    <row r="46" spans="1:51" ht="24" customHeight="1">
      <c r="A46" s="284" t="s">
        <v>174</v>
      </c>
      <c r="B46" s="284" t="s">
        <v>175</v>
      </c>
      <c r="C46" s="284" t="s">
        <v>176</v>
      </c>
      <c r="D46" s="284" t="s">
        <v>465</v>
      </c>
      <c r="E46" s="1001"/>
      <c r="F46" s="1001"/>
      <c r="G46" s="1001"/>
      <c r="H46" s="1001"/>
      <c r="I46" s="1003"/>
      <c r="J46" s="1002" t="str">
        <f>I45&amp;".1"</f>
        <v>...1.1</v>
      </c>
      <c r="L46" s="237" t="s">
        <v>329</v>
      </c>
      <c r="P46" s="885"/>
      <c r="Q46" s="1004">
        <v>1</v>
      </c>
      <c r="R46" s="240"/>
      <c r="S46" s="226" t="str">
        <f>$J46</f>
        <v>...1.1</v>
      </c>
      <c r="T46" s="241" t="s">
        <v>330</v>
      </c>
      <c r="U46" s="228"/>
      <c r="V46" s="989"/>
      <c r="W46" s="990"/>
      <c r="X46" s="990"/>
      <c r="Y46" s="990"/>
      <c r="Z46" s="990"/>
      <c r="AA46" s="990"/>
      <c r="AB46" s="990"/>
      <c r="AC46" s="990"/>
      <c r="AD46" s="990"/>
      <c r="AE46" s="990"/>
      <c r="AF46" s="991"/>
      <c r="AG46" s="989"/>
      <c r="AH46" s="990"/>
      <c r="AI46" s="990"/>
      <c r="AJ46" s="990"/>
      <c r="AK46" s="990"/>
      <c r="AL46" s="990"/>
      <c r="AM46" s="990"/>
      <c r="AN46" s="990"/>
      <c r="AO46" s="990"/>
      <c r="AP46" s="990"/>
      <c r="AQ46" s="990"/>
      <c r="AR46" s="991"/>
      <c r="AS46" s="317" t="s">
        <v>408</v>
      </c>
      <c r="AV46" s="29" t="str">
        <f t="shared" si="1"/>
        <v>Группа потребителей</v>
      </c>
      <c r="AY46" s="3">
        <v>23</v>
      </c>
    </row>
    <row r="47" spans="1:51" ht="24" customHeight="1">
      <c r="A47" s="284" t="s">
        <v>174</v>
      </c>
      <c r="B47" s="284" t="s">
        <v>175</v>
      </c>
      <c r="C47" s="284" t="s">
        <v>176</v>
      </c>
      <c r="D47" s="284" t="s">
        <v>465</v>
      </c>
      <c r="E47" s="1001"/>
      <c r="F47" s="1001"/>
      <c r="G47" s="1001"/>
      <c r="H47" s="1001"/>
      <c r="I47" s="1003"/>
      <c r="J47" s="1003"/>
      <c r="K47" s="1002" t="str">
        <f>J46&amp;".1"</f>
        <v>...1.1.1</v>
      </c>
      <c r="P47" s="885"/>
      <c r="Q47" s="885"/>
      <c r="R47" s="240">
        <v>1</v>
      </c>
      <c r="S47" s="226" t="str">
        <f>$K47</f>
        <v>...1.1.1</v>
      </c>
      <c r="T47" s="357"/>
      <c r="U47" s="228"/>
      <c r="V47" s="243"/>
      <c r="W47" s="243"/>
      <c r="X47" s="243"/>
      <c r="Y47" s="243"/>
      <c r="Z47" s="243"/>
      <c r="AA47" s="243"/>
      <c r="AB47" s="243"/>
      <c r="AC47" s="999"/>
      <c r="AD47" s="998" t="s">
        <v>17</v>
      </c>
      <c r="AE47" s="999"/>
      <c r="AF47" s="998" t="s">
        <v>17</v>
      </c>
      <c r="AG47" s="243"/>
      <c r="AH47" s="243"/>
      <c r="AI47" s="243"/>
      <c r="AJ47" s="243"/>
      <c r="AK47" s="243"/>
      <c r="AL47" s="243"/>
      <c r="AM47" s="243"/>
      <c r="AN47" s="1005"/>
      <c r="AO47" s="895" t="s">
        <v>17</v>
      </c>
      <c r="AP47" s="1007"/>
      <c r="AQ47" s="895" t="s">
        <v>3</v>
      </c>
      <c r="AR47" s="358"/>
      <c r="AS47" s="10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24" t="e">
        <f ca="1">STRCHECKDATE(V48:AR48)</f>
        <v>#NAME?</v>
      </c>
      <c r="AV47" s="29" t="str">
        <f t="shared" si="1"/>
        <v/>
      </c>
      <c r="AY47" s="3">
        <v>23</v>
      </c>
    </row>
    <row r="48" spans="1:51" ht="0" hidden="1" customHeight="1">
      <c r="A48" s="284" t="s">
        <v>174</v>
      </c>
      <c r="B48" s="284" t="s">
        <v>175</v>
      </c>
      <c r="C48" s="284" t="s">
        <v>176</v>
      </c>
      <c r="D48" s="284" t="s">
        <v>465</v>
      </c>
      <c r="E48" s="1001"/>
      <c r="F48" s="1001"/>
      <c r="G48" s="1001"/>
      <c r="H48" s="1001"/>
      <c r="I48" s="1003"/>
      <c r="J48" s="1003"/>
      <c r="K48" s="1002"/>
      <c r="P48" s="885"/>
      <c r="Q48" s="885"/>
      <c r="R48" s="240"/>
      <c r="S48" s="209"/>
      <c r="T48" s="228"/>
      <c r="U48" s="228"/>
      <c r="V48" s="261"/>
      <c r="W48" s="261"/>
      <c r="X48" s="261"/>
      <c r="Y48" s="261"/>
      <c r="Z48" s="261"/>
      <c r="AA48" s="261"/>
      <c r="AB48" s="261"/>
      <c r="AC48" s="998"/>
      <c r="AD48" s="998"/>
      <c r="AE48" s="998"/>
      <c r="AF48" s="998"/>
      <c r="AG48" s="244"/>
      <c r="AH48" s="244"/>
      <c r="AI48" s="244"/>
      <c r="AJ48" s="244"/>
      <c r="AK48" s="244"/>
      <c r="AL48" s="244"/>
      <c r="AM48" s="244"/>
      <c r="AN48" s="1006"/>
      <c r="AO48" s="895"/>
      <c r="AP48" s="1008"/>
      <c r="AQ48" s="895"/>
      <c r="AR48" s="359"/>
      <c r="AS48" s="1074"/>
      <c r="AV48" s="29" t="str">
        <f t="shared" si="1"/>
        <v/>
      </c>
      <c r="AY48" s="3">
        <v>0</v>
      </c>
    </row>
    <row r="49" spans="1:51" ht="21" customHeight="1">
      <c r="A49" s="284" t="s">
        <v>174</v>
      </c>
      <c r="B49" s="284" t="s">
        <v>175</v>
      </c>
      <c r="C49" s="284" t="s">
        <v>176</v>
      </c>
      <c r="D49" s="284" t="s">
        <v>465</v>
      </c>
      <c r="E49" s="1001"/>
      <c r="F49" s="1001"/>
      <c r="G49" s="1001"/>
      <c r="H49" s="1001"/>
      <c r="I49" s="1003"/>
      <c r="J49" s="1002"/>
      <c r="P49" s="885"/>
      <c r="Q49" s="885"/>
      <c r="R49" s="238"/>
      <c r="S49" s="249"/>
      <c r="T49" s="252" t="s">
        <v>409</v>
      </c>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230" t="s">
        <v>410</v>
      </c>
      <c r="AV49" s="29" t="str">
        <f t="shared" si="1"/>
        <v>Добавить значение признака дифференциации</v>
      </c>
      <c r="AY49" s="3">
        <v>20</v>
      </c>
    </row>
    <row r="50" spans="1:51" ht="21.95" customHeight="1">
      <c r="A50" s="284" t="s">
        <v>174</v>
      </c>
      <c r="B50" s="284" t="s">
        <v>175</v>
      </c>
      <c r="C50" s="284" t="s">
        <v>176</v>
      </c>
      <c r="D50" s="284" t="s">
        <v>465</v>
      </c>
      <c r="E50" s="1001"/>
      <c r="F50" s="1001"/>
      <c r="G50" s="1001"/>
      <c r="H50" s="1001"/>
      <c r="I50" s="1002"/>
      <c r="P50" s="885"/>
      <c r="R50" s="238"/>
      <c r="S50" s="249"/>
      <c r="T50" s="255" t="s">
        <v>335</v>
      </c>
      <c r="U50" s="54"/>
      <c r="V50" s="54"/>
      <c r="W50" s="54"/>
      <c r="X50" s="54"/>
      <c r="Y50" s="54"/>
      <c r="Z50" s="54"/>
      <c r="AA50" s="54"/>
      <c r="AB50" s="54"/>
      <c r="AC50" s="54"/>
      <c r="AD50" s="54"/>
      <c r="AE50" s="54"/>
      <c r="AF50" s="253"/>
      <c r="AG50" s="54"/>
      <c r="AH50" s="54"/>
      <c r="AI50" s="54"/>
      <c r="AJ50" s="54"/>
      <c r="AK50" s="54"/>
      <c r="AL50" s="54"/>
      <c r="AM50" s="54"/>
      <c r="AN50" s="54"/>
      <c r="AO50" s="54"/>
      <c r="AP50" s="54"/>
      <c r="AQ50" s="253"/>
      <c r="AR50" s="54"/>
      <c r="AS50" s="360"/>
      <c r="AV50" s="29" t="str">
        <f t="shared" si="1"/>
        <v>Добавить группу потребителей</v>
      </c>
      <c r="AY50" s="3">
        <v>21</v>
      </c>
    </row>
    <row r="51" spans="1:51" ht="21.95" customHeight="1">
      <c r="A51" s="284" t="s">
        <v>174</v>
      </c>
      <c r="B51" s="284" t="s">
        <v>175</v>
      </c>
      <c r="C51" s="284" t="s">
        <v>176</v>
      </c>
      <c r="D51" s="284" t="s">
        <v>465</v>
      </c>
      <c r="E51" s="1001"/>
      <c r="F51" s="1001"/>
      <c r="G51" s="1001"/>
      <c r="H51" s="1000"/>
      <c r="R51" s="225"/>
      <c r="S51" s="249"/>
      <c r="T51" s="361" t="s">
        <v>411</v>
      </c>
      <c r="U51" s="54"/>
      <c r="V51" s="54"/>
      <c r="W51" s="54"/>
      <c r="X51" s="54"/>
      <c r="Y51" s="54"/>
      <c r="Z51" s="54"/>
      <c r="AA51" s="54"/>
      <c r="AB51" s="54"/>
      <c r="AC51" s="54"/>
      <c r="AD51" s="54"/>
      <c r="AE51" s="54"/>
      <c r="AF51" s="253"/>
      <c r="AG51" s="54"/>
      <c r="AH51" s="54"/>
      <c r="AI51" s="54"/>
      <c r="AJ51" s="54"/>
      <c r="AK51" s="54"/>
      <c r="AL51" s="54"/>
      <c r="AM51" s="54"/>
      <c r="AN51" s="54"/>
      <c r="AO51" s="54"/>
      <c r="AP51" s="54"/>
      <c r="AQ51" s="253"/>
      <c r="AR51" s="54"/>
      <c r="AS51" s="254"/>
      <c r="AV51" s="29" t="str">
        <f t="shared" si="1"/>
        <v>Добавить наименование признака дифференциации</v>
      </c>
      <c r="AY51" s="3">
        <v>21</v>
      </c>
    </row>
    <row r="52" spans="1:51" ht="0" hidden="1" customHeight="1">
      <c r="A52" s="21" t="s">
        <v>174</v>
      </c>
      <c r="B52" s="21" t="s">
        <v>175</v>
      </c>
      <c r="E52" s="1001"/>
      <c r="F52" s="1000"/>
      <c r="T52" s="260" t="s">
        <v>338</v>
      </c>
      <c r="AV52" s="29" t="str">
        <f t="shared" si="1"/>
        <v>Добавить централизованную систему для дифференциации</v>
      </c>
      <c r="AY52" s="24">
        <v>0</v>
      </c>
    </row>
    <row r="53" spans="1:51" ht="0" hidden="1" customHeight="1">
      <c r="A53" s="21" t="s">
        <v>174</v>
      </c>
      <c r="E53" s="1000"/>
      <c r="T53" s="260" t="s">
        <v>339</v>
      </c>
      <c r="AV53" s="29" t="str">
        <f t="shared" si="1"/>
        <v>Добавить территорию для дифференциации</v>
      </c>
      <c r="AY53" s="24">
        <v>0</v>
      </c>
    </row>
    <row r="54" spans="1:51" ht="0" hidden="1" customHeight="1">
      <c r="T54" s="260" t="s">
        <v>371</v>
      </c>
      <c r="AV54" s="29" t="str">
        <f t="shared" si="1"/>
        <v>Добавить наименование тарифа</v>
      </c>
      <c r="AY54" s="24">
        <v>0</v>
      </c>
    </row>
    <row r="55" spans="1:51" ht="11.45" customHeight="1">
      <c r="AY55" s="3">
        <v>11</v>
      </c>
    </row>
    <row r="56" spans="1:51" ht="14.65" customHeight="1">
      <c r="T56" s="885"/>
      <c r="U56" s="885"/>
      <c r="V56" s="885"/>
      <c r="W56" s="885"/>
      <c r="X56" s="885"/>
      <c r="Y56" s="885"/>
      <c r="Z56" s="885"/>
      <c r="AA56" s="885"/>
      <c r="AB56" s="885"/>
      <c r="AC56" s="885"/>
      <c r="AD56" s="885"/>
      <c r="AE56" s="885"/>
      <c r="AF56" s="885"/>
      <c r="AG56" s="885"/>
      <c r="AH56" s="885"/>
      <c r="AI56" s="885"/>
      <c r="AJ56" s="885"/>
      <c r="AK56" s="885"/>
      <c r="AL56" s="885"/>
      <c r="AM56" s="885"/>
      <c r="AN56" s="885"/>
      <c r="AO56" s="885"/>
      <c r="AP56" s="885"/>
      <c r="AQ56" s="885"/>
      <c r="AR56" s="885"/>
      <c r="AS56" s="885"/>
      <c r="AY56" s="3">
        <v>14</v>
      </c>
    </row>
    <row r="57" spans="1:51" ht="14.65" customHeight="1">
      <c r="AY57" s="3">
        <v>14</v>
      </c>
    </row>
    <row r="58" spans="1:51" ht="14.65" customHeight="1">
      <c r="T58" s="885"/>
      <c r="U58" s="885"/>
      <c r="V58" s="885"/>
      <c r="W58" s="885"/>
      <c r="X58" s="885"/>
      <c r="Y58" s="885"/>
      <c r="Z58" s="885"/>
      <c r="AA58" s="885"/>
      <c r="AB58" s="885"/>
      <c r="AC58" s="885"/>
      <c r="AD58" s="885"/>
      <c r="AE58" s="885"/>
      <c r="AF58" s="885"/>
      <c r="AG58" s="885"/>
      <c r="AH58" s="885"/>
      <c r="AI58" s="885"/>
      <c r="AJ58" s="885"/>
      <c r="AK58" s="885"/>
      <c r="AL58" s="885"/>
      <c r="AM58" s="885"/>
      <c r="AN58" s="885"/>
      <c r="AO58" s="885"/>
      <c r="AP58" s="885"/>
      <c r="AQ58" s="885"/>
      <c r="AR58" s="885"/>
      <c r="AS58" s="885"/>
      <c r="AY58" s="3">
        <v>14</v>
      </c>
    </row>
    <row r="59" spans="1:51" ht="22.5" hidden="1" customHeight="1">
      <c r="A59" s="11" t="s">
        <v>18</v>
      </c>
      <c r="B59" s="11">
        <v>0</v>
      </c>
      <c r="C59" s="11">
        <v>0</v>
      </c>
      <c r="D59" s="11">
        <v>0</v>
      </c>
      <c r="E59" s="11">
        <v>0</v>
      </c>
      <c r="F59" s="11">
        <v>0</v>
      </c>
      <c r="G59" s="11">
        <v>0</v>
      </c>
      <c r="H59" s="11">
        <v>0</v>
      </c>
      <c r="I59" s="11">
        <v>0</v>
      </c>
      <c r="J59" s="11">
        <v>0</v>
      </c>
      <c r="K59" s="11">
        <v>0</v>
      </c>
      <c r="L59" s="171">
        <v>0</v>
      </c>
      <c r="M59" s="13">
        <v>0</v>
      </c>
      <c r="N59" s="13">
        <v>0</v>
      </c>
      <c r="O59" s="13">
        <v>0</v>
      </c>
      <c r="P59" s="287">
        <v>3</v>
      </c>
      <c r="Q59" s="288">
        <v>3</v>
      </c>
      <c r="R59" s="288">
        <v>3</v>
      </c>
      <c r="S59" s="9">
        <v>12</v>
      </c>
      <c r="T59" s="3">
        <v>35</v>
      </c>
      <c r="U59" s="3">
        <v>0</v>
      </c>
      <c r="V59" s="3">
        <v>0</v>
      </c>
      <c r="W59" s="3">
        <v>0</v>
      </c>
      <c r="X59" s="3">
        <v>0</v>
      </c>
      <c r="Y59" s="3">
        <v>0</v>
      </c>
      <c r="Z59" s="3">
        <v>0</v>
      </c>
      <c r="AA59" s="3">
        <v>0</v>
      </c>
      <c r="AB59" s="3">
        <v>0</v>
      </c>
      <c r="AC59" s="3">
        <v>0</v>
      </c>
      <c r="AD59" s="3">
        <v>0</v>
      </c>
      <c r="AE59" s="3">
        <v>0</v>
      </c>
      <c r="AF59" s="3">
        <v>0</v>
      </c>
      <c r="AG59" s="3">
        <v>19</v>
      </c>
      <c r="AH59" s="3">
        <v>19</v>
      </c>
      <c r="AI59" s="3">
        <v>19</v>
      </c>
      <c r="AJ59" s="3">
        <v>19</v>
      </c>
      <c r="AK59" s="3">
        <v>19</v>
      </c>
      <c r="AL59" s="3">
        <v>19</v>
      </c>
      <c r="AM59" s="3">
        <v>19</v>
      </c>
      <c r="AN59" s="3">
        <v>11</v>
      </c>
      <c r="AO59" s="3">
        <v>3</v>
      </c>
      <c r="AP59" s="3">
        <v>11</v>
      </c>
      <c r="AQ59" s="3">
        <v>0</v>
      </c>
      <c r="AR59" s="3">
        <v>4</v>
      </c>
      <c r="AS59" s="3">
        <v>115</v>
      </c>
      <c r="AT59" s="24">
        <v>10</v>
      </c>
      <c r="AU59" s="24">
        <v>10</v>
      </c>
      <c r="AV59" s="24">
        <v>10</v>
      </c>
      <c r="AW59" s="24">
        <v>10</v>
      </c>
      <c r="AX59" s="24">
        <v>10</v>
      </c>
      <c r="AY59" s="3">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4.140625" hidden="1" customWidth="1"/>
    <col min="10" max="10" width="9.85546875" hidden="1" customWidth="1"/>
    <col min="11" max="11" width="14.710937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8" width="19.7109375" hidden="1" customWidth="1"/>
    <col min="29" max="29" width="11.7109375" hidden="1" customWidth="1"/>
    <col min="30" max="30" width="3.7109375" hidden="1" customWidth="1"/>
    <col min="31" max="31" width="11.7109375" hidden="1" customWidth="1"/>
    <col min="32" max="32" width="8.5703125" hidden="1" customWidth="1"/>
    <col min="33" max="33" width="19.7109375" customWidth="1"/>
    <col min="34" max="39" width="19" customWidth="1"/>
    <col min="40" max="40" width="11" customWidth="1"/>
    <col min="41" max="41" width="3.7109375" customWidth="1"/>
    <col min="42" max="42" width="11" customWidth="1"/>
    <col min="43" max="43" width="8.5703125" hidden="1" customWidth="1"/>
    <col min="44" max="44" width="4" customWidth="1"/>
    <col min="45" max="45" width="115" customWidth="1"/>
    <col min="46" max="50" width="10" customWidth="1"/>
    <col min="51" max="51" width="10.5703125" hidden="1"/>
  </cols>
  <sheetData>
    <row r="1" spans="5:51" ht="22.5" hidden="1" customHeight="1">
      <c r="AY1" s="3" t="s">
        <v>1</v>
      </c>
    </row>
    <row r="2" spans="5:51" ht="23.25" hidden="1" customHeight="1">
      <c r="E2" s="1000">
        <v>1</v>
      </c>
      <c r="R2" s="225"/>
      <c r="S2" s="226" t="e">
        <f>INDEX(PT_DIFFERENTIATION_NUM_NTAR,MATCH(A2,PT_DIFFERENTIATION_NTAR_ID,0))</f>
        <v>#N/A</v>
      </c>
      <c r="T2" s="227" t="s">
        <v>48</v>
      </c>
      <c r="U2" s="228"/>
      <c r="V2" s="995"/>
      <c r="W2" s="996"/>
      <c r="X2" s="996"/>
      <c r="Y2" s="996"/>
      <c r="Z2" s="996"/>
      <c r="AA2" s="996"/>
      <c r="AB2" s="996"/>
      <c r="AC2" s="996"/>
      <c r="AD2" s="996"/>
      <c r="AE2" s="996"/>
      <c r="AF2" s="997"/>
      <c r="AG2" s="995" t="e">
        <f>INDEX(PT_DIFFERENTIATION_NTAR,MATCH(A2,PT_DIFFERENTIATION_NTAR_ID,0))</f>
        <v>#N/A</v>
      </c>
      <c r="AH2" s="996"/>
      <c r="AI2" s="996"/>
      <c r="AJ2" s="996"/>
      <c r="AK2" s="996"/>
      <c r="AL2" s="996"/>
      <c r="AM2" s="996"/>
      <c r="AN2" s="996"/>
      <c r="AO2" s="996"/>
      <c r="AP2" s="996"/>
      <c r="AQ2" s="996"/>
      <c r="AR2" s="997"/>
      <c r="AS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V2" s="29" t="str">
        <f t="shared" ref="AV2:AV13" si="0">IF(T2="","",T2)</f>
        <v>Наименование тарифа</v>
      </c>
      <c r="AY2" s="3">
        <v>0</v>
      </c>
    </row>
    <row r="3" spans="5:51" ht="23.25" hidden="1" customHeight="1">
      <c r="E3" s="1001"/>
      <c r="F3" s="1000">
        <v>1</v>
      </c>
      <c r="Q3" s="231"/>
      <c r="R3" s="232"/>
      <c r="S3" s="226" t="e">
        <f>INDEX(PT_DIFFERENTIATION_NUM_TER,MATCH(B3,PT_DIFFERENTIATION_TER_ID,0))</f>
        <v>#N/A</v>
      </c>
      <c r="T3" s="233" t="s">
        <v>320</v>
      </c>
      <c r="U3" s="228"/>
      <c r="V3" s="995"/>
      <c r="W3" s="996"/>
      <c r="X3" s="996"/>
      <c r="Y3" s="996"/>
      <c r="Z3" s="996"/>
      <c r="AA3" s="996"/>
      <c r="AB3" s="996"/>
      <c r="AC3" s="996"/>
      <c r="AD3" s="996"/>
      <c r="AE3" s="996"/>
      <c r="AF3" s="997"/>
      <c r="AG3" s="995" t="e">
        <f>INDEX(PT_DIFFERENTIATION_TER,MATCH(B3,PT_DIFFERENTIATION_TER_ID,0))</f>
        <v>#N/A</v>
      </c>
      <c r="AH3" s="996"/>
      <c r="AI3" s="996"/>
      <c r="AJ3" s="996"/>
      <c r="AK3" s="996"/>
      <c r="AL3" s="996"/>
      <c r="AM3" s="996"/>
      <c r="AN3" s="996"/>
      <c r="AO3" s="996"/>
      <c r="AP3" s="996"/>
      <c r="AQ3" s="996"/>
      <c r="AR3" s="997"/>
      <c r="AS3" s="230" t="s">
        <v>321</v>
      </c>
      <c r="AV3" s="29" t="str">
        <f t="shared" si="0"/>
        <v>Территория действия тарифа</v>
      </c>
      <c r="AY3" s="3">
        <v>0</v>
      </c>
    </row>
    <row r="4" spans="5:51" ht="23.25" hidden="1" customHeight="1">
      <c r="E4" s="1001"/>
      <c r="F4" s="1001"/>
      <c r="G4" s="1000">
        <v>1</v>
      </c>
      <c r="Q4" s="231"/>
      <c r="R4" s="232"/>
      <c r="S4" s="226" t="e">
        <f>INDEX(PT_DIFFERENTIATION_NUM_CS,MATCH(C4,PT_DIFFERENTIATION_CS_ID,0))</f>
        <v>#N/A</v>
      </c>
      <c r="T4" s="234" t="s">
        <v>453</v>
      </c>
      <c r="U4" s="228"/>
      <c r="V4" s="995"/>
      <c r="W4" s="996"/>
      <c r="X4" s="996"/>
      <c r="Y4" s="996"/>
      <c r="Z4" s="996"/>
      <c r="AA4" s="996"/>
      <c r="AB4" s="996"/>
      <c r="AC4" s="996"/>
      <c r="AD4" s="996"/>
      <c r="AE4" s="996"/>
      <c r="AF4" s="997"/>
      <c r="AG4" s="995" t="e">
        <f>INDEX(PT_DIFFERENTIATION_CS,MATCH(C4,PT_DIFFERENTIATION_CS_ID,0))</f>
        <v>#N/A</v>
      </c>
      <c r="AH4" s="996"/>
      <c r="AI4" s="996"/>
      <c r="AJ4" s="996"/>
      <c r="AK4" s="996"/>
      <c r="AL4" s="996"/>
      <c r="AM4" s="996"/>
      <c r="AN4" s="996"/>
      <c r="AO4" s="996"/>
      <c r="AP4" s="996"/>
      <c r="AQ4" s="996"/>
      <c r="AR4" s="997"/>
      <c r="AS4" s="230" t="s">
        <v>454</v>
      </c>
      <c r="AV4" s="29" t="str">
        <f t="shared" si="0"/>
        <v>Наименование централизованной системы горячего водоснабжения</v>
      </c>
      <c r="AY4" s="3">
        <v>0</v>
      </c>
    </row>
    <row r="5" spans="5:51" ht="23.25" hidden="1" customHeight="1">
      <c r="E5" s="1001"/>
      <c r="F5" s="1001"/>
      <c r="G5" s="1001"/>
      <c r="H5" s="1001"/>
      <c r="I5" s="1002" t="e">
        <f>S4&amp;".1"</f>
        <v>#N/A</v>
      </c>
      <c r="P5" s="1004">
        <v>1</v>
      </c>
      <c r="R5" s="238"/>
      <c r="S5" s="226" t="e">
        <f>$I5</f>
        <v>#N/A</v>
      </c>
      <c r="T5" s="239" t="s">
        <v>406</v>
      </c>
      <c r="U5" s="228"/>
      <c r="V5" s="1068"/>
      <c r="W5" s="1069"/>
      <c r="X5" s="1069"/>
      <c r="Y5" s="1069"/>
      <c r="Z5" s="1069"/>
      <c r="AA5" s="1069"/>
      <c r="AB5" s="1069"/>
      <c r="AC5" s="1069"/>
      <c r="AD5" s="1069"/>
      <c r="AE5" s="1069"/>
      <c r="AF5" s="1070"/>
      <c r="AG5" s="1071"/>
      <c r="AH5" s="1072"/>
      <c r="AI5" s="1072"/>
      <c r="AJ5" s="1072"/>
      <c r="AK5" s="1072"/>
      <c r="AL5" s="1072"/>
      <c r="AM5" s="1072"/>
      <c r="AN5" s="1072"/>
      <c r="AO5" s="1072"/>
      <c r="AP5" s="1072"/>
      <c r="AQ5" s="1072"/>
      <c r="AR5" s="1073"/>
      <c r="AS5" s="230" t="s">
        <v>407</v>
      </c>
      <c r="AV5" s="29" t="str">
        <f t="shared" si="0"/>
        <v>Наименование признака дифференциации</v>
      </c>
      <c r="AY5" s="3">
        <v>0</v>
      </c>
    </row>
    <row r="6" spans="5:51" ht="23.25" hidden="1" customHeight="1">
      <c r="E6" s="1001"/>
      <c r="F6" s="1001"/>
      <c r="G6" s="1001"/>
      <c r="H6" s="1001"/>
      <c r="I6" s="1003"/>
      <c r="J6" s="1002" t="e">
        <f>I5&amp;".1"</f>
        <v>#N/A</v>
      </c>
      <c r="L6" s="237" t="s">
        <v>329</v>
      </c>
      <c r="P6" s="885"/>
      <c r="Q6" s="1004">
        <v>1</v>
      </c>
      <c r="R6" s="240"/>
      <c r="S6" s="226" t="e">
        <f>$J6</f>
        <v>#N/A</v>
      </c>
      <c r="T6" s="241" t="s">
        <v>330</v>
      </c>
      <c r="U6" s="228"/>
      <c r="V6" s="989"/>
      <c r="W6" s="990"/>
      <c r="X6" s="990"/>
      <c r="Y6" s="990"/>
      <c r="Z6" s="990"/>
      <c r="AA6" s="990"/>
      <c r="AB6" s="990"/>
      <c r="AC6" s="990"/>
      <c r="AD6" s="990"/>
      <c r="AE6" s="990"/>
      <c r="AF6" s="991"/>
      <c r="AG6" s="989"/>
      <c r="AH6" s="990"/>
      <c r="AI6" s="990"/>
      <c r="AJ6" s="990"/>
      <c r="AK6" s="990"/>
      <c r="AL6" s="990"/>
      <c r="AM6" s="990"/>
      <c r="AN6" s="990"/>
      <c r="AO6" s="990"/>
      <c r="AP6" s="990"/>
      <c r="AQ6" s="990"/>
      <c r="AR6" s="991"/>
      <c r="AS6" s="317" t="s">
        <v>408</v>
      </c>
      <c r="AV6" s="29" t="str">
        <f t="shared" si="0"/>
        <v>Группа потребителей</v>
      </c>
      <c r="AY6" s="3">
        <v>0</v>
      </c>
    </row>
    <row r="7" spans="5:51" ht="23.25" hidden="1" customHeight="1">
      <c r="E7" s="1001"/>
      <c r="F7" s="1001"/>
      <c r="G7" s="1001"/>
      <c r="H7" s="1001"/>
      <c r="I7" s="1003"/>
      <c r="J7" s="1003"/>
      <c r="K7" s="1002" t="e">
        <f>J6&amp;".1"</f>
        <v>#N/A</v>
      </c>
      <c r="P7" s="885"/>
      <c r="Q7" s="885"/>
      <c r="R7" s="240">
        <v>1</v>
      </c>
      <c r="S7" s="226" t="e">
        <f>$K7</f>
        <v>#N/A</v>
      </c>
      <c r="T7" s="357"/>
      <c r="U7" s="228"/>
      <c r="V7" s="243"/>
      <c r="W7" s="243"/>
      <c r="X7" s="243"/>
      <c r="Y7" s="243"/>
      <c r="Z7" s="243"/>
      <c r="AA7" s="243"/>
      <c r="AB7" s="245"/>
      <c r="AC7" s="1005"/>
      <c r="AD7" s="895" t="s">
        <v>17</v>
      </c>
      <c r="AE7" s="1005"/>
      <c r="AF7" s="895" t="s">
        <v>17</v>
      </c>
      <c r="AG7" s="243"/>
      <c r="AH7" s="243"/>
      <c r="AI7" s="243"/>
      <c r="AJ7" s="243"/>
      <c r="AK7" s="243"/>
      <c r="AL7" s="243"/>
      <c r="AM7" s="245"/>
      <c r="AN7" s="1005"/>
      <c r="AO7" s="895" t="s">
        <v>17</v>
      </c>
      <c r="AP7" s="1007"/>
      <c r="AQ7" s="895" t="s">
        <v>17</v>
      </c>
      <c r="AR7" s="358"/>
      <c r="AS7" s="10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24" t="e">
        <f ca="1">STRCHECKDATE(V8:AR8)</f>
        <v>#NAME?</v>
      </c>
      <c r="AV7" s="29" t="str">
        <f t="shared" si="0"/>
        <v/>
      </c>
      <c r="AY7" s="3">
        <v>0</v>
      </c>
    </row>
    <row r="8" spans="5:51" ht="14.25" hidden="1" customHeight="1">
      <c r="E8" s="1001"/>
      <c r="F8" s="1001"/>
      <c r="G8" s="1001"/>
      <c r="H8" s="1001"/>
      <c r="I8" s="1003"/>
      <c r="J8" s="1003"/>
      <c r="K8" s="1002"/>
      <c r="P8" s="885"/>
      <c r="Q8" s="885"/>
      <c r="R8" s="240"/>
      <c r="S8" s="209"/>
      <c r="T8" s="228"/>
      <c r="U8" s="228"/>
      <c r="V8" s="244"/>
      <c r="W8" s="244"/>
      <c r="X8" s="244"/>
      <c r="Y8" s="244"/>
      <c r="Z8" s="244"/>
      <c r="AA8" s="244"/>
      <c r="AB8" s="247" t="str">
        <f>AC7&amp;"-"&amp;AE7</f>
        <v>-</v>
      </c>
      <c r="AC8" s="1006"/>
      <c r="AD8" s="895"/>
      <c r="AE8" s="1006"/>
      <c r="AF8" s="895"/>
      <c r="AG8" s="244"/>
      <c r="AH8" s="244"/>
      <c r="AI8" s="244"/>
      <c r="AJ8" s="244"/>
      <c r="AK8" s="244"/>
      <c r="AL8" s="244"/>
      <c r="AM8" s="247" t="str">
        <f>AN7&amp;"-"&amp;AP7</f>
        <v>-</v>
      </c>
      <c r="AN8" s="1006"/>
      <c r="AO8" s="895"/>
      <c r="AP8" s="1008"/>
      <c r="AQ8" s="895"/>
      <c r="AR8" s="359"/>
      <c r="AS8" s="1074"/>
      <c r="AV8" s="29" t="str">
        <f t="shared" si="0"/>
        <v/>
      </c>
      <c r="AY8" s="3">
        <v>0</v>
      </c>
    </row>
    <row r="9" spans="5:51" ht="21" hidden="1" customHeight="1">
      <c r="E9" s="1001"/>
      <c r="F9" s="1001"/>
      <c r="G9" s="1001"/>
      <c r="H9" s="1001"/>
      <c r="I9" s="1003"/>
      <c r="J9" s="1002"/>
      <c r="P9" s="885"/>
      <c r="Q9" s="885"/>
      <c r="R9" s="238"/>
      <c r="S9" s="249"/>
      <c r="T9" s="252" t="s">
        <v>409</v>
      </c>
      <c r="U9" s="54"/>
      <c r="V9" s="54"/>
      <c r="W9" s="54"/>
      <c r="X9" s="54"/>
      <c r="Y9" s="54"/>
      <c r="Z9" s="54"/>
      <c r="AA9" s="54"/>
      <c r="AB9" s="54"/>
      <c r="AC9" s="54"/>
      <c r="AD9" s="54"/>
      <c r="AE9" s="54"/>
      <c r="AF9" s="54"/>
      <c r="AG9" s="54"/>
      <c r="AH9" s="54"/>
      <c r="AI9" s="54"/>
      <c r="AJ9" s="54"/>
      <c r="AK9" s="54"/>
      <c r="AL9" s="54"/>
      <c r="AM9" s="54"/>
      <c r="AN9" s="54"/>
      <c r="AO9" s="54"/>
      <c r="AP9" s="54"/>
      <c r="AQ9" s="54"/>
      <c r="AR9" s="54"/>
      <c r="AS9" s="230" t="s">
        <v>410</v>
      </c>
      <c r="AV9" s="29" t="str">
        <f t="shared" si="0"/>
        <v>Добавить значение признака дифференциации</v>
      </c>
      <c r="AY9" s="3">
        <v>0</v>
      </c>
    </row>
    <row r="10" spans="5:51" ht="21" hidden="1" customHeight="1">
      <c r="E10" s="1001"/>
      <c r="F10" s="1001"/>
      <c r="G10" s="1001"/>
      <c r="H10" s="1001"/>
      <c r="I10" s="1002"/>
      <c r="P10" s="885"/>
      <c r="R10" s="238"/>
      <c r="S10" s="249"/>
      <c r="T10" s="255" t="s">
        <v>335</v>
      </c>
      <c r="U10" s="54"/>
      <c r="V10" s="54"/>
      <c r="W10" s="54"/>
      <c r="X10" s="54"/>
      <c r="Y10" s="54"/>
      <c r="Z10" s="54"/>
      <c r="AA10" s="54"/>
      <c r="AB10" s="54"/>
      <c r="AC10" s="54"/>
      <c r="AD10" s="54"/>
      <c r="AE10" s="54"/>
      <c r="AF10" s="253"/>
      <c r="AG10" s="54"/>
      <c r="AH10" s="54"/>
      <c r="AI10" s="54"/>
      <c r="AJ10" s="54"/>
      <c r="AK10" s="54"/>
      <c r="AL10" s="54"/>
      <c r="AM10" s="54"/>
      <c r="AN10" s="54"/>
      <c r="AO10" s="54"/>
      <c r="AP10" s="54"/>
      <c r="AQ10" s="253"/>
      <c r="AR10" s="54"/>
      <c r="AS10" s="360"/>
      <c r="AV10" s="29" t="str">
        <f t="shared" si="0"/>
        <v>Добавить группу потребителей</v>
      </c>
      <c r="AY10" s="3">
        <v>0</v>
      </c>
    </row>
    <row r="11" spans="5:51" ht="21" hidden="1" customHeight="1">
      <c r="E11" s="1001"/>
      <c r="F11" s="1001"/>
      <c r="G11" s="1001"/>
      <c r="H11" s="1000"/>
      <c r="R11" s="225"/>
      <c r="S11" s="249"/>
      <c r="T11" s="361" t="s">
        <v>411</v>
      </c>
      <c r="U11" s="54"/>
      <c r="V11" s="54"/>
      <c r="W11" s="54"/>
      <c r="X11" s="54"/>
      <c r="Y11" s="54"/>
      <c r="Z11" s="54"/>
      <c r="AA11" s="54"/>
      <c r="AB11" s="54"/>
      <c r="AC11" s="54"/>
      <c r="AD11" s="54"/>
      <c r="AE11" s="54"/>
      <c r="AF11" s="253"/>
      <c r="AG11" s="54"/>
      <c r="AH11" s="54"/>
      <c r="AI11" s="54"/>
      <c r="AJ11" s="54"/>
      <c r="AK11" s="54"/>
      <c r="AL11" s="54"/>
      <c r="AM11" s="54"/>
      <c r="AN11" s="54"/>
      <c r="AO11" s="54"/>
      <c r="AP11" s="54"/>
      <c r="AQ11" s="253"/>
      <c r="AR11" s="54"/>
      <c r="AS11" s="254"/>
      <c r="AV11" s="29" t="str">
        <f t="shared" si="0"/>
        <v>Добавить наименование признака дифференциации</v>
      </c>
      <c r="AY11" s="3">
        <v>0</v>
      </c>
    </row>
    <row r="12" spans="5:51" ht="14.25" hidden="1" customHeight="1">
      <c r="E12" s="1001"/>
      <c r="F12" s="1000"/>
      <c r="T12" s="260" t="s">
        <v>338</v>
      </c>
      <c r="AV12" s="29" t="str">
        <f t="shared" si="0"/>
        <v>Добавить централизованную систему для дифференциации</v>
      </c>
      <c r="AY12" s="24">
        <v>0</v>
      </c>
    </row>
    <row r="13" spans="5:51" ht="14.25" hidden="1" customHeight="1">
      <c r="E13" s="1000"/>
      <c r="T13" s="260" t="s">
        <v>339</v>
      </c>
      <c r="AV13" s="29" t="str">
        <f t="shared" si="0"/>
        <v>Добавить территорию для дифференциации</v>
      </c>
      <c r="AY13" s="24">
        <v>0</v>
      </c>
    </row>
    <row r="14" spans="5:51" ht="14.25" hidden="1" customHeight="1">
      <c r="AY14" s="3">
        <v>0</v>
      </c>
    </row>
    <row r="15" spans="5:51" ht="14.25" hidden="1" customHeight="1">
      <c r="AG15" s="261"/>
      <c r="AH15" s="261"/>
      <c r="AI15" s="261"/>
      <c r="AJ15" s="261"/>
      <c r="AK15" s="261"/>
      <c r="AL15" s="261"/>
      <c r="AM15" s="262"/>
      <c r="AN15" s="999"/>
      <c r="AO15" s="998" t="s">
        <v>17</v>
      </c>
      <c r="AP15" s="999"/>
      <c r="AQ15" s="998" t="s">
        <v>17</v>
      </c>
      <c r="AY15" s="3">
        <v>0</v>
      </c>
    </row>
    <row r="16" spans="5:51" ht="14.25" hidden="1" customHeight="1">
      <c r="AG16" s="261"/>
      <c r="AH16" s="261"/>
      <c r="AI16" s="261"/>
      <c r="AJ16" s="261"/>
      <c r="AK16" s="261"/>
      <c r="AL16" s="261"/>
      <c r="AM16" s="247" t="str">
        <f>AN15&amp;"-"&amp;AP15</f>
        <v>-</v>
      </c>
      <c r="AN16" s="998"/>
      <c r="AO16" s="998"/>
      <c r="AP16" s="998"/>
      <c r="AQ16" s="998"/>
      <c r="AY16" s="3">
        <v>0</v>
      </c>
    </row>
    <row r="17" spans="15:51" ht="14.25" hidden="1" customHeight="1">
      <c r="AY17" s="3">
        <v>0</v>
      </c>
    </row>
    <row r="18" spans="15:51" ht="22.5" hidden="1" customHeight="1">
      <c r="O18" s="263" t="s">
        <v>340</v>
      </c>
      <c r="AC18" s="263"/>
      <c r="AE18" s="263"/>
      <c r="AN18" s="263"/>
      <c r="AP18" s="263"/>
      <c r="AY18" s="11">
        <v>0</v>
      </c>
    </row>
    <row r="19" spans="15:51" ht="14.25" hidden="1" customHeight="1">
      <c r="AY19" s="11">
        <v>0</v>
      </c>
    </row>
    <row r="20" spans="15:51" ht="12" hidden="1" customHeight="1">
      <c r="O20" s="237" t="s">
        <v>341</v>
      </c>
      <c r="T20" s="11" t="s">
        <v>342</v>
      </c>
      <c r="AD20" s="60" t="s">
        <v>343</v>
      </c>
      <c r="AF20" s="60" t="s">
        <v>344</v>
      </c>
      <c r="AG20" s="11" t="s">
        <v>342</v>
      </c>
      <c r="AO20" s="60" t="s">
        <v>345</v>
      </c>
      <c r="AQ20" s="60" t="s">
        <v>344</v>
      </c>
      <c r="AY20" s="11">
        <v>0</v>
      </c>
    </row>
    <row r="21" spans="15:51" ht="14.25" hidden="1" customHeight="1">
      <c r="AY21" s="3">
        <v>0</v>
      </c>
    </row>
    <row r="22" spans="15:51" ht="14.25" hidden="1" customHeight="1">
      <c r="AY22" s="3">
        <v>0</v>
      </c>
    </row>
    <row r="23" spans="15:51" ht="14.65" customHeight="1">
      <c r="Q23" s="264"/>
      <c r="R23" s="264"/>
      <c r="S23" s="265"/>
      <c r="T23" s="12"/>
      <c r="U23" s="12"/>
      <c r="AY23" s="3">
        <v>14</v>
      </c>
    </row>
    <row r="24" spans="15:51" ht="26.25" customHeight="1">
      <c r="Q24" s="264"/>
      <c r="R24" s="264"/>
      <c r="S24" s="98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982"/>
      <c r="U24" s="982"/>
      <c r="V24" s="982"/>
      <c r="W24" s="982"/>
      <c r="X24" s="982"/>
      <c r="Y24" s="982"/>
      <c r="Z24" s="982"/>
      <c r="AA24" s="982"/>
      <c r="AB24" s="982"/>
      <c r="AC24" s="982"/>
      <c r="AD24" s="982"/>
      <c r="AE24" s="982"/>
      <c r="AF24" s="982"/>
      <c r="AG24" s="982"/>
      <c r="AH24" s="982"/>
      <c r="AI24" s="982"/>
      <c r="AJ24" s="982"/>
      <c r="AK24" s="982"/>
      <c r="AL24" s="982"/>
      <c r="AM24" s="982"/>
      <c r="AN24" s="982"/>
      <c r="AO24" s="982"/>
      <c r="AP24" s="982"/>
      <c r="AY24" s="3">
        <v>25</v>
      </c>
    </row>
    <row r="25" spans="15:51" ht="14.65" customHeight="1">
      <c r="Q25" s="264"/>
      <c r="R25" s="264"/>
      <c r="S25" s="955" t="e">
        <f>IF(org=0,"Не определено",org)</f>
        <v>#REF!</v>
      </c>
      <c r="T25" s="955"/>
      <c r="U25" s="955"/>
      <c r="V25" s="955"/>
      <c r="W25" s="955"/>
      <c r="X25" s="955"/>
      <c r="Y25" s="955"/>
      <c r="Z25" s="955"/>
      <c r="AA25" s="955"/>
      <c r="AB25" s="955"/>
      <c r="AC25" s="955"/>
      <c r="AD25" s="955"/>
      <c r="AE25" s="955"/>
      <c r="AF25" s="955"/>
      <c r="AG25" s="955"/>
      <c r="AH25" s="955"/>
      <c r="AI25" s="955"/>
      <c r="AJ25" s="955"/>
      <c r="AK25" s="955"/>
      <c r="AL25" s="955"/>
      <c r="AM25" s="955"/>
      <c r="AN25" s="955"/>
      <c r="AO25" s="955"/>
      <c r="AP25" s="955"/>
      <c r="AY25" s="3">
        <v>14</v>
      </c>
    </row>
    <row r="26" spans="15:51" ht="14.25" hidden="1" customHeight="1">
      <c r="Q26" s="264"/>
      <c r="R26" s="264"/>
      <c r="S26" s="265"/>
      <c r="T26" s="12"/>
      <c r="U26" s="12"/>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Y26" s="3">
        <v>0</v>
      </c>
    </row>
    <row r="27" spans="15:51" ht="25.5" hidden="1" customHeight="1">
      <c r="S27" s="992" t="s">
        <v>9</v>
      </c>
      <c r="T27" s="992"/>
      <c r="U27" s="268"/>
      <c r="V27" s="994" t="e">
        <f>IF(TITLE_NAME_OR_PR_CHANGE="",IF(TITLE_NAME_OR_PR="","",TITLE_NAME_OR_PR),TITLE_NAME_OR_PR_CHANGE)</f>
        <v>#REF!</v>
      </c>
      <c r="W27" s="994"/>
      <c r="X27" s="994"/>
      <c r="Y27" s="994"/>
      <c r="Z27" s="994"/>
      <c r="AA27" s="994"/>
      <c r="AB27" s="994"/>
      <c r="AC27" s="994"/>
      <c r="AD27" s="994"/>
      <c r="AE27" s="994"/>
      <c r="AG27" s="994" t="e">
        <f>IF(TITLE_NAME_OR_PR_CHANGE="",IF(TITLE_NAME_OR_PR="","",TITLE_NAME_OR_PR),TITLE_NAME_OR_PR_CHANGE)</f>
        <v>#REF!</v>
      </c>
      <c r="AH27" s="994"/>
      <c r="AI27" s="994"/>
      <c r="AJ27" s="994"/>
      <c r="AK27" s="994"/>
      <c r="AL27" s="994"/>
      <c r="AM27" s="994"/>
      <c r="AN27" s="994"/>
      <c r="AO27" s="994"/>
      <c r="AP27" s="994"/>
      <c r="AY27" s="50">
        <v>0</v>
      </c>
    </row>
    <row r="28" spans="15:51" ht="18.75" hidden="1" customHeight="1">
      <c r="S28" s="992" t="s">
        <v>346</v>
      </c>
      <c r="T28" s="992"/>
      <c r="U28" s="268"/>
      <c r="V28" s="993" t="e">
        <f>IF(TITLE_DATE_PR_CHANGE="",IF(TITLE_DATE_PR="","",TITLE_DATE_PR),TITLE_DATE_PR_CHANGE)</f>
        <v>#REF!</v>
      </c>
      <c r="W28" s="993"/>
      <c r="X28" s="993"/>
      <c r="Y28" s="993"/>
      <c r="Z28" s="993"/>
      <c r="AA28" s="993"/>
      <c r="AB28" s="993"/>
      <c r="AC28" s="993"/>
      <c r="AD28" s="993"/>
      <c r="AE28" s="993"/>
      <c r="AG28" s="993" t="e">
        <f>IF(TITLE_DATE_PR_CHANGE="",IF(TITLE_DATE_PR="","",TITLE_DATE_PR),TITLE_DATE_PR_CHANGE)</f>
        <v>#REF!</v>
      </c>
      <c r="AH28" s="993"/>
      <c r="AI28" s="993"/>
      <c r="AJ28" s="993"/>
      <c r="AK28" s="993"/>
      <c r="AL28" s="993"/>
      <c r="AM28" s="993"/>
      <c r="AN28" s="993"/>
      <c r="AO28" s="993"/>
      <c r="AP28" s="993"/>
      <c r="AY28" s="50">
        <v>0</v>
      </c>
    </row>
    <row r="29" spans="15:51" ht="18.75" hidden="1" customHeight="1">
      <c r="S29" s="992" t="s">
        <v>347</v>
      </c>
      <c r="T29" s="992"/>
      <c r="U29" s="268"/>
      <c r="V29" s="994" t="e">
        <f>IF(TITLE_NUMBER_PR_CHANGE="",IF(TITLE_NUMBER_PR="","",TITLE_NUMBER_PR),TITLE_NUMBER_PR_CHANGE)</f>
        <v>#REF!</v>
      </c>
      <c r="W29" s="994"/>
      <c r="X29" s="994"/>
      <c r="Y29" s="994"/>
      <c r="Z29" s="994"/>
      <c r="AA29" s="994"/>
      <c r="AB29" s="994"/>
      <c r="AC29" s="994"/>
      <c r="AD29" s="994"/>
      <c r="AE29" s="994"/>
      <c r="AG29" s="994" t="e">
        <f>IF(TITLE_NUMBER_PR_CHANGE="",IF(TITLE_NUMBER_PR="","",TITLE_NUMBER_PR),TITLE_NUMBER_PR_CHANGE)</f>
        <v>#REF!</v>
      </c>
      <c r="AH29" s="994"/>
      <c r="AI29" s="994"/>
      <c r="AJ29" s="994"/>
      <c r="AK29" s="994"/>
      <c r="AL29" s="994"/>
      <c r="AM29" s="994"/>
      <c r="AN29" s="994"/>
      <c r="AO29" s="994"/>
      <c r="AP29" s="994"/>
      <c r="AY29" s="50">
        <v>0</v>
      </c>
    </row>
    <row r="30" spans="15:51" ht="18.75" hidden="1" customHeight="1">
      <c r="S30" s="992" t="s">
        <v>10</v>
      </c>
      <c r="T30" s="992"/>
      <c r="U30" s="268"/>
      <c r="V30" s="994" t="e">
        <f>IF(TITLE_IST_PUB_CHANGE="",IF(TITLE_IST_PUB="","",TITLE_IST_PUB),TITLE_IST_PUB_CHANGE)</f>
        <v>#REF!</v>
      </c>
      <c r="W30" s="994"/>
      <c r="X30" s="994"/>
      <c r="Y30" s="994"/>
      <c r="Z30" s="994"/>
      <c r="AA30" s="994"/>
      <c r="AB30" s="994"/>
      <c r="AC30" s="994"/>
      <c r="AD30" s="994"/>
      <c r="AE30" s="994"/>
      <c r="AG30" s="994" t="e">
        <f>IF(TITLE_IST_PUB_CHANGE="",IF(TITLE_IST_PUB="","",TITLE_IST_PUB),TITLE_IST_PUB_CHANGE)</f>
        <v>#REF!</v>
      </c>
      <c r="AH30" s="994"/>
      <c r="AI30" s="994"/>
      <c r="AJ30" s="994"/>
      <c r="AK30" s="994"/>
      <c r="AL30" s="994"/>
      <c r="AM30" s="994"/>
      <c r="AN30" s="994"/>
      <c r="AO30" s="994"/>
      <c r="AP30" s="994"/>
      <c r="AY30" s="50">
        <v>0</v>
      </c>
    </row>
    <row r="31" spans="15:51" ht="14.25" hidden="1" customHeight="1">
      <c r="Q31" s="264"/>
      <c r="R31" s="264"/>
      <c r="S31" s="265"/>
      <c r="T31" s="12"/>
      <c r="U31" s="12"/>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Y31" s="3">
        <v>0</v>
      </c>
    </row>
    <row r="32" spans="15:51" ht="18.75" hidden="1" customHeight="1">
      <c r="S32" s="992" t="s">
        <v>348</v>
      </c>
      <c r="T32" s="992"/>
      <c r="U32" s="268"/>
      <c r="V32" s="993" t="e">
        <f>IF(TITLE_DATE_PR_CHANGE="",IF(TITLE_DATE_PR="","",TITLE_DATE_PR),TITLE_DATE_PR_CHANGE)</f>
        <v>#REF!</v>
      </c>
      <c r="W32" s="993"/>
      <c r="X32" s="993"/>
      <c r="Y32" s="993"/>
      <c r="Z32" s="993"/>
      <c r="AA32" s="993"/>
      <c r="AB32" s="993"/>
      <c r="AC32" s="993"/>
      <c r="AD32" s="993"/>
      <c r="AE32" s="993"/>
      <c r="AG32" s="993" t="e">
        <f>IF(TITLE_DATE_PR_CHANGE="",IF(TITLE_DATE_PR="","",TITLE_DATE_PR),TITLE_DATE_PR_CHANGE)</f>
        <v>#REF!</v>
      </c>
      <c r="AH32" s="993"/>
      <c r="AI32" s="993"/>
      <c r="AJ32" s="993"/>
      <c r="AK32" s="993"/>
      <c r="AL32" s="993"/>
      <c r="AM32" s="993"/>
      <c r="AN32" s="993"/>
      <c r="AO32" s="993"/>
      <c r="AP32" s="993"/>
      <c r="AY32" s="50">
        <v>0</v>
      </c>
    </row>
    <row r="33" spans="1:51" ht="18.75" hidden="1" customHeight="1">
      <c r="S33" s="992" t="s">
        <v>349</v>
      </c>
      <c r="T33" s="992"/>
      <c r="U33" s="268"/>
      <c r="V33" s="994" t="e">
        <f>IF(TITLE_NUMBER_PR_CHANGE="",IF(TITLE_NUMBER_PR="","",TITLE_NUMBER_PR),TITLE_NUMBER_PR_CHANGE)</f>
        <v>#REF!</v>
      </c>
      <c r="W33" s="994"/>
      <c r="X33" s="994"/>
      <c r="Y33" s="994"/>
      <c r="Z33" s="994"/>
      <c r="AA33" s="994"/>
      <c r="AB33" s="994"/>
      <c r="AC33" s="994"/>
      <c r="AD33" s="994"/>
      <c r="AE33" s="994"/>
      <c r="AG33" s="994" t="e">
        <f>IF(TITLE_NUMBER_PR_CHANGE="",IF(TITLE_NUMBER_PR="","",TITLE_NUMBER_PR),TITLE_NUMBER_PR_CHANGE)</f>
        <v>#REF!</v>
      </c>
      <c r="AH33" s="994"/>
      <c r="AI33" s="994"/>
      <c r="AJ33" s="994"/>
      <c r="AK33" s="994"/>
      <c r="AL33" s="994"/>
      <c r="AM33" s="994"/>
      <c r="AN33" s="994"/>
      <c r="AO33" s="994"/>
      <c r="AP33" s="994"/>
      <c r="AY33" s="50">
        <v>0</v>
      </c>
    </row>
    <row r="34" spans="1:51" ht="1.1499999999999999" customHeight="1">
      <c r="AF34" s="24" t="s">
        <v>350</v>
      </c>
      <c r="AQ34" s="24" t="s">
        <v>350</v>
      </c>
      <c r="AY34" s="50">
        <v>1</v>
      </c>
    </row>
    <row r="35" spans="1:51" ht="14.65" customHeight="1">
      <c r="Q35" s="264"/>
      <c r="R35" s="264"/>
      <c r="S35" s="265"/>
      <c r="T35" s="12"/>
      <c r="U35" s="270"/>
      <c r="V35" s="1012"/>
      <c r="W35" s="1012"/>
      <c r="X35" s="1012"/>
      <c r="Y35" s="1012"/>
      <c r="Z35" s="1012"/>
      <c r="AA35" s="1012"/>
      <c r="AB35" s="1012"/>
      <c r="AC35" s="1012"/>
      <c r="AD35" s="1012"/>
      <c r="AE35" s="1012"/>
      <c r="AF35" s="1012"/>
      <c r="AG35" s="1012"/>
      <c r="AH35" s="1012"/>
      <c r="AI35" s="1012"/>
      <c r="AJ35" s="1012"/>
      <c r="AK35" s="1012"/>
      <c r="AL35" s="1012"/>
      <c r="AM35" s="1012"/>
      <c r="AN35" s="1012"/>
      <c r="AO35" s="1012"/>
      <c r="AP35" s="1012"/>
      <c r="AQ35" s="1012"/>
      <c r="AY35" s="3">
        <v>14</v>
      </c>
    </row>
    <row r="36" spans="1:51" ht="14.65" customHeight="1">
      <c r="Q36" s="264"/>
      <c r="R36" s="264"/>
      <c r="S36" s="894" t="s">
        <v>223</v>
      </c>
      <c r="T36" s="894"/>
      <c r="U36" s="894"/>
      <c r="V36" s="894"/>
      <c r="W36" s="894"/>
      <c r="X36" s="894"/>
      <c r="Y36" s="894"/>
      <c r="Z36" s="894"/>
      <c r="AA36" s="894"/>
      <c r="AB36" s="894"/>
      <c r="AC36" s="894"/>
      <c r="AD36" s="894"/>
      <c r="AE36" s="894"/>
      <c r="AF36" s="894"/>
      <c r="AG36" s="894"/>
      <c r="AH36" s="894"/>
      <c r="AI36" s="894"/>
      <c r="AJ36" s="894"/>
      <c r="AK36" s="894"/>
      <c r="AL36" s="894"/>
      <c r="AM36" s="894"/>
      <c r="AN36" s="894"/>
      <c r="AO36" s="894"/>
      <c r="AP36" s="894"/>
      <c r="AQ36" s="894"/>
      <c r="AR36" s="894"/>
      <c r="AS36" s="894" t="s">
        <v>224</v>
      </c>
      <c r="AY36" s="3">
        <v>14</v>
      </c>
    </row>
    <row r="37" spans="1:51" ht="14.65" customHeight="1">
      <c r="Q37" s="264"/>
      <c r="R37" s="264"/>
      <c r="S37" s="1013" t="s">
        <v>24</v>
      </c>
      <c r="T37" s="962" t="s">
        <v>351</v>
      </c>
      <c r="U37" s="272"/>
      <c r="V37" s="1014" t="s">
        <v>352</v>
      </c>
      <c r="W37" s="1015"/>
      <c r="X37" s="1015"/>
      <c r="Y37" s="1015"/>
      <c r="Z37" s="1015"/>
      <c r="AA37" s="1015"/>
      <c r="AB37" s="1015"/>
      <c r="AC37" s="1015"/>
      <c r="AD37" s="1015"/>
      <c r="AE37" s="1016"/>
      <c r="AF37" s="1017" t="s">
        <v>353</v>
      </c>
      <c r="AG37" s="1014" t="s">
        <v>352</v>
      </c>
      <c r="AH37" s="1015"/>
      <c r="AI37" s="1015"/>
      <c r="AJ37" s="1015"/>
      <c r="AK37" s="1015"/>
      <c r="AL37" s="1015"/>
      <c r="AM37" s="1015"/>
      <c r="AN37" s="1015"/>
      <c r="AO37" s="1015"/>
      <c r="AP37" s="1016"/>
      <c r="AQ37" s="1017" t="s">
        <v>354</v>
      </c>
      <c r="AR37" s="1020" t="s">
        <v>355</v>
      </c>
      <c r="AS37" s="894"/>
      <c r="AY37" s="3">
        <v>14</v>
      </c>
    </row>
    <row r="38" spans="1:51" ht="19.899999999999999" customHeight="1">
      <c r="Q38" s="264"/>
      <c r="R38" s="264"/>
      <c r="S38" s="1013"/>
      <c r="T38" s="962"/>
      <c r="U38" s="274"/>
      <c r="V38" s="894" t="s">
        <v>455</v>
      </c>
      <c r="W38" s="958" t="s">
        <v>456</v>
      </c>
      <c r="X38" s="958"/>
      <c r="Y38" s="958"/>
      <c r="Z38" s="958" t="s">
        <v>457</v>
      </c>
      <c r="AA38" s="958"/>
      <c r="AB38" s="958"/>
      <c r="AC38" s="936" t="s">
        <v>359</v>
      </c>
      <c r="AD38" s="1042"/>
      <c r="AE38" s="937"/>
      <c r="AF38" s="1018"/>
      <c r="AG38" s="894" t="s">
        <v>455</v>
      </c>
      <c r="AH38" s="958" t="s">
        <v>456</v>
      </c>
      <c r="AI38" s="958"/>
      <c r="AJ38" s="958"/>
      <c r="AK38" s="958" t="s">
        <v>457</v>
      </c>
      <c r="AL38" s="958"/>
      <c r="AM38" s="958"/>
      <c r="AN38" s="936" t="s">
        <v>359</v>
      </c>
      <c r="AO38" s="1042"/>
      <c r="AP38" s="937"/>
      <c r="AQ38" s="1018"/>
      <c r="AR38" s="1021"/>
      <c r="AS38" s="894"/>
      <c r="AY38" s="3">
        <v>19</v>
      </c>
    </row>
    <row r="39" spans="1:51" ht="19.899999999999999" customHeight="1">
      <c r="Q39" s="264"/>
      <c r="R39" s="264"/>
      <c r="S39" s="1013"/>
      <c r="T39" s="962"/>
      <c r="U39" s="274"/>
      <c r="V39" s="894"/>
      <c r="W39" s="958" t="s">
        <v>458</v>
      </c>
      <c r="X39" s="958" t="s">
        <v>459</v>
      </c>
      <c r="Y39" s="958"/>
      <c r="Z39" s="958" t="s">
        <v>460</v>
      </c>
      <c r="AA39" s="958" t="s">
        <v>459</v>
      </c>
      <c r="AB39" s="958"/>
      <c r="AC39" s="941"/>
      <c r="AD39" s="1043"/>
      <c r="AE39" s="942"/>
      <c r="AF39" s="1018"/>
      <c r="AG39" s="894"/>
      <c r="AH39" s="958" t="s">
        <v>458</v>
      </c>
      <c r="AI39" s="958" t="s">
        <v>459</v>
      </c>
      <c r="AJ39" s="958"/>
      <c r="AK39" s="958" t="s">
        <v>460</v>
      </c>
      <c r="AL39" s="958" t="s">
        <v>459</v>
      </c>
      <c r="AM39" s="958"/>
      <c r="AN39" s="941"/>
      <c r="AO39" s="1043"/>
      <c r="AP39" s="942"/>
      <c r="AQ39" s="1018"/>
      <c r="AR39" s="1021"/>
      <c r="AS39" s="894"/>
      <c r="AY39" s="3">
        <v>19</v>
      </c>
    </row>
    <row r="40" spans="1:51" ht="61.9" customHeight="1">
      <c r="B40" s="60" t="s">
        <v>60</v>
      </c>
      <c r="C40" s="60" t="s">
        <v>61</v>
      </c>
      <c r="D40" s="60" t="s">
        <v>62</v>
      </c>
      <c r="E40" s="237" t="s">
        <v>360</v>
      </c>
      <c r="F40" s="237" t="s">
        <v>361</v>
      </c>
      <c r="G40" s="237" t="s">
        <v>362</v>
      </c>
      <c r="I40" s="237" t="s">
        <v>413</v>
      </c>
      <c r="J40" s="237" t="s">
        <v>365</v>
      </c>
      <c r="K40" s="237" t="s">
        <v>414</v>
      </c>
      <c r="L40" s="237" t="s">
        <v>341</v>
      </c>
      <c r="Q40" s="264"/>
      <c r="R40" s="264"/>
      <c r="S40" s="1013"/>
      <c r="T40" s="962"/>
      <c r="U40" s="275"/>
      <c r="V40" s="894"/>
      <c r="W40" s="958"/>
      <c r="X40" s="118" t="s">
        <v>461</v>
      </c>
      <c r="Y40" s="118" t="s">
        <v>462</v>
      </c>
      <c r="Z40" s="958"/>
      <c r="AA40" s="118" t="s">
        <v>463</v>
      </c>
      <c r="AB40" s="118" t="s">
        <v>464</v>
      </c>
      <c r="AC40" s="65" t="s">
        <v>369</v>
      </c>
      <c r="AD40" s="967" t="s">
        <v>370</v>
      </c>
      <c r="AE40" s="981"/>
      <c r="AF40" s="1019"/>
      <c r="AG40" s="894"/>
      <c r="AH40" s="958"/>
      <c r="AI40" s="118" t="s">
        <v>461</v>
      </c>
      <c r="AJ40" s="118" t="s">
        <v>462</v>
      </c>
      <c r="AK40" s="958"/>
      <c r="AL40" s="118" t="s">
        <v>463</v>
      </c>
      <c r="AM40" s="118" t="s">
        <v>464</v>
      </c>
      <c r="AN40" s="65" t="s">
        <v>369</v>
      </c>
      <c r="AO40" s="967" t="s">
        <v>370</v>
      </c>
      <c r="AP40" s="981"/>
      <c r="AQ40" s="1019"/>
      <c r="AR40" s="1022"/>
      <c r="AS40" s="894"/>
      <c r="AY40" s="3">
        <v>59</v>
      </c>
    </row>
    <row r="41" spans="1:51" ht="11.25" hidden="1" customHeight="1">
      <c r="Q41" s="278"/>
      <c r="R41" s="279">
        <v>1</v>
      </c>
      <c r="S41" s="280" t="s">
        <v>31</v>
      </c>
      <c r="T41" s="281" t="s">
        <v>39</v>
      </c>
      <c r="U41" s="282" t="str">
        <f ca="1">OFFSET(U41,0,-1)</f>
        <v>2</v>
      </c>
      <c r="V41" s="283">
        <f ca="1">OFFSET(V41,0,-1)+1</f>
        <v>3</v>
      </c>
      <c r="W41" s="283"/>
      <c r="X41" s="283"/>
      <c r="Y41" s="283"/>
      <c r="Z41" s="283"/>
      <c r="AA41" s="283"/>
      <c r="AB41" s="283">
        <f ca="1">OFFSET(AB41,0,-1)+1</f>
        <v>1</v>
      </c>
      <c r="AC41" s="283">
        <f ca="1">OFFSET(AC41,0,-1)+1</f>
        <v>2</v>
      </c>
      <c r="AD41" s="1011">
        <f ca="1">OFFSET(AD41,0,-1)+1</f>
        <v>3</v>
      </c>
      <c r="AE41" s="1011"/>
      <c r="AF41" s="283">
        <f ca="1">OFFSET(AF41,0,-2)+1</f>
        <v>4</v>
      </c>
      <c r="AG41" s="283">
        <f ca="1">OFFSET(AG41,0,-1)+1</f>
        <v>5</v>
      </c>
      <c r="AH41" s="283"/>
      <c r="AI41" s="283"/>
      <c r="AJ41" s="283"/>
      <c r="AK41" s="283"/>
      <c r="AL41" s="283"/>
      <c r="AM41" s="283">
        <f ca="1">OFFSET(AM41,0,-1)+1</f>
        <v>1</v>
      </c>
      <c r="AN41" s="283">
        <f ca="1">OFFSET(AN41,0,-1)+1</f>
        <v>2</v>
      </c>
      <c r="AO41" s="1011">
        <f ca="1">OFFSET(AO41,0,-1)+1</f>
        <v>3</v>
      </c>
      <c r="AP41" s="1011"/>
      <c r="AQ41" s="283">
        <f ca="1">OFFSET(AQ41,0,-2)+1</f>
        <v>4</v>
      </c>
      <c r="AR41" s="282">
        <f ca="1">OFFSET(AR41,0,-1)</f>
        <v>4</v>
      </c>
      <c r="AS41" s="283">
        <f ca="1">OFFSET(AS41,0,-1)+1</f>
        <v>5</v>
      </c>
      <c r="AY41" s="189">
        <v>0</v>
      </c>
    </row>
    <row r="42" spans="1:51" ht="24" customHeight="1">
      <c r="A42" s="284" t="s">
        <v>179</v>
      </c>
      <c r="E42" s="1000">
        <v>1</v>
      </c>
      <c r="R42" s="225"/>
      <c r="S42" s="226">
        <f>INDEX(PT_DIFFERENTIATION_NUM_NTAR,MATCH(A42,PT_DIFFERENTIATION_NTAR_ID,0))</f>
        <v>0</v>
      </c>
      <c r="T42" s="227" t="s">
        <v>48</v>
      </c>
      <c r="U42" s="228"/>
      <c r="V42" s="995"/>
      <c r="W42" s="996"/>
      <c r="X42" s="996"/>
      <c r="Y42" s="996"/>
      <c r="Z42" s="996"/>
      <c r="AA42" s="996"/>
      <c r="AB42" s="996"/>
      <c r="AC42" s="996"/>
      <c r="AD42" s="996"/>
      <c r="AE42" s="996"/>
      <c r="AF42" s="997"/>
      <c r="AG42" s="995" t="str">
        <f>INDEX(PT_DIFFERENTIATION_NTAR,MATCH(A42,PT_DIFFERENTIATION_NTAR_ID,0))</f>
        <v/>
      </c>
      <c r="AH42" s="996"/>
      <c r="AI42" s="996"/>
      <c r="AJ42" s="996"/>
      <c r="AK42" s="996"/>
      <c r="AL42" s="996"/>
      <c r="AM42" s="996"/>
      <c r="AN42" s="996"/>
      <c r="AO42" s="996"/>
      <c r="AP42" s="996"/>
      <c r="AQ42" s="996"/>
      <c r="AR42" s="997"/>
      <c r="AS4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V42" s="29" t="str">
        <f t="shared" ref="AV42:AV54" si="1">IF(T42="","",T42)</f>
        <v>Наименование тарифа</v>
      </c>
      <c r="AY42" s="3">
        <v>23</v>
      </c>
    </row>
    <row r="43" spans="1:51" ht="24" customHeight="1">
      <c r="A43" s="284" t="s">
        <v>179</v>
      </c>
      <c r="B43" s="284" t="s">
        <v>180</v>
      </c>
      <c r="E43" s="1001"/>
      <c r="F43" s="1000">
        <v>1</v>
      </c>
      <c r="Q43" s="231"/>
      <c r="R43" s="232"/>
      <c r="S43" s="226" t="str">
        <f>INDEX(PT_DIFFERENTIATION_NUM_TER,MATCH(B43,PT_DIFFERENTIATION_TER_ID,0))</f>
        <v>.</v>
      </c>
      <c r="T43" s="233" t="s">
        <v>320</v>
      </c>
      <c r="U43" s="228"/>
      <c r="V43" s="995"/>
      <c r="W43" s="996"/>
      <c r="X43" s="996"/>
      <c r="Y43" s="996"/>
      <c r="Z43" s="996"/>
      <c r="AA43" s="996"/>
      <c r="AB43" s="996"/>
      <c r="AC43" s="996"/>
      <c r="AD43" s="996"/>
      <c r="AE43" s="996"/>
      <c r="AF43" s="997"/>
      <c r="AG43" s="995" t="str">
        <f>INDEX(PT_DIFFERENTIATION_TER,MATCH(B43,PT_DIFFERENTIATION_TER_ID,0))</f>
        <v/>
      </c>
      <c r="AH43" s="996"/>
      <c r="AI43" s="996"/>
      <c r="AJ43" s="996"/>
      <c r="AK43" s="996"/>
      <c r="AL43" s="996"/>
      <c r="AM43" s="996"/>
      <c r="AN43" s="996"/>
      <c r="AO43" s="996"/>
      <c r="AP43" s="996"/>
      <c r="AQ43" s="996"/>
      <c r="AR43" s="997"/>
      <c r="AS43" s="230" t="s">
        <v>321</v>
      </c>
      <c r="AV43" s="29" t="str">
        <f t="shared" si="1"/>
        <v>Территория действия тарифа</v>
      </c>
      <c r="AY43" s="3">
        <v>23</v>
      </c>
    </row>
    <row r="44" spans="1:51" ht="24" customHeight="1">
      <c r="A44" s="284" t="s">
        <v>179</v>
      </c>
      <c r="B44" s="284" t="s">
        <v>180</v>
      </c>
      <c r="C44" s="284" t="s">
        <v>181</v>
      </c>
      <c r="E44" s="1001"/>
      <c r="F44" s="1001"/>
      <c r="G44" s="1000">
        <v>1</v>
      </c>
      <c r="Q44" s="231"/>
      <c r="R44" s="232"/>
      <c r="S44" s="226" t="str">
        <f>INDEX(PT_DIFFERENTIATION_NUM_CS,MATCH(C44,PT_DIFFERENTIATION_CS_ID,0))</f>
        <v>..</v>
      </c>
      <c r="T44" s="234" t="s">
        <v>453</v>
      </c>
      <c r="U44" s="228"/>
      <c r="V44" s="995"/>
      <c r="W44" s="996"/>
      <c r="X44" s="996"/>
      <c r="Y44" s="996"/>
      <c r="Z44" s="996"/>
      <c r="AA44" s="996"/>
      <c r="AB44" s="996"/>
      <c r="AC44" s="996"/>
      <c r="AD44" s="996"/>
      <c r="AE44" s="996"/>
      <c r="AF44" s="997"/>
      <c r="AG44" s="995" t="str">
        <f>INDEX(PT_DIFFERENTIATION_CS,MATCH(C44,PT_DIFFERENTIATION_CS_ID,0))</f>
        <v/>
      </c>
      <c r="AH44" s="996"/>
      <c r="AI44" s="996"/>
      <c r="AJ44" s="996"/>
      <c r="AK44" s="996"/>
      <c r="AL44" s="996"/>
      <c r="AM44" s="996"/>
      <c r="AN44" s="996"/>
      <c r="AO44" s="996"/>
      <c r="AP44" s="996"/>
      <c r="AQ44" s="996"/>
      <c r="AR44" s="997"/>
      <c r="AS44" s="230" t="s">
        <v>454</v>
      </c>
      <c r="AV44" s="29" t="str">
        <f t="shared" si="1"/>
        <v>Наименование централизованной системы горячего водоснабжения</v>
      </c>
      <c r="AY44" s="3">
        <v>23</v>
      </c>
    </row>
    <row r="45" spans="1:51" ht="24" customHeight="1">
      <c r="A45" s="284" t="s">
        <v>179</v>
      </c>
      <c r="B45" s="284" t="s">
        <v>180</v>
      </c>
      <c r="C45" s="284" t="s">
        <v>181</v>
      </c>
      <c r="D45" s="284" t="s">
        <v>466</v>
      </c>
      <c r="E45" s="1001"/>
      <c r="F45" s="1001"/>
      <c r="G45" s="1001"/>
      <c r="H45" s="1001"/>
      <c r="I45" s="1002" t="str">
        <f>S44&amp;".1"</f>
        <v>...1</v>
      </c>
      <c r="P45" s="1004">
        <v>1</v>
      </c>
      <c r="R45" s="238"/>
      <c r="S45" s="226" t="str">
        <f>$I45</f>
        <v>...1</v>
      </c>
      <c r="T45" s="239" t="s">
        <v>406</v>
      </c>
      <c r="U45" s="228"/>
      <c r="V45" s="1068"/>
      <c r="W45" s="1069"/>
      <c r="X45" s="1069"/>
      <c r="Y45" s="1069"/>
      <c r="Z45" s="1069"/>
      <c r="AA45" s="1069"/>
      <c r="AB45" s="1069"/>
      <c r="AC45" s="1069"/>
      <c r="AD45" s="1069"/>
      <c r="AE45" s="1069"/>
      <c r="AF45" s="1070"/>
      <c r="AG45" s="1071"/>
      <c r="AH45" s="1072"/>
      <c r="AI45" s="1072"/>
      <c r="AJ45" s="1072"/>
      <c r="AK45" s="1072"/>
      <c r="AL45" s="1072"/>
      <c r="AM45" s="1072"/>
      <c r="AN45" s="1072"/>
      <c r="AO45" s="1072"/>
      <c r="AP45" s="1072"/>
      <c r="AQ45" s="1072"/>
      <c r="AR45" s="1073"/>
      <c r="AS45" s="230" t="s">
        <v>407</v>
      </c>
      <c r="AV45" s="29" t="str">
        <f t="shared" si="1"/>
        <v>Наименование признака дифференциации</v>
      </c>
      <c r="AY45" s="3">
        <v>23</v>
      </c>
    </row>
    <row r="46" spans="1:51" ht="24" customHeight="1">
      <c r="A46" s="284" t="s">
        <v>179</v>
      </c>
      <c r="B46" s="284" t="s">
        <v>180</v>
      </c>
      <c r="C46" s="284" t="s">
        <v>181</v>
      </c>
      <c r="D46" s="284" t="s">
        <v>466</v>
      </c>
      <c r="E46" s="1001"/>
      <c r="F46" s="1001"/>
      <c r="G46" s="1001"/>
      <c r="H46" s="1001"/>
      <c r="I46" s="1003"/>
      <c r="J46" s="1002" t="str">
        <f>I45&amp;".1"</f>
        <v>...1.1</v>
      </c>
      <c r="L46" s="237" t="s">
        <v>329</v>
      </c>
      <c r="P46" s="885"/>
      <c r="Q46" s="1004">
        <v>1</v>
      </c>
      <c r="R46" s="240"/>
      <c r="S46" s="226" t="str">
        <f>$J46</f>
        <v>...1.1</v>
      </c>
      <c r="T46" s="241" t="s">
        <v>330</v>
      </c>
      <c r="U46" s="228"/>
      <c r="V46" s="989"/>
      <c r="W46" s="990"/>
      <c r="X46" s="990"/>
      <c r="Y46" s="990"/>
      <c r="Z46" s="990"/>
      <c r="AA46" s="990"/>
      <c r="AB46" s="990"/>
      <c r="AC46" s="990"/>
      <c r="AD46" s="990"/>
      <c r="AE46" s="990"/>
      <c r="AF46" s="991"/>
      <c r="AG46" s="989"/>
      <c r="AH46" s="990"/>
      <c r="AI46" s="990"/>
      <c r="AJ46" s="990"/>
      <c r="AK46" s="990"/>
      <c r="AL46" s="990"/>
      <c r="AM46" s="990"/>
      <c r="AN46" s="990"/>
      <c r="AO46" s="990"/>
      <c r="AP46" s="990"/>
      <c r="AQ46" s="990"/>
      <c r="AR46" s="991"/>
      <c r="AS46" s="317" t="s">
        <v>408</v>
      </c>
      <c r="AV46" s="29" t="str">
        <f t="shared" si="1"/>
        <v>Группа потребителей</v>
      </c>
      <c r="AY46" s="3">
        <v>23</v>
      </c>
    </row>
    <row r="47" spans="1:51" ht="24" customHeight="1">
      <c r="A47" s="284" t="s">
        <v>179</v>
      </c>
      <c r="B47" s="284" t="s">
        <v>180</v>
      </c>
      <c r="C47" s="284" t="s">
        <v>181</v>
      </c>
      <c r="D47" s="284" t="s">
        <v>466</v>
      </c>
      <c r="E47" s="1001"/>
      <c r="F47" s="1001"/>
      <c r="G47" s="1001"/>
      <c r="H47" s="1001"/>
      <c r="I47" s="1003"/>
      <c r="J47" s="1003"/>
      <c r="K47" s="1002" t="str">
        <f>J46&amp;".1"</f>
        <v>...1.1.1</v>
      </c>
      <c r="P47" s="885"/>
      <c r="Q47" s="885"/>
      <c r="R47" s="240">
        <v>1</v>
      </c>
      <c r="S47" s="226" t="str">
        <f>$K47</f>
        <v>...1.1.1</v>
      </c>
      <c r="T47" s="357"/>
      <c r="U47" s="228"/>
      <c r="V47" s="261"/>
      <c r="W47" s="261"/>
      <c r="X47" s="261"/>
      <c r="Y47" s="261"/>
      <c r="Z47" s="261"/>
      <c r="AA47" s="261"/>
      <c r="AB47" s="262"/>
      <c r="AC47" s="999"/>
      <c r="AD47" s="998" t="s">
        <v>17</v>
      </c>
      <c r="AE47" s="999"/>
      <c r="AF47" s="998" t="s">
        <v>17</v>
      </c>
      <c r="AG47" s="243"/>
      <c r="AH47" s="243"/>
      <c r="AI47" s="243"/>
      <c r="AJ47" s="243"/>
      <c r="AK47" s="243"/>
      <c r="AL47" s="243"/>
      <c r="AM47" s="245"/>
      <c r="AN47" s="1005"/>
      <c r="AO47" s="895" t="s">
        <v>17</v>
      </c>
      <c r="AP47" s="1007"/>
      <c r="AQ47" s="895" t="s">
        <v>3</v>
      </c>
      <c r="AR47" s="358"/>
      <c r="AS47" s="10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24" t="e">
        <f ca="1">STRCHECKDATE(V48:AR48)</f>
        <v>#NAME?</v>
      </c>
      <c r="AV47" s="29" t="str">
        <f t="shared" si="1"/>
        <v/>
      </c>
      <c r="AY47" s="3">
        <v>23</v>
      </c>
    </row>
    <row r="48" spans="1:51" ht="0" hidden="1" customHeight="1">
      <c r="A48" s="284" t="s">
        <v>179</v>
      </c>
      <c r="B48" s="284" t="s">
        <v>180</v>
      </c>
      <c r="C48" s="284" t="s">
        <v>181</v>
      </c>
      <c r="D48" s="284" t="s">
        <v>466</v>
      </c>
      <c r="E48" s="1001"/>
      <c r="F48" s="1001"/>
      <c r="G48" s="1001"/>
      <c r="H48" s="1001"/>
      <c r="I48" s="1003"/>
      <c r="J48" s="1003"/>
      <c r="K48" s="1002"/>
      <c r="P48" s="885"/>
      <c r="Q48" s="885"/>
      <c r="R48" s="240"/>
      <c r="S48" s="209"/>
      <c r="T48" s="228"/>
      <c r="U48" s="228"/>
      <c r="V48" s="261"/>
      <c r="W48" s="261"/>
      <c r="X48" s="261"/>
      <c r="Y48" s="261"/>
      <c r="Z48" s="261"/>
      <c r="AA48" s="261"/>
      <c r="AB48" s="247" t="str">
        <f>AC47&amp;"-"&amp;AE47</f>
        <v>-</v>
      </c>
      <c r="AC48" s="998"/>
      <c r="AD48" s="998"/>
      <c r="AE48" s="998"/>
      <c r="AF48" s="998"/>
      <c r="AG48" s="244"/>
      <c r="AH48" s="244"/>
      <c r="AI48" s="244"/>
      <c r="AJ48" s="244"/>
      <c r="AK48" s="244"/>
      <c r="AL48" s="244"/>
      <c r="AM48" s="247" t="str">
        <f>AN47&amp;"-"&amp;AP47</f>
        <v>-</v>
      </c>
      <c r="AN48" s="1006"/>
      <c r="AO48" s="895"/>
      <c r="AP48" s="1008"/>
      <c r="AQ48" s="895"/>
      <c r="AR48" s="359"/>
      <c r="AS48" s="1074"/>
      <c r="AV48" s="29" t="str">
        <f t="shared" si="1"/>
        <v/>
      </c>
      <c r="AY48" s="3">
        <v>0</v>
      </c>
    </row>
    <row r="49" spans="1:51" ht="21" customHeight="1">
      <c r="A49" s="284" t="s">
        <v>179</v>
      </c>
      <c r="B49" s="284" t="s">
        <v>180</v>
      </c>
      <c r="C49" s="284" t="s">
        <v>181</v>
      </c>
      <c r="D49" s="284" t="s">
        <v>466</v>
      </c>
      <c r="E49" s="1001"/>
      <c r="F49" s="1001"/>
      <c r="G49" s="1001"/>
      <c r="H49" s="1001"/>
      <c r="I49" s="1003"/>
      <c r="J49" s="1002"/>
      <c r="P49" s="885"/>
      <c r="Q49" s="885"/>
      <c r="R49" s="238"/>
      <c r="S49" s="249"/>
      <c r="T49" s="252" t="s">
        <v>409</v>
      </c>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230" t="s">
        <v>410</v>
      </c>
      <c r="AV49" s="29" t="str">
        <f t="shared" si="1"/>
        <v>Добавить значение признака дифференциации</v>
      </c>
      <c r="AY49" s="3">
        <v>20</v>
      </c>
    </row>
    <row r="50" spans="1:51" ht="21.95" customHeight="1">
      <c r="A50" s="284" t="s">
        <v>179</v>
      </c>
      <c r="B50" s="284" t="s">
        <v>180</v>
      </c>
      <c r="C50" s="284" t="s">
        <v>181</v>
      </c>
      <c r="D50" s="284" t="s">
        <v>466</v>
      </c>
      <c r="E50" s="1001"/>
      <c r="F50" s="1001"/>
      <c r="G50" s="1001"/>
      <c r="H50" s="1001"/>
      <c r="I50" s="1002"/>
      <c r="P50" s="885"/>
      <c r="R50" s="238"/>
      <c r="S50" s="249"/>
      <c r="T50" s="255" t="s">
        <v>335</v>
      </c>
      <c r="U50" s="54"/>
      <c r="V50" s="54"/>
      <c r="W50" s="54"/>
      <c r="X50" s="54"/>
      <c r="Y50" s="54"/>
      <c r="Z50" s="54"/>
      <c r="AA50" s="54"/>
      <c r="AB50" s="54"/>
      <c r="AC50" s="54"/>
      <c r="AD50" s="54"/>
      <c r="AE50" s="54"/>
      <c r="AF50" s="253"/>
      <c r="AG50" s="54"/>
      <c r="AH50" s="54"/>
      <c r="AI50" s="54"/>
      <c r="AJ50" s="54"/>
      <c r="AK50" s="54"/>
      <c r="AL50" s="54"/>
      <c r="AM50" s="54"/>
      <c r="AN50" s="54"/>
      <c r="AO50" s="54"/>
      <c r="AP50" s="54"/>
      <c r="AQ50" s="253"/>
      <c r="AR50" s="54"/>
      <c r="AS50" s="360"/>
      <c r="AV50" s="29" t="str">
        <f t="shared" si="1"/>
        <v>Добавить группу потребителей</v>
      </c>
      <c r="AY50" s="3">
        <v>21</v>
      </c>
    </row>
    <row r="51" spans="1:51" ht="21.95" customHeight="1">
      <c r="A51" s="284" t="s">
        <v>179</v>
      </c>
      <c r="B51" s="284" t="s">
        <v>180</v>
      </c>
      <c r="C51" s="284" t="s">
        <v>181</v>
      </c>
      <c r="D51" s="284" t="s">
        <v>466</v>
      </c>
      <c r="E51" s="1001"/>
      <c r="F51" s="1001"/>
      <c r="G51" s="1001"/>
      <c r="H51" s="1000"/>
      <c r="R51" s="225"/>
      <c r="S51" s="249"/>
      <c r="T51" s="361" t="s">
        <v>411</v>
      </c>
      <c r="U51" s="54"/>
      <c r="V51" s="54"/>
      <c r="W51" s="54"/>
      <c r="X51" s="54"/>
      <c r="Y51" s="54"/>
      <c r="Z51" s="54"/>
      <c r="AA51" s="54"/>
      <c r="AB51" s="54"/>
      <c r="AC51" s="54"/>
      <c r="AD51" s="54"/>
      <c r="AE51" s="54"/>
      <c r="AF51" s="253"/>
      <c r="AG51" s="54"/>
      <c r="AH51" s="54"/>
      <c r="AI51" s="54"/>
      <c r="AJ51" s="54"/>
      <c r="AK51" s="54"/>
      <c r="AL51" s="54"/>
      <c r="AM51" s="54"/>
      <c r="AN51" s="54"/>
      <c r="AO51" s="54"/>
      <c r="AP51" s="54"/>
      <c r="AQ51" s="253"/>
      <c r="AR51" s="54"/>
      <c r="AS51" s="254"/>
      <c r="AV51" s="29" t="str">
        <f t="shared" si="1"/>
        <v>Добавить наименование признака дифференциации</v>
      </c>
      <c r="AY51" s="3">
        <v>21</v>
      </c>
    </row>
    <row r="52" spans="1:51" ht="0" hidden="1" customHeight="1">
      <c r="A52" s="21" t="s">
        <v>179</v>
      </c>
      <c r="B52" s="21" t="s">
        <v>180</v>
      </c>
      <c r="E52" s="1001"/>
      <c r="F52" s="1000"/>
      <c r="T52" s="260" t="s">
        <v>338</v>
      </c>
      <c r="AV52" s="29" t="str">
        <f t="shared" si="1"/>
        <v>Добавить централизованную систему для дифференциации</v>
      </c>
      <c r="AY52" s="24">
        <v>0</v>
      </c>
    </row>
    <row r="53" spans="1:51" ht="0" hidden="1" customHeight="1">
      <c r="A53" s="21" t="s">
        <v>179</v>
      </c>
      <c r="E53" s="1000"/>
      <c r="T53" s="260" t="s">
        <v>339</v>
      </c>
      <c r="AV53" s="29" t="str">
        <f t="shared" si="1"/>
        <v>Добавить территорию для дифференциации</v>
      </c>
      <c r="AY53" s="24">
        <v>0</v>
      </c>
    </row>
    <row r="54" spans="1:51" ht="0" hidden="1" customHeight="1">
      <c r="T54" s="260" t="s">
        <v>371</v>
      </c>
      <c r="AV54" s="29" t="str">
        <f t="shared" si="1"/>
        <v>Добавить наименование тарифа</v>
      </c>
      <c r="AY54" s="24">
        <v>0</v>
      </c>
    </row>
    <row r="55" spans="1:51" ht="11.45" customHeight="1">
      <c r="AY55" s="3">
        <v>11</v>
      </c>
    </row>
    <row r="56" spans="1:51" ht="14.65" customHeight="1">
      <c r="T56" s="885"/>
      <c r="U56" s="885"/>
      <c r="V56" s="885"/>
      <c r="W56" s="885"/>
      <c r="X56" s="885"/>
      <c r="Y56" s="885"/>
      <c r="Z56" s="885"/>
      <c r="AA56" s="885"/>
      <c r="AB56" s="885"/>
      <c r="AC56" s="885"/>
      <c r="AD56" s="885"/>
      <c r="AE56" s="885"/>
      <c r="AF56" s="885"/>
      <c r="AG56" s="885"/>
      <c r="AH56" s="885"/>
      <c r="AI56" s="885"/>
      <c r="AJ56" s="885"/>
      <c r="AK56" s="885"/>
      <c r="AL56" s="885"/>
      <c r="AM56" s="885"/>
      <c r="AN56" s="885"/>
      <c r="AO56" s="885"/>
      <c r="AP56" s="885"/>
      <c r="AQ56" s="885"/>
      <c r="AR56" s="885"/>
      <c r="AS56" s="885"/>
      <c r="AY56" s="3">
        <v>14</v>
      </c>
    </row>
    <row r="57" spans="1:51" ht="14.65" customHeight="1">
      <c r="AY57" s="3">
        <v>14</v>
      </c>
    </row>
    <row r="58" spans="1:51" ht="14.65" customHeight="1">
      <c r="T58" s="885"/>
      <c r="U58" s="885"/>
      <c r="V58" s="885"/>
      <c r="W58" s="885"/>
      <c r="X58" s="885"/>
      <c r="Y58" s="885"/>
      <c r="Z58" s="885"/>
      <c r="AA58" s="885"/>
      <c r="AB58" s="885"/>
      <c r="AC58" s="885"/>
      <c r="AD58" s="885"/>
      <c r="AE58" s="885"/>
      <c r="AF58" s="885"/>
      <c r="AG58" s="885"/>
      <c r="AH58" s="885"/>
      <c r="AI58" s="885"/>
      <c r="AJ58" s="885"/>
      <c r="AK58" s="885"/>
      <c r="AL58" s="885"/>
      <c r="AM58" s="885"/>
      <c r="AN58" s="885"/>
      <c r="AO58" s="885"/>
      <c r="AP58" s="885"/>
      <c r="AQ58" s="885"/>
      <c r="AR58" s="885"/>
      <c r="AS58" s="885"/>
      <c r="AY58" s="3">
        <v>14</v>
      </c>
    </row>
    <row r="59" spans="1:51" ht="22.5" hidden="1" customHeight="1">
      <c r="A59" s="11" t="s">
        <v>18</v>
      </c>
      <c r="B59" s="11">
        <v>0</v>
      </c>
      <c r="C59" s="11">
        <v>0</v>
      </c>
      <c r="D59" s="11">
        <v>0</v>
      </c>
      <c r="E59" s="11">
        <v>0</v>
      </c>
      <c r="F59" s="11">
        <v>0</v>
      </c>
      <c r="G59" s="11">
        <v>0</v>
      </c>
      <c r="H59" s="11">
        <v>0</v>
      </c>
      <c r="I59" s="11">
        <v>0</v>
      </c>
      <c r="J59" s="11">
        <v>0</v>
      </c>
      <c r="K59" s="11">
        <v>0</v>
      </c>
      <c r="L59" s="171">
        <v>0</v>
      </c>
      <c r="M59" s="13">
        <v>0</v>
      </c>
      <c r="N59" s="13">
        <v>0</v>
      </c>
      <c r="O59" s="13">
        <v>0</v>
      </c>
      <c r="P59" s="287">
        <v>3</v>
      </c>
      <c r="Q59" s="288">
        <v>3</v>
      </c>
      <c r="R59" s="288">
        <v>3</v>
      </c>
      <c r="S59" s="9">
        <v>12</v>
      </c>
      <c r="T59" s="3">
        <v>35</v>
      </c>
      <c r="U59" s="3">
        <v>0</v>
      </c>
      <c r="V59" s="3">
        <v>0</v>
      </c>
      <c r="W59" s="3">
        <v>0</v>
      </c>
      <c r="X59" s="3">
        <v>0</v>
      </c>
      <c r="Y59" s="3">
        <v>0</v>
      </c>
      <c r="Z59" s="3">
        <v>0</v>
      </c>
      <c r="AA59" s="3">
        <v>0</v>
      </c>
      <c r="AB59" s="3">
        <v>0</v>
      </c>
      <c r="AC59" s="3">
        <v>0</v>
      </c>
      <c r="AD59" s="3">
        <v>0</v>
      </c>
      <c r="AE59" s="3">
        <v>0</v>
      </c>
      <c r="AF59" s="3">
        <v>0</v>
      </c>
      <c r="AG59" s="3">
        <v>19</v>
      </c>
      <c r="AH59" s="3">
        <v>19</v>
      </c>
      <c r="AI59" s="3">
        <v>19</v>
      </c>
      <c r="AJ59" s="3">
        <v>19</v>
      </c>
      <c r="AK59" s="3">
        <v>19</v>
      </c>
      <c r="AL59" s="3">
        <v>19</v>
      </c>
      <c r="AM59" s="3">
        <v>19</v>
      </c>
      <c r="AN59" s="3">
        <v>11</v>
      </c>
      <c r="AO59" s="3">
        <v>3</v>
      </c>
      <c r="AP59" s="3">
        <v>11</v>
      </c>
      <c r="AQ59" s="3">
        <v>0</v>
      </c>
      <c r="AR59" s="3">
        <v>4</v>
      </c>
      <c r="AS59" s="3">
        <v>115</v>
      </c>
      <c r="AT59" s="24">
        <v>10</v>
      </c>
      <c r="AU59" s="24">
        <v>10</v>
      </c>
      <c r="AV59" s="24">
        <v>10</v>
      </c>
      <c r="AW59" s="24">
        <v>10</v>
      </c>
      <c r="AX59" s="24">
        <v>10</v>
      </c>
      <c r="AY59" s="3">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hidden="1" customWidth="1"/>
    <col min="2" max="2" width="11" hidden="1" customWidth="1"/>
    <col min="3" max="3" width="10.5703125" hidden="1"/>
    <col min="4" max="4" width="12.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7" width="3.7109375" hidden="1" customWidth="1"/>
    <col min="18" max="18" width="3" customWidth="1"/>
    <col min="19" max="19" width="12" customWidth="1"/>
    <col min="20" max="20" width="31" customWidth="1"/>
    <col min="21" max="21" width="0.140625" customWidth="1"/>
    <col min="22" max="25" width="21.7109375" hidden="1" customWidth="1"/>
    <col min="26" max="26" width="11.7109375" hidden="1" customWidth="1"/>
    <col min="27" max="27" width="3.7109375" hidden="1" customWidth="1"/>
    <col min="28" max="28" width="11.7109375" hidden="1" customWidth="1"/>
    <col min="29" max="29" width="8.5703125" hidden="1" customWidth="1"/>
    <col min="30" max="30" width="3.7109375" customWidth="1"/>
    <col min="31" max="32" width="3" customWidth="1"/>
    <col min="33" max="33" width="24" customWidth="1"/>
    <col min="34" max="34" width="3.7109375" customWidth="1"/>
    <col min="35" max="36" width="3" customWidth="1"/>
    <col min="37" max="37" width="24" customWidth="1"/>
    <col min="38" max="38" width="3.7109375" customWidth="1"/>
    <col min="39" max="40" width="3" customWidth="1"/>
    <col min="41" max="41" width="18" customWidth="1"/>
    <col min="42" max="42" width="3.7109375" customWidth="1"/>
    <col min="43" max="44" width="3" customWidth="1"/>
    <col min="45" max="45" width="18" customWidth="1"/>
    <col min="46" max="49" width="21" customWidth="1"/>
    <col min="50" max="50" width="11" customWidth="1"/>
    <col min="51" max="51" width="3.7109375" customWidth="1"/>
    <col min="52" max="52" width="11" customWidth="1"/>
    <col min="53" max="53" width="8.5703125" hidden="1" customWidth="1"/>
    <col min="54" max="54" width="4" customWidth="1"/>
    <col min="55" max="55" width="115" customWidth="1"/>
    <col min="56" max="60" width="10" customWidth="1"/>
    <col min="61" max="61" width="10.5703125" hidden="1"/>
  </cols>
  <sheetData>
    <row r="1" spans="5:61" ht="22.5" hidden="1" customHeight="1">
      <c r="BI1" s="3" t="s">
        <v>1</v>
      </c>
    </row>
    <row r="2" spans="5:61" ht="21" hidden="1" customHeight="1">
      <c r="E2" s="1000">
        <v>1</v>
      </c>
      <c r="R2" s="225"/>
      <c r="S2" s="226" t="e">
        <f>INDEX(PT_DIFFERENTIATION_NUM_NTAR,MATCH(A2,PT_DIFFERENTIATION_NTAR_ID,0))</f>
        <v>#N/A</v>
      </c>
      <c r="T2" s="227" t="s">
        <v>48</v>
      </c>
      <c r="U2" s="228"/>
      <c r="V2" s="996"/>
      <c r="W2" s="996"/>
      <c r="X2" s="996"/>
      <c r="Y2" s="996"/>
      <c r="Z2" s="996"/>
      <c r="AA2" s="996"/>
      <c r="AB2" s="996"/>
      <c r="AC2" s="997"/>
      <c r="AD2" s="995" t="e">
        <f>INDEX(PT_DIFFERENTIATION_NTAR,MATCH(A2,PT_DIFFERENTIATION_NTAR_ID,0))</f>
        <v>#N/A</v>
      </c>
      <c r="AE2" s="996"/>
      <c r="AF2" s="996"/>
      <c r="AG2" s="996"/>
      <c r="AH2" s="996"/>
      <c r="AI2" s="996"/>
      <c r="AJ2" s="996"/>
      <c r="AK2" s="996"/>
      <c r="AL2" s="996"/>
      <c r="AM2" s="996"/>
      <c r="AN2" s="996"/>
      <c r="AO2" s="996"/>
      <c r="AP2" s="996"/>
      <c r="AQ2" s="996"/>
      <c r="AR2" s="996"/>
      <c r="AS2" s="996"/>
      <c r="AT2" s="996"/>
      <c r="AU2" s="996"/>
      <c r="AV2" s="996"/>
      <c r="AW2" s="996"/>
      <c r="AX2" s="996"/>
      <c r="AY2" s="996"/>
      <c r="AZ2" s="996"/>
      <c r="BA2" s="996"/>
      <c r="BB2" s="997"/>
      <c r="BC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F2" s="29" t="str">
        <f t="shared" ref="BF2:BF8" si="0">IF(T2="","",T2)</f>
        <v>Наименование тарифа</v>
      </c>
      <c r="BI2" s="3">
        <v>0</v>
      </c>
    </row>
    <row r="3" spans="5:61" ht="21" hidden="1" customHeight="1">
      <c r="E3" s="1001"/>
      <c r="F3" s="1000">
        <v>1</v>
      </c>
      <c r="Q3" s="328"/>
      <c r="R3" s="232"/>
      <c r="S3" s="226" t="e">
        <f>INDEX(PT_DIFFERENTIATION_NUM_TER,MATCH(B3,PT_DIFFERENTIATION_TER_ID,0))</f>
        <v>#N/A</v>
      </c>
      <c r="T3" s="233" t="s">
        <v>320</v>
      </c>
      <c r="U3" s="228"/>
      <c r="V3" s="996"/>
      <c r="W3" s="996"/>
      <c r="X3" s="996"/>
      <c r="Y3" s="996"/>
      <c r="Z3" s="996"/>
      <c r="AA3" s="996"/>
      <c r="AB3" s="996"/>
      <c r="AC3" s="997"/>
      <c r="AD3" s="995" t="e">
        <f>INDEX(PT_DIFFERENTIATION_TER,MATCH(B3,PT_DIFFERENTIATION_TER_ID,0))</f>
        <v>#N/A</v>
      </c>
      <c r="AE3" s="996"/>
      <c r="AF3" s="996"/>
      <c r="AG3" s="996"/>
      <c r="AH3" s="996"/>
      <c r="AI3" s="996"/>
      <c r="AJ3" s="996"/>
      <c r="AK3" s="996"/>
      <c r="AL3" s="996"/>
      <c r="AM3" s="996"/>
      <c r="AN3" s="996"/>
      <c r="AO3" s="996"/>
      <c r="AP3" s="996"/>
      <c r="AQ3" s="996"/>
      <c r="AR3" s="996"/>
      <c r="AS3" s="996"/>
      <c r="AT3" s="996"/>
      <c r="AU3" s="996"/>
      <c r="AV3" s="996"/>
      <c r="AW3" s="996"/>
      <c r="AX3" s="996"/>
      <c r="AY3" s="996"/>
      <c r="AZ3" s="996"/>
      <c r="BA3" s="996"/>
      <c r="BB3" s="997"/>
      <c r="BC3" s="230" t="s">
        <v>321</v>
      </c>
      <c r="BF3" s="29" t="str">
        <f t="shared" si="0"/>
        <v>Территория действия тарифа</v>
      </c>
      <c r="BI3" s="3">
        <v>0</v>
      </c>
    </row>
    <row r="4" spans="5:61" ht="33.75" hidden="1" customHeight="1">
      <c r="E4" s="1001"/>
      <c r="F4" s="1001"/>
      <c r="G4" s="1000">
        <v>1</v>
      </c>
      <c r="Q4" s="328"/>
      <c r="R4" s="232"/>
      <c r="S4" s="226" t="e">
        <f>INDEX(PT_DIFFERENTIATION_NUM_CS,MATCH(C4,PT_DIFFERENTIATION_CS_ID,0))</f>
        <v>#N/A</v>
      </c>
      <c r="T4" s="234" t="s">
        <v>453</v>
      </c>
      <c r="U4" s="228"/>
      <c r="V4" s="996"/>
      <c r="W4" s="996"/>
      <c r="X4" s="996"/>
      <c r="Y4" s="996"/>
      <c r="Z4" s="996"/>
      <c r="AA4" s="996"/>
      <c r="AB4" s="996"/>
      <c r="AC4" s="997"/>
      <c r="AD4" s="995" t="e">
        <f>INDEX(PT_DIFFERENTIATION_CS,MATCH(C4,PT_DIFFERENTIATION_CS_ID,0))</f>
        <v>#N/A</v>
      </c>
      <c r="AE4" s="996"/>
      <c r="AF4" s="996"/>
      <c r="AG4" s="996"/>
      <c r="AH4" s="996"/>
      <c r="AI4" s="996"/>
      <c r="AJ4" s="996"/>
      <c r="AK4" s="996"/>
      <c r="AL4" s="996"/>
      <c r="AM4" s="996"/>
      <c r="AN4" s="996"/>
      <c r="AO4" s="996"/>
      <c r="AP4" s="996"/>
      <c r="AQ4" s="996"/>
      <c r="AR4" s="996"/>
      <c r="AS4" s="996"/>
      <c r="AT4" s="996"/>
      <c r="AU4" s="996"/>
      <c r="AV4" s="996"/>
      <c r="AW4" s="996"/>
      <c r="AX4" s="996"/>
      <c r="AY4" s="996"/>
      <c r="AZ4" s="996"/>
      <c r="BA4" s="996"/>
      <c r="BB4" s="997"/>
      <c r="BC4" s="230" t="s">
        <v>454</v>
      </c>
      <c r="BF4" s="29" t="str">
        <f t="shared" si="0"/>
        <v>Наименование централизованной системы горячего водоснабжения</v>
      </c>
      <c r="BI4" s="3">
        <v>0</v>
      </c>
    </row>
    <row r="5" spans="5:61" ht="14.25" hidden="1" customHeight="1">
      <c r="E5" s="1001"/>
      <c r="F5" s="1001"/>
      <c r="G5" s="1001"/>
      <c r="H5" s="1000">
        <v>1</v>
      </c>
      <c r="Q5" s="366"/>
      <c r="R5" s="240"/>
      <c r="S5" s="124"/>
      <c r="T5" s="367"/>
      <c r="U5" s="295"/>
      <c r="V5" s="1032"/>
      <c r="W5" s="1032"/>
      <c r="X5" s="1032"/>
      <c r="Y5" s="1032"/>
      <c r="Z5" s="1032"/>
      <c r="AA5" s="1032"/>
      <c r="AB5" s="1032"/>
      <c r="AC5" s="1033"/>
      <c r="AD5" s="1031"/>
      <c r="AE5" s="1032"/>
      <c r="AF5" s="1032"/>
      <c r="AG5" s="1032"/>
      <c r="AH5" s="1032"/>
      <c r="AI5" s="1032"/>
      <c r="AJ5" s="1032"/>
      <c r="AK5" s="1032"/>
      <c r="AL5" s="1032"/>
      <c r="AM5" s="1032"/>
      <c r="AN5" s="1032"/>
      <c r="AO5" s="1032"/>
      <c r="AP5" s="1032"/>
      <c r="AQ5" s="1032"/>
      <c r="AR5" s="1032"/>
      <c r="AS5" s="1032"/>
      <c r="AT5" s="1032"/>
      <c r="AU5" s="1032"/>
      <c r="AV5" s="1032"/>
      <c r="AW5" s="1032"/>
      <c r="AX5" s="1032"/>
      <c r="AY5" s="1032"/>
      <c r="AZ5" s="1032"/>
      <c r="BA5" s="1032"/>
      <c r="BB5" s="1033"/>
      <c r="BC5" s="297" t="s">
        <v>325</v>
      </c>
      <c r="BF5" s="29" t="str">
        <f t="shared" si="0"/>
        <v/>
      </c>
      <c r="BI5" s="24">
        <v>0</v>
      </c>
    </row>
    <row r="6" spans="5:61" ht="14.25" hidden="1" customHeight="1">
      <c r="E6" s="1001"/>
      <c r="F6" s="1001"/>
      <c r="G6" s="1001"/>
      <c r="H6" s="1001"/>
      <c r="I6" s="1002" t="str">
        <f>S5&amp;".1"</f>
        <v>.1</v>
      </c>
      <c r="L6" s="302" t="s">
        <v>326</v>
      </c>
      <c r="P6" s="1004">
        <v>1</v>
      </c>
      <c r="R6" s="238"/>
      <c r="S6" s="124"/>
      <c r="T6" s="294"/>
      <c r="U6" s="295"/>
      <c r="V6" s="1032"/>
      <c r="W6" s="1032"/>
      <c r="X6" s="1032"/>
      <c r="Y6" s="1032"/>
      <c r="Z6" s="1032"/>
      <c r="AA6" s="1032"/>
      <c r="AB6" s="1032"/>
      <c r="AC6" s="1033"/>
      <c r="AD6" s="1031"/>
      <c r="AE6" s="1032"/>
      <c r="AF6" s="1032"/>
      <c r="AG6" s="1032"/>
      <c r="AH6" s="1032"/>
      <c r="AI6" s="1032"/>
      <c r="AJ6" s="1032"/>
      <c r="AK6" s="1032"/>
      <c r="AL6" s="1032"/>
      <c r="AM6" s="1032"/>
      <c r="AN6" s="1032"/>
      <c r="AO6" s="1032"/>
      <c r="AP6" s="1032"/>
      <c r="AQ6" s="1032"/>
      <c r="AR6" s="1032"/>
      <c r="AS6" s="1032"/>
      <c r="AT6" s="1032"/>
      <c r="AU6" s="1032"/>
      <c r="AV6" s="1032"/>
      <c r="AW6" s="1032"/>
      <c r="AX6" s="1032"/>
      <c r="AY6" s="1032"/>
      <c r="AZ6" s="1032"/>
      <c r="BA6" s="1032"/>
      <c r="BB6" s="1033"/>
      <c r="BC6" s="297"/>
      <c r="BF6" s="29" t="str">
        <f t="shared" si="0"/>
        <v/>
      </c>
      <c r="BI6" s="24">
        <v>0</v>
      </c>
    </row>
    <row r="7" spans="5:61" ht="14.25" hidden="1" customHeight="1">
      <c r="E7" s="1001"/>
      <c r="F7" s="1001"/>
      <c r="G7" s="1001"/>
      <c r="H7" s="1001"/>
      <c r="I7" s="1003"/>
      <c r="J7" s="1002" t="str">
        <f>S5&amp;".1"</f>
        <v>.1</v>
      </c>
      <c r="P7" s="885"/>
      <c r="Q7" s="1004">
        <v>1</v>
      </c>
      <c r="R7" s="240"/>
      <c r="S7" s="124"/>
      <c r="T7" s="329"/>
      <c r="U7" s="295"/>
      <c r="V7" s="1032"/>
      <c r="W7" s="1032"/>
      <c r="X7" s="1032"/>
      <c r="Y7" s="1032"/>
      <c r="Z7" s="1032"/>
      <c r="AA7" s="1032"/>
      <c r="AB7" s="1032"/>
      <c r="AC7" s="1033"/>
      <c r="AD7" s="1031"/>
      <c r="AE7" s="1032"/>
      <c r="AF7" s="1032"/>
      <c r="AG7" s="1032"/>
      <c r="AH7" s="1032"/>
      <c r="AI7" s="1032"/>
      <c r="AJ7" s="1032"/>
      <c r="AK7" s="1032"/>
      <c r="AL7" s="1032"/>
      <c r="AM7" s="1032"/>
      <c r="AN7" s="1032"/>
      <c r="AO7" s="1032"/>
      <c r="AP7" s="1032"/>
      <c r="AQ7" s="1032"/>
      <c r="AR7" s="1032"/>
      <c r="AS7" s="1032"/>
      <c r="AT7" s="1032"/>
      <c r="AU7" s="1032"/>
      <c r="AV7" s="1032"/>
      <c r="AW7" s="1032"/>
      <c r="AX7" s="1032"/>
      <c r="AY7" s="1032"/>
      <c r="AZ7" s="1032"/>
      <c r="BA7" s="1032"/>
      <c r="BB7" s="1033"/>
      <c r="BC7" s="297"/>
      <c r="BF7" s="29" t="str">
        <f t="shared" si="0"/>
        <v/>
      </c>
      <c r="BI7" s="24">
        <v>0</v>
      </c>
    </row>
    <row r="8" spans="5:61" ht="11.25" hidden="1" customHeight="1">
      <c r="E8" s="1001"/>
      <c r="F8" s="1001"/>
      <c r="G8" s="1001"/>
      <c r="H8" s="1001"/>
      <c r="I8" s="1003"/>
      <c r="J8" s="1003"/>
      <c r="K8" s="1002" t="e">
        <f>S4&amp;".1"</f>
        <v>#N/A</v>
      </c>
      <c r="P8" s="885"/>
      <c r="Q8" s="885"/>
      <c r="R8" s="1060">
        <v>1</v>
      </c>
      <c r="S8" s="1057" t="e">
        <f>$K8</f>
        <v>#N/A</v>
      </c>
      <c r="T8" s="1077"/>
      <c r="U8" s="228"/>
      <c r="V8" s="243"/>
      <c r="W8" s="245"/>
      <c r="X8" s="243"/>
      <c r="Y8" s="245"/>
      <c r="Z8" s="246"/>
      <c r="AA8" s="56" t="s">
        <v>17</v>
      </c>
      <c r="AB8" s="246"/>
      <c r="AC8" s="56" t="s">
        <v>17</v>
      </c>
      <c r="AD8" s="948" t="s">
        <v>17</v>
      </c>
      <c r="AE8" s="1053"/>
      <c r="AF8" s="958">
        <v>1</v>
      </c>
      <c r="AG8" s="1076"/>
      <c r="AH8" s="895" t="s">
        <v>17</v>
      </c>
      <c r="AI8" s="1053"/>
      <c r="AJ8" s="958">
        <v>1</v>
      </c>
      <c r="AK8" s="1067" t="s">
        <v>4</v>
      </c>
      <c r="AL8" s="895" t="s">
        <v>17</v>
      </c>
      <c r="AM8" s="936"/>
      <c r="AN8" s="958">
        <v>1</v>
      </c>
      <c r="AO8" s="1080"/>
      <c r="AP8" s="1081" t="s">
        <v>17</v>
      </c>
      <c r="AQ8" s="332"/>
      <c r="AR8" s="118">
        <v>1</v>
      </c>
      <c r="AS8" s="15" t="s">
        <v>4</v>
      </c>
      <c r="AT8" s="243"/>
      <c r="AU8" s="245"/>
      <c r="AV8" s="243"/>
      <c r="AW8" s="245"/>
      <c r="AX8" s="246"/>
      <c r="AY8" s="56" t="s">
        <v>17</v>
      </c>
      <c r="AZ8" s="246"/>
      <c r="BA8" s="56" t="s">
        <v>17</v>
      </c>
      <c r="BB8" s="285"/>
      <c r="BC8" s="1023" t="s">
        <v>424</v>
      </c>
      <c r="BF8" s="29" t="str">
        <f t="shared" si="0"/>
        <v/>
      </c>
      <c r="BI8" s="3">
        <v>0</v>
      </c>
    </row>
    <row r="9" spans="5:61" ht="11.25" hidden="1" customHeight="1">
      <c r="E9" s="1001"/>
      <c r="F9" s="1001"/>
      <c r="G9" s="1001"/>
      <c r="H9" s="1001"/>
      <c r="I9" s="1003"/>
      <c r="J9" s="1003"/>
      <c r="K9" s="1002"/>
      <c r="P9" s="885"/>
      <c r="Q9" s="885"/>
      <c r="R9" s="1060"/>
      <c r="S9" s="1058"/>
      <c r="T9" s="1078"/>
      <c r="U9" s="228"/>
      <c r="V9" s="322"/>
      <c r="W9" s="335"/>
      <c r="X9" s="322"/>
      <c r="Y9" s="335"/>
      <c r="Z9" s="322"/>
      <c r="AA9" s="322"/>
      <c r="AB9" s="322"/>
      <c r="AC9" s="322"/>
      <c r="AD9" s="949"/>
      <c r="AE9" s="1053"/>
      <c r="AF9" s="958"/>
      <c r="AG9" s="1076"/>
      <c r="AH9" s="895"/>
      <c r="AI9" s="1053"/>
      <c r="AJ9" s="958"/>
      <c r="AK9" s="1067"/>
      <c r="AL9" s="895"/>
      <c r="AM9" s="941"/>
      <c r="AN9" s="958"/>
      <c r="AO9" s="1080"/>
      <c r="AP9" s="1082"/>
      <c r="AQ9" s="334"/>
      <c r="AR9" s="45"/>
      <c r="AS9" s="45" t="s">
        <v>425</v>
      </c>
      <c r="AT9" s="322"/>
      <c r="AU9" s="335"/>
      <c r="AV9" s="322"/>
      <c r="AW9" s="335"/>
      <c r="AX9" s="322"/>
      <c r="AY9" s="322"/>
      <c r="AZ9" s="322"/>
      <c r="BA9" s="322"/>
      <c r="BB9" s="333"/>
      <c r="BC9" s="1024"/>
      <c r="BI9" s="3">
        <v>0</v>
      </c>
    </row>
    <row r="10" spans="5:61" ht="11.25" hidden="1" customHeight="1">
      <c r="E10" s="1001"/>
      <c r="F10" s="1001"/>
      <c r="G10" s="1001"/>
      <c r="H10" s="1001"/>
      <c r="I10" s="1003"/>
      <c r="J10" s="1003"/>
      <c r="K10" s="1002"/>
      <c r="P10" s="885"/>
      <c r="Q10" s="885"/>
      <c r="R10" s="1060"/>
      <c r="S10" s="1058"/>
      <c r="T10" s="1078"/>
      <c r="U10" s="228"/>
      <c r="V10" s="322"/>
      <c r="W10" s="335"/>
      <c r="X10" s="322"/>
      <c r="Y10" s="335"/>
      <c r="Z10" s="322"/>
      <c r="AA10" s="322"/>
      <c r="AB10" s="322"/>
      <c r="AC10" s="322"/>
      <c r="AD10" s="949"/>
      <c r="AE10" s="1053"/>
      <c r="AF10" s="958"/>
      <c r="AG10" s="1076"/>
      <c r="AH10" s="895"/>
      <c r="AI10" s="1053"/>
      <c r="AJ10" s="958"/>
      <c r="AK10" s="1067"/>
      <c r="AL10" s="895"/>
      <c r="AM10" s="334"/>
      <c r="AN10" s="368"/>
      <c r="AO10" s="368" t="s">
        <v>426</v>
      </c>
      <c r="AP10" s="45"/>
      <c r="AQ10" s="45"/>
      <c r="AR10" s="45"/>
      <c r="AS10" s="322"/>
      <c r="AT10" s="322"/>
      <c r="AU10" s="335"/>
      <c r="AV10" s="322"/>
      <c r="AW10" s="335"/>
      <c r="AX10" s="322"/>
      <c r="AY10" s="322"/>
      <c r="AZ10" s="322"/>
      <c r="BA10" s="322"/>
      <c r="BB10" s="333"/>
      <c r="BC10" s="1024"/>
      <c r="BI10" s="3">
        <v>0</v>
      </c>
    </row>
    <row r="11" spans="5:61" ht="11.25" hidden="1" customHeight="1">
      <c r="E11" s="1001"/>
      <c r="F11" s="1001"/>
      <c r="G11" s="1001"/>
      <c r="H11" s="1001"/>
      <c r="I11" s="1003"/>
      <c r="J11" s="1003"/>
      <c r="K11" s="1002"/>
      <c r="P11" s="885"/>
      <c r="Q11" s="885"/>
      <c r="R11" s="1060"/>
      <c r="S11" s="1058"/>
      <c r="T11" s="1078"/>
      <c r="U11" s="228"/>
      <c r="V11" s="322"/>
      <c r="W11" s="335"/>
      <c r="X11" s="322"/>
      <c r="Y11" s="335"/>
      <c r="Z11" s="322"/>
      <c r="AA11" s="322"/>
      <c r="AB11" s="322"/>
      <c r="AC11" s="322"/>
      <c r="AD11" s="949"/>
      <c r="AE11" s="1053"/>
      <c r="AF11" s="958"/>
      <c r="AG11" s="1076"/>
      <c r="AH11" s="895"/>
      <c r="AI11" s="337"/>
      <c r="AJ11" s="42"/>
      <c r="AK11" s="200" t="s">
        <v>427</v>
      </c>
      <c r="AL11" s="322"/>
      <c r="AM11" s="322"/>
      <c r="AN11" s="322"/>
      <c r="AO11" s="322"/>
      <c r="AP11" s="322"/>
      <c r="AQ11" s="322"/>
      <c r="AR11" s="322"/>
      <c r="AS11" s="322"/>
      <c r="AT11" s="322"/>
      <c r="AU11" s="335"/>
      <c r="AV11" s="322"/>
      <c r="AW11" s="335"/>
      <c r="AX11" s="322"/>
      <c r="AY11" s="322"/>
      <c r="AZ11" s="322"/>
      <c r="BA11" s="322"/>
      <c r="BB11" s="333"/>
      <c r="BC11" s="1024"/>
      <c r="BI11" s="3">
        <v>0</v>
      </c>
    </row>
    <row r="12" spans="5:61" ht="11.25" hidden="1" customHeight="1">
      <c r="E12" s="1001"/>
      <c r="F12" s="1001"/>
      <c r="G12" s="1001"/>
      <c r="H12" s="1001"/>
      <c r="I12" s="1003"/>
      <c r="J12" s="1003"/>
      <c r="K12" s="1002"/>
      <c r="P12" s="885"/>
      <c r="Q12" s="885"/>
      <c r="R12" s="1060"/>
      <c r="S12" s="1059"/>
      <c r="T12" s="1079"/>
      <c r="U12" s="228"/>
      <c r="V12" s="322"/>
      <c r="W12" s="323" t="str">
        <f>Z8&amp;"-"&amp;AB8</f>
        <v>-</v>
      </c>
      <c r="X12" s="322"/>
      <c r="Y12" s="323" t="str">
        <f>AB8&amp;"-"&amp;AD8</f>
        <v>-да</v>
      </c>
      <c r="Z12" s="322"/>
      <c r="AA12" s="322"/>
      <c r="AB12" s="322"/>
      <c r="AC12" s="322"/>
      <c r="AD12" s="900"/>
      <c r="AE12" s="339"/>
      <c r="AF12" s="340"/>
      <c r="AG12" s="45" t="s">
        <v>428</v>
      </c>
      <c r="AH12" s="322"/>
      <c r="AI12" s="322"/>
      <c r="AJ12" s="322"/>
      <c r="AK12" s="322"/>
      <c r="AL12" s="322"/>
      <c r="AM12" s="322"/>
      <c r="AN12" s="322"/>
      <c r="AO12" s="322"/>
      <c r="AP12" s="322"/>
      <c r="AQ12" s="322"/>
      <c r="AR12" s="322"/>
      <c r="AS12" s="322"/>
      <c r="AT12" s="322"/>
      <c r="AU12" s="323" t="str">
        <f>AX8&amp;"-"&amp;AZ8</f>
        <v>-</v>
      </c>
      <c r="AV12" s="322"/>
      <c r="AW12" s="323" t="str">
        <f>AZ8&amp;"-"&amp;BB8</f>
        <v>-</v>
      </c>
      <c r="AX12" s="322"/>
      <c r="AY12" s="322"/>
      <c r="AZ12" s="322"/>
      <c r="BA12" s="322"/>
      <c r="BB12" s="338" t="str">
        <f>BE8&amp;"-"&amp;BG8</f>
        <v>-</v>
      </c>
      <c r="BC12" s="1024"/>
      <c r="BF12" s="29" t="str">
        <f t="shared" ref="BF12:BF18" si="1">IF(T12="","",T12)</f>
        <v/>
      </c>
      <c r="BI12" s="3">
        <v>0</v>
      </c>
    </row>
    <row r="13" spans="5:61" ht="11.25" hidden="1" customHeight="1">
      <c r="E13" s="1001"/>
      <c r="F13" s="1001"/>
      <c r="G13" s="1001"/>
      <c r="H13" s="1001"/>
      <c r="I13" s="1003"/>
      <c r="J13" s="1002"/>
      <c r="P13" s="885"/>
      <c r="Q13" s="885"/>
      <c r="R13" s="238"/>
      <c r="S13" s="249"/>
      <c r="T13" s="252" t="s">
        <v>391</v>
      </c>
      <c r="U13" s="54"/>
      <c r="V13" s="54"/>
      <c r="W13" s="54"/>
      <c r="X13" s="54"/>
      <c r="Y13" s="54"/>
      <c r="Z13" s="54"/>
      <c r="AA13" s="54"/>
      <c r="AB13" s="54"/>
      <c r="AC13" s="54"/>
      <c r="AD13" s="353"/>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251"/>
      <c r="BC13" s="1025"/>
      <c r="BF13" s="29" t="str">
        <f t="shared" si="1"/>
        <v>Добавить строку</v>
      </c>
      <c r="BI13" s="3">
        <v>0</v>
      </c>
    </row>
    <row r="14" spans="5:61" ht="14.25" hidden="1" customHeight="1">
      <c r="E14" s="1001"/>
      <c r="F14" s="1001"/>
      <c r="G14" s="1001"/>
      <c r="H14" s="1001"/>
      <c r="I14" s="1002"/>
      <c r="P14" s="885"/>
      <c r="R14" s="238"/>
      <c r="S14" s="298"/>
      <c r="T14" s="299"/>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1"/>
      <c r="BF14" s="29" t="str">
        <f t="shared" si="1"/>
        <v/>
      </c>
      <c r="BI14" s="24">
        <v>0</v>
      </c>
    </row>
    <row r="15" spans="5:61" ht="14.25" hidden="1" customHeight="1">
      <c r="E15" s="1001"/>
      <c r="F15" s="1001"/>
      <c r="G15" s="1001"/>
      <c r="H15" s="1000"/>
      <c r="R15" s="341"/>
      <c r="S15" s="298"/>
      <c r="T15" s="299"/>
      <c r="U15" s="300"/>
      <c r="V15" s="300"/>
      <c r="W15" s="300"/>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1"/>
      <c r="BF15" s="29" t="str">
        <f t="shared" si="1"/>
        <v/>
      </c>
      <c r="BI15" s="24">
        <v>0</v>
      </c>
    </row>
    <row r="16" spans="5:61" ht="14.25" hidden="1" customHeight="1">
      <c r="E16" s="1001"/>
      <c r="F16" s="1001"/>
      <c r="G16" s="1000"/>
      <c r="BF16" s="29" t="str">
        <f t="shared" si="1"/>
        <v/>
      </c>
      <c r="BI16" s="24">
        <v>0</v>
      </c>
    </row>
    <row r="17" spans="5:61" ht="14.25" hidden="1" customHeight="1">
      <c r="E17" s="1001"/>
      <c r="F17" s="1000"/>
      <c r="T17" s="260" t="s">
        <v>338</v>
      </c>
      <c r="BF17" s="29" t="str">
        <f t="shared" si="1"/>
        <v>Добавить централизованную систему для дифференциации</v>
      </c>
      <c r="BI17" s="24">
        <v>0</v>
      </c>
    </row>
    <row r="18" spans="5:61" ht="14.25" hidden="1" customHeight="1">
      <c r="E18" s="1000"/>
      <c r="T18" s="260" t="s">
        <v>339</v>
      </c>
      <c r="BF18" s="29" t="str">
        <f t="shared" si="1"/>
        <v>Добавить территорию для дифференциации</v>
      </c>
      <c r="BI18" s="24">
        <v>0</v>
      </c>
    </row>
    <row r="19" spans="5:61" ht="14.25" hidden="1" customHeight="1">
      <c r="BI19" s="3">
        <v>0</v>
      </c>
    </row>
    <row r="20" spans="5:61" ht="14.25" hidden="1" customHeight="1">
      <c r="AD20" s="342" t="s">
        <v>3</v>
      </c>
      <c r="AF20" s="342">
        <v>1</v>
      </c>
      <c r="AH20" s="342" t="s">
        <v>3</v>
      </c>
      <c r="AJ20" s="342">
        <v>1</v>
      </c>
      <c r="AL20" s="342" t="s">
        <v>3</v>
      </c>
      <c r="AN20" s="342">
        <v>1</v>
      </c>
      <c r="AP20" s="342" t="s">
        <v>3</v>
      </c>
      <c r="AR20" s="342">
        <v>1</v>
      </c>
      <c r="AT20" s="244"/>
      <c r="AU20" s="292"/>
      <c r="AV20" s="244"/>
      <c r="AW20" s="292"/>
      <c r="AX20" s="346"/>
      <c r="AY20" s="347" t="s">
        <v>17</v>
      </c>
      <c r="AZ20" s="346"/>
      <c r="BA20" s="347" t="s">
        <v>17</v>
      </c>
      <c r="BI20" s="3">
        <v>0</v>
      </c>
    </row>
    <row r="21" spans="5:61" ht="14.25" hidden="1" customHeight="1">
      <c r="BI21" s="3">
        <v>0</v>
      </c>
    </row>
    <row r="22" spans="5:61" ht="14.25" hidden="1" customHeight="1">
      <c r="O22" s="263" t="s">
        <v>340</v>
      </c>
      <c r="Z22" s="290"/>
      <c r="AB22" s="290"/>
      <c r="AX22" s="290"/>
      <c r="AZ22" s="290"/>
      <c r="BI22" s="3">
        <v>0</v>
      </c>
    </row>
    <row r="23" spans="5:61" ht="14.25" hidden="1" customHeight="1">
      <c r="BI23" s="3">
        <v>0</v>
      </c>
    </row>
    <row r="24" spans="5:61" ht="14.25" hidden="1" customHeight="1">
      <c r="O24" s="348" t="s">
        <v>341</v>
      </c>
      <c r="AA24" s="348" t="s">
        <v>343</v>
      </c>
      <c r="AC24" s="348" t="s">
        <v>344</v>
      </c>
      <c r="AD24" s="348" t="s">
        <v>392</v>
      </c>
      <c r="AH24" s="348" t="s">
        <v>392</v>
      </c>
      <c r="AK24" s="348" t="s">
        <v>429</v>
      </c>
      <c r="AL24" s="348" t="s">
        <v>392</v>
      </c>
      <c r="AP24" s="348" t="s">
        <v>392</v>
      </c>
      <c r="AY24" s="348" t="s">
        <v>343</v>
      </c>
      <c r="BA24" s="348" t="s">
        <v>344</v>
      </c>
      <c r="BI24" s="348">
        <v>0</v>
      </c>
    </row>
    <row r="25" spans="5:61" ht="14.25" hidden="1" customHeight="1">
      <c r="BI25" s="3">
        <v>0</v>
      </c>
    </row>
    <row r="26" spans="5:61" ht="14.25" hidden="1" customHeight="1">
      <c r="BI26" s="3">
        <v>0</v>
      </c>
    </row>
    <row r="27" spans="5:61" ht="14.65" customHeight="1">
      <c r="Q27" s="349"/>
      <c r="R27" s="264"/>
      <c r="S27" s="265"/>
      <c r="T27" s="12"/>
      <c r="U27" s="12"/>
      <c r="BI27" s="3">
        <v>14</v>
      </c>
    </row>
    <row r="28" spans="5:61" ht="14.65" customHeight="1">
      <c r="Q28" s="349"/>
      <c r="R28" s="264"/>
      <c r="S28" s="98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982"/>
      <c r="U28" s="982"/>
      <c r="V28" s="982"/>
      <c r="W28" s="982"/>
      <c r="X28" s="982"/>
      <c r="Y28" s="982"/>
      <c r="Z28" s="982"/>
      <c r="AA28" s="982"/>
      <c r="AB28" s="982"/>
      <c r="AC28" s="982"/>
      <c r="AD28" s="982"/>
      <c r="AE28" s="982"/>
      <c r="AF28" s="982"/>
      <c r="AG28" s="982"/>
      <c r="AH28" s="982"/>
      <c r="AI28" s="982"/>
      <c r="AJ28" s="982"/>
      <c r="AK28" s="982"/>
      <c r="AL28" s="982"/>
      <c r="AM28" s="982"/>
      <c r="AN28" s="982"/>
      <c r="AO28" s="982"/>
      <c r="AP28" s="982"/>
      <c r="AQ28" s="982"/>
      <c r="AR28" s="982"/>
      <c r="AS28" s="982"/>
      <c r="AT28" s="982"/>
      <c r="AU28" s="982"/>
      <c r="AV28" s="982"/>
      <c r="AW28" s="982"/>
      <c r="AX28" s="982"/>
      <c r="AY28" s="982"/>
      <c r="AZ28" s="982"/>
      <c r="BI28" s="3">
        <v>14</v>
      </c>
    </row>
    <row r="29" spans="5:61" ht="14.65" customHeight="1">
      <c r="Q29" s="349"/>
      <c r="R29" s="264"/>
      <c r="S29" s="955" t="e">
        <f>IF(org=0,"Не определено",org)</f>
        <v>#REF!</v>
      </c>
      <c r="T29" s="955"/>
      <c r="U29" s="955"/>
      <c r="V29" s="955"/>
      <c r="W29" s="955"/>
      <c r="X29" s="955"/>
      <c r="Y29" s="955"/>
      <c r="Z29" s="955"/>
      <c r="AA29" s="955"/>
      <c r="AB29" s="955"/>
      <c r="AC29" s="955"/>
      <c r="AD29" s="955"/>
      <c r="AE29" s="955"/>
      <c r="AF29" s="955"/>
      <c r="AG29" s="955"/>
      <c r="AH29" s="955"/>
      <c r="AI29" s="955"/>
      <c r="AJ29" s="955"/>
      <c r="AK29" s="955"/>
      <c r="AL29" s="955"/>
      <c r="AM29" s="955"/>
      <c r="AN29" s="955"/>
      <c r="AO29" s="955"/>
      <c r="AP29" s="955"/>
      <c r="AQ29" s="955"/>
      <c r="AR29" s="955"/>
      <c r="AS29" s="955"/>
      <c r="AT29" s="955"/>
      <c r="AU29" s="955"/>
      <c r="AV29" s="955"/>
      <c r="AW29" s="955"/>
      <c r="AX29" s="955"/>
      <c r="AY29" s="955"/>
      <c r="AZ29" s="955"/>
      <c r="BI29" s="3">
        <v>14</v>
      </c>
    </row>
    <row r="30" spans="5:61" ht="14.25" hidden="1" customHeight="1">
      <c r="Q30" s="349"/>
      <c r="R30" s="264"/>
      <c r="S30" s="265"/>
      <c r="T30" s="12"/>
      <c r="U30" s="12"/>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I30" s="3">
        <v>0</v>
      </c>
    </row>
    <row r="31" spans="5:61" ht="25.5" hidden="1" customHeight="1">
      <c r="S31" s="992" t="s">
        <v>9</v>
      </c>
      <c r="T31" s="992"/>
      <c r="U31" s="268"/>
      <c r="V31" s="994" t="e">
        <f>IF(TITLE_NAME_OR_PR_CHANGE="",IF(TITLE_NAME_OR_PR="","",TITLE_NAME_OR_PR),TITLE_NAME_OR_PR_CHANGE)</f>
        <v>#REF!</v>
      </c>
      <c r="W31" s="994"/>
      <c r="X31" s="994"/>
      <c r="Y31" s="994"/>
      <c r="Z31" s="994"/>
      <c r="AA31" s="994"/>
      <c r="AB31" s="994"/>
      <c r="AD31" s="994" t="e">
        <f>IF(TITLE_NAME_OR_PR_CHANGE="",IF(TITLE_NAME_OR_PR="","",TITLE_NAME_OR_PR),TITLE_NAME_OR_PR_CHANGE)</f>
        <v>#REF!</v>
      </c>
      <c r="AE31" s="994"/>
      <c r="AF31" s="994"/>
      <c r="AG31" s="994"/>
      <c r="AH31" s="994"/>
      <c r="AI31" s="994"/>
      <c r="AJ31" s="994"/>
      <c r="AK31" s="994"/>
      <c r="AL31" s="994"/>
      <c r="AM31" s="994"/>
      <c r="AN31" s="994"/>
      <c r="AO31" s="994"/>
      <c r="AP31" s="994"/>
      <c r="AQ31" s="994"/>
      <c r="AR31" s="994"/>
      <c r="AS31" s="994"/>
      <c r="AT31" s="994"/>
      <c r="AU31" s="994"/>
      <c r="AV31" s="994"/>
      <c r="AW31" s="994"/>
      <c r="AX31" s="994"/>
      <c r="AY31" s="994"/>
      <c r="AZ31" s="994"/>
      <c r="BI31" s="50">
        <v>0</v>
      </c>
    </row>
    <row r="32" spans="5:61" ht="18.75" hidden="1" customHeight="1">
      <c r="S32" s="992" t="s">
        <v>346</v>
      </c>
      <c r="T32" s="992"/>
      <c r="U32" s="268"/>
      <c r="V32" s="993" t="e">
        <f>IF(TITLE_DATE_PR_CHANGE="",IF(TITLE_DATE_PR="","",TITLE_DATE_PR),TITLE_DATE_PR_CHANGE)</f>
        <v>#REF!</v>
      </c>
      <c r="W32" s="993"/>
      <c r="X32" s="993"/>
      <c r="Y32" s="993"/>
      <c r="Z32" s="993"/>
      <c r="AA32" s="993"/>
      <c r="AB32" s="993"/>
      <c r="AD32" s="993" t="e">
        <f>IF(TITLE_DATE_PR_CHANGE="",IF(TITLE_DATE_PR="","",TITLE_DATE_PR),TITLE_DATE_PR_CHANGE)</f>
        <v>#REF!</v>
      </c>
      <c r="AE32" s="993"/>
      <c r="AF32" s="993"/>
      <c r="AG32" s="993"/>
      <c r="AH32" s="993"/>
      <c r="AI32" s="993"/>
      <c r="AJ32" s="993"/>
      <c r="AK32" s="993"/>
      <c r="AL32" s="993"/>
      <c r="AM32" s="993"/>
      <c r="AN32" s="993"/>
      <c r="AO32" s="993"/>
      <c r="AP32" s="993"/>
      <c r="AQ32" s="993"/>
      <c r="AR32" s="993"/>
      <c r="AS32" s="993"/>
      <c r="AT32" s="993"/>
      <c r="AU32" s="993"/>
      <c r="AV32" s="993"/>
      <c r="AW32" s="993"/>
      <c r="AX32" s="993"/>
      <c r="AY32" s="993"/>
      <c r="AZ32" s="993"/>
      <c r="BI32" s="50">
        <v>0</v>
      </c>
    </row>
    <row r="33" spans="1:61" ht="18.75" hidden="1" customHeight="1">
      <c r="S33" s="992" t="s">
        <v>347</v>
      </c>
      <c r="T33" s="992"/>
      <c r="U33" s="268"/>
      <c r="V33" s="994" t="e">
        <f>IF(TITLE_NUMBER_PR_CHANGE="",IF(TITLE_NUMBER_PR="","",TITLE_NUMBER_PR),TITLE_NUMBER_PR_CHANGE)</f>
        <v>#REF!</v>
      </c>
      <c r="W33" s="994"/>
      <c r="X33" s="994"/>
      <c r="Y33" s="994"/>
      <c r="Z33" s="994"/>
      <c r="AA33" s="994"/>
      <c r="AB33" s="994"/>
      <c r="AD33" s="994" t="e">
        <f>IF(TITLE_NUMBER_PR_CHANGE="",IF(TITLE_NUMBER_PR="","",TITLE_NUMBER_PR),TITLE_NUMBER_PR_CHANGE)</f>
        <v>#REF!</v>
      </c>
      <c r="AE33" s="994"/>
      <c r="AF33" s="994"/>
      <c r="AG33" s="994"/>
      <c r="AH33" s="994"/>
      <c r="AI33" s="994"/>
      <c r="AJ33" s="994"/>
      <c r="AK33" s="994"/>
      <c r="AL33" s="994"/>
      <c r="AM33" s="994"/>
      <c r="AN33" s="994"/>
      <c r="AO33" s="994"/>
      <c r="AP33" s="994"/>
      <c r="AQ33" s="994"/>
      <c r="AR33" s="994"/>
      <c r="AS33" s="994"/>
      <c r="AT33" s="994"/>
      <c r="AU33" s="994"/>
      <c r="AV33" s="994"/>
      <c r="AW33" s="994"/>
      <c r="AX33" s="994"/>
      <c r="AY33" s="994"/>
      <c r="AZ33" s="994"/>
      <c r="BI33" s="50">
        <v>0</v>
      </c>
    </row>
    <row r="34" spans="1:61" ht="18.75" hidden="1" customHeight="1">
      <c r="S34" s="992" t="s">
        <v>10</v>
      </c>
      <c r="T34" s="992"/>
      <c r="U34" s="268"/>
      <c r="V34" s="994" t="e">
        <f>IF(TITLE_IST_PUB_CHANGE="",IF(TITLE_IST_PUB="","",TITLE_IST_PUB),TITLE_IST_PUB_CHANGE)</f>
        <v>#REF!</v>
      </c>
      <c r="W34" s="994"/>
      <c r="X34" s="994"/>
      <c r="Y34" s="994"/>
      <c r="Z34" s="994"/>
      <c r="AA34" s="994"/>
      <c r="AB34" s="994"/>
      <c r="AD34" s="994" t="e">
        <f>IF(TITLE_IST_PUB_CHANGE="",IF(TITLE_IST_PUB="","",TITLE_IST_PUB),TITLE_IST_PUB_CHANGE)</f>
        <v>#REF!</v>
      </c>
      <c r="AE34" s="994"/>
      <c r="AF34" s="994"/>
      <c r="AG34" s="994"/>
      <c r="AH34" s="994"/>
      <c r="AI34" s="994"/>
      <c r="AJ34" s="994"/>
      <c r="AK34" s="994"/>
      <c r="AL34" s="994"/>
      <c r="AM34" s="994"/>
      <c r="AN34" s="994"/>
      <c r="AO34" s="994"/>
      <c r="AP34" s="994"/>
      <c r="AQ34" s="994"/>
      <c r="AR34" s="994"/>
      <c r="AS34" s="994"/>
      <c r="AT34" s="994"/>
      <c r="AU34" s="994"/>
      <c r="AV34" s="994"/>
      <c r="AW34" s="994"/>
      <c r="AX34" s="994"/>
      <c r="AY34" s="994"/>
      <c r="AZ34" s="994"/>
      <c r="BI34" s="50">
        <v>0</v>
      </c>
    </row>
    <row r="35" spans="1:61" ht="14.25" hidden="1" customHeight="1">
      <c r="Q35" s="349"/>
      <c r="R35" s="264"/>
      <c r="S35" s="265"/>
      <c r="T35" s="12"/>
      <c r="U35" s="12"/>
      <c r="V35" s="266"/>
      <c r="W35" s="266"/>
      <c r="X35" s="266"/>
      <c r="Y35" s="266"/>
      <c r="Z35" s="266"/>
      <c r="AA35" s="266"/>
      <c r="AB35" s="266"/>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I35" s="3">
        <v>0</v>
      </c>
    </row>
    <row r="36" spans="1:61" ht="18.75" hidden="1" customHeight="1">
      <c r="S36" s="992" t="s">
        <v>346</v>
      </c>
      <c r="T36" s="992"/>
      <c r="U36" s="268"/>
      <c r="V36" s="993" t="e">
        <f>IF(TITLE_DATE_PR_CHANGE="",IF(TITLE_DATE_PR="","",TITLE_DATE_PR),TITLE_DATE_PR_CHANGE)</f>
        <v>#REF!</v>
      </c>
      <c r="W36" s="993"/>
      <c r="X36" s="993"/>
      <c r="Y36" s="993"/>
      <c r="Z36" s="993"/>
      <c r="AA36" s="993"/>
      <c r="AB36" s="993"/>
      <c r="AD36" s="993" t="e">
        <f>IF(TITLE_DATE_PR_CHANGE="",IF(TITLE_DATE_PR="","",TITLE_DATE_PR),TITLE_DATE_PR_CHANGE)</f>
        <v>#REF!</v>
      </c>
      <c r="AE36" s="993"/>
      <c r="AF36" s="993"/>
      <c r="AG36" s="993"/>
      <c r="AH36" s="993"/>
      <c r="AI36" s="993"/>
      <c r="AJ36" s="993"/>
      <c r="AK36" s="993"/>
      <c r="AL36" s="993"/>
      <c r="AM36" s="993"/>
      <c r="AN36" s="993"/>
      <c r="AO36" s="993"/>
      <c r="AP36" s="993"/>
      <c r="AQ36" s="993"/>
      <c r="AR36" s="993"/>
      <c r="AS36" s="993"/>
      <c r="AT36" s="993"/>
      <c r="AU36" s="993"/>
      <c r="AV36" s="993"/>
      <c r="AW36" s="993"/>
      <c r="AX36" s="993"/>
      <c r="AY36" s="993"/>
      <c r="AZ36" s="993"/>
      <c r="BI36" s="50">
        <v>0</v>
      </c>
    </row>
    <row r="37" spans="1:61" ht="18.75" hidden="1" customHeight="1">
      <c r="S37" s="992" t="s">
        <v>347</v>
      </c>
      <c r="T37" s="992"/>
      <c r="U37" s="268"/>
      <c r="V37" s="994" t="e">
        <f>IF(TITLE_NUMBER_PR_CHANGE="",IF(TITLE_NUMBER_PR="","",TITLE_NUMBER_PR),TITLE_NUMBER_PR_CHANGE)</f>
        <v>#REF!</v>
      </c>
      <c r="W37" s="994"/>
      <c r="X37" s="994"/>
      <c r="Y37" s="994"/>
      <c r="Z37" s="994"/>
      <c r="AA37" s="994"/>
      <c r="AB37" s="994"/>
      <c r="AD37" s="994" t="e">
        <f>IF(TITLE_NUMBER_PR_CHANGE="",IF(TITLE_NUMBER_PR="","",TITLE_NUMBER_PR),TITLE_NUMBER_PR_CHANGE)</f>
        <v>#REF!</v>
      </c>
      <c r="AE37" s="994"/>
      <c r="AF37" s="994"/>
      <c r="AG37" s="994"/>
      <c r="AH37" s="994"/>
      <c r="AI37" s="994"/>
      <c r="AJ37" s="994"/>
      <c r="AK37" s="994"/>
      <c r="AL37" s="994"/>
      <c r="AM37" s="994"/>
      <c r="AN37" s="994"/>
      <c r="AO37" s="994"/>
      <c r="AP37" s="994"/>
      <c r="AQ37" s="994"/>
      <c r="AR37" s="994"/>
      <c r="AS37" s="994"/>
      <c r="AT37" s="994"/>
      <c r="AU37" s="994"/>
      <c r="AV37" s="994"/>
      <c r="AW37" s="994"/>
      <c r="AX37" s="994"/>
      <c r="AY37" s="994"/>
      <c r="AZ37" s="994"/>
      <c r="BI37" s="50">
        <v>0</v>
      </c>
    </row>
    <row r="38" spans="1:61" ht="0" hidden="1" customHeight="1">
      <c r="AC38" s="24" t="s">
        <v>350</v>
      </c>
      <c r="BA38" s="24" t="s">
        <v>350</v>
      </c>
      <c r="BI38" s="50">
        <v>0</v>
      </c>
    </row>
    <row r="39" spans="1:61" ht="14.65" customHeight="1">
      <c r="Q39" s="349"/>
      <c r="R39" s="264"/>
      <c r="S39" s="265"/>
      <c r="T39" s="12"/>
      <c r="U39" s="270"/>
      <c r="V39" s="1012"/>
      <c r="W39" s="1012"/>
      <c r="X39" s="1012"/>
      <c r="Y39" s="1012"/>
      <c r="Z39" s="1012"/>
      <c r="AA39" s="1012"/>
      <c r="AB39" s="1012"/>
      <c r="AC39" s="1012"/>
      <c r="AD39" s="1012"/>
      <c r="AE39" s="1012"/>
      <c r="AF39" s="1012"/>
      <c r="AG39" s="1012"/>
      <c r="AH39" s="1012"/>
      <c r="AI39" s="1012"/>
      <c r="AJ39" s="1012"/>
      <c r="AK39" s="1012"/>
      <c r="AL39" s="1012"/>
      <c r="AM39" s="1012"/>
      <c r="AN39" s="1012"/>
      <c r="AO39" s="1012"/>
      <c r="AP39" s="1012"/>
      <c r="AQ39" s="1012"/>
      <c r="AR39" s="1012"/>
      <c r="AS39" s="1012"/>
      <c r="AT39" s="1012"/>
      <c r="AU39" s="1012"/>
      <c r="AV39" s="1012"/>
      <c r="AW39" s="1012"/>
      <c r="AX39" s="1012"/>
      <c r="AY39" s="1012"/>
      <c r="AZ39" s="1012"/>
      <c r="BA39" s="1012"/>
      <c r="BI39" s="3">
        <v>14</v>
      </c>
    </row>
    <row r="40" spans="1:61" ht="14.65" customHeight="1">
      <c r="Q40" s="349"/>
      <c r="R40" s="264"/>
      <c r="S40" s="894" t="s">
        <v>223</v>
      </c>
      <c r="T40" s="894"/>
      <c r="U40" s="894"/>
      <c r="V40" s="894"/>
      <c r="W40" s="894"/>
      <c r="X40" s="894"/>
      <c r="Y40" s="894"/>
      <c r="Z40" s="894"/>
      <c r="AA40" s="894"/>
      <c r="AB40" s="894"/>
      <c r="AC40" s="894"/>
      <c r="AD40" s="894"/>
      <c r="AE40" s="894"/>
      <c r="AF40" s="894"/>
      <c r="AG40" s="894"/>
      <c r="AH40" s="894"/>
      <c r="AI40" s="894"/>
      <c r="AJ40" s="894"/>
      <c r="AK40" s="894"/>
      <c r="AL40" s="894"/>
      <c r="AM40" s="894"/>
      <c r="AN40" s="894"/>
      <c r="AO40" s="894"/>
      <c r="AP40" s="894"/>
      <c r="AQ40" s="894"/>
      <c r="AR40" s="894"/>
      <c r="AS40" s="894"/>
      <c r="AT40" s="894"/>
      <c r="AU40" s="894"/>
      <c r="AV40" s="894"/>
      <c r="AW40" s="894"/>
      <c r="AX40" s="894"/>
      <c r="AY40" s="894"/>
      <c r="AZ40" s="894"/>
      <c r="BA40" s="894"/>
      <c r="BB40" s="894"/>
      <c r="BC40" s="894" t="s">
        <v>224</v>
      </c>
      <c r="BI40" s="3">
        <v>14</v>
      </c>
    </row>
    <row r="41" spans="1:61" ht="14.65" customHeight="1">
      <c r="Q41" s="349"/>
      <c r="R41" s="264"/>
      <c r="S41" s="1013" t="s">
        <v>24</v>
      </c>
      <c r="T41" s="962" t="s">
        <v>430</v>
      </c>
      <c r="U41" s="272"/>
      <c r="V41" s="1014" t="s">
        <v>352</v>
      </c>
      <c r="W41" s="1015"/>
      <c r="X41" s="1015"/>
      <c r="Y41" s="1015"/>
      <c r="Z41" s="1015"/>
      <c r="AA41" s="1015"/>
      <c r="AB41" s="1016"/>
      <c r="AC41" s="1017" t="s">
        <v>353</v>
      </c>
      <c r="AD41" s="1046" t="s">
        <v>431</v>
      </c>
      <c r="AE41" s="1030"/>
      <c r="AF41" s="1030"/>
      <c r="AG41" s="1047"/>
      <c r="AH41" s="1046" t="s">
        <v>432</v>
      </c>
      <c r="AI41" s="1030"/>
      <c r="AJ41" s="1030"/>
      <c r="AK41" s="1047"/>
      <c r="AL41" s="1046" t="s">
        <v>433</v>
      </c>
      <c r="AM41" s="1030"/>
      <c r="AN41" s="1030"/>
      <c r="AO41" s="1047"/>
      <c r="AP41" s="1046" t="s">
        <v>434</v>
      </c>
      <c r="AQ41" s="1030"/>
      <c r="AR41" s="1030"/>
      <c r="AS41" s="1047"/>
      <c r="AT41" s="1014" t="s">
        <v>352</v>
      </c>
      <c r="AU41" s="1015"/>
      <c r="AV41" s="1015"/>
      <c r="AW41" s="1015"/>
      <c r="AX41" s="1015"/>
      <c r="AY41" s="1015"/>
      <c r="AZ41" s="1016"/>
      <c r="BA41" s="1017" t="s">
        <v>353</v>
      </c>
      <c r="BB41" s="1020" t="s">
        <v>355</v>
      </c>
      <c r="BC41" s="894"/>
      <c r="BI41" s="3">
        <v>14</v>
      </c>
    </row>
    <row r="42" spans="1:61" ht="35.65" customHeight="1">
      <c r="Q42" s="349"/>
      <c r="R42" s="264"/>
      <c r="S42" s="1013"/>
      <c r="T42" s="962"/>
      <c r="U42" s="274"/>
      <c r="V42" s="936" t="s">
        <v>435</v>
      </c>
      <c r="W42" s="937"/>
      <c r="X42" s="936" t="s">
        <v>436</v>
      </c>
      <c r="Y42" s="937"/>
      <c r="Z42" s="936" t="s">
        <v>437</v>
      </c>
      <c r="AA42" s="1042"/>
      <c r="AB42" s="937"/>
      <c r="AC42" s="1018"/>
      <c r="AD42" s="1048"/>
      <c r="AE42" s="1049"/>
      <c r="AF42" s="1049"/>
      <c r="AG42" s="1061"/>
      <c r="AH42" s="1048"/>
      <c r="AI42" s="1049"/>
      <c r="AJ42" s="1049"/>
      <c r="AK42" s="1061"/>
      <c r="AL42" s="1048"/>
      <c r="AM42" s="1049"/>
      <c r="AN42" s="1049"/>
      <c r="AO42" s="1061"/>
      <c r="AP42" s="1048"/>
      <c r="AQ42" s="1049"/>
      <c r="AR42" s="1049"/>
      <c r="AS42" s="1061"/>
      <c r="AT42" s="936" t="s">
        <v>435</v>
      </c>
      <c r="AU42" s="937"/>
      <c r="AV42" s="936" t="s">
        <v>436</v>
      </c>
      <c r="AW42" s="937"/>
      <c r="AX42" s="936" t="s">
        <v>437</v>
      </c>
      <c r="AY42" s="1042"/>
      <c r="AZ42" s="937"/>
      <c r="BA42" s="1018"/>
      <c r="BB42" s="1021"/>
      <c r="BC42" s="894"/>
      <c r="BI42" s="3">
        <v>34</v>
      </c>
    </row>
    <row r="43" spans="1:61" ht="14.65" customHeight="1">
      <c r="Q43" s="349"/>
      <c r="R43" s="264"/>
      <c r="S43" s="1013"/>
      <c r="T43" s="962"/>
      <c r="U43" s="274"/>
      <c r="V43" s="941"/>
      <c r="W43" s="942"/>
      <c r="X43" s="941"/>
      <c r="Y43" s="942"/>
      <c r="Z43" s="941"/>
      <c r="AA43" s="1043"/>
      <c r="AB43" s="942"/>
      <c r="AC43" s="1018"/>
      <c r="AD43" s="1048"/>
      <c r="AE43" s="1049"/>
      <c r="AF43" s="1049"/>
      <c r="AG43" s="1061"/>
      <c r="AH43" s="1048"/>
      <c r="AI43" s="1049"/>
      <c r="AJ43" s="1049"/>
      <c r="AK43" s="1061"/>
      <c r="AL43" s="1048"/>
      <c r="AM43" s="1049"/>
      <c r="AN43" s="1049"/>
      <c r="AO43" s="1061"/>
      <c r="AP43" s="1048"/>
      <c r="AQ43" s="1049"/>
      <c r="AR43" s="1049"/>
      <c r="AS43" s="1061"/>
      <c r="AT43" s="941"/>
      <c r="AU43" s="942"/>
      <c r="AV43" s="941"/>
      <c r="AW43" s="942"/>
      <c r="AX43" s="941"/>
      <c r="AY43" s="1043"/>
      <c r="AZ43" s="942"/>
      <c r="BA43" s="1018"/>
      <c r="BB43" s="1021"/>
      <c r="BC43" s="894"/>
      <c r="BI43" s="3">
        <v>14</v>
      </c>
    </row>
    <row r="44" spans="1:61" ht="14.65" customHeight="1">
      <c r="B44" s="60" t="s">
        <v>60</v>
      </c>
      <c r="C44" s="60" t="s">
        <v>61</v>
      </c>
      <c r="D44" s="60" t="s">
        <v>62</v>
      </c>
      <c r="E44" s="237" t="s">
        <v>360</v>
      </c>
      <c r="F44" s="237" t="s">
        <v>361</v>
      </c>
      <c r="G44" s="237" t="s">
        <v>362</v>
      </c>
      <c r="H44" s="237" t="s">
        <v>363</v>
      </c>
      <c r="I44" s="237" t="s">
        <v>364</v>
      </c>
      <c r="J44" s="237" t="s">
        <v>365</v>
      </c>
      <c r="K44" s="237" t="s">
        <v>366</v>
      </c>
      <c r="L44" s="237" t="s">
        <v>341</v>
      </c>
      <c r="Q44" s="349"/>
      <c r="R44" s="264"/>
      <c r="S44" s="1013"/>
      <c r="T44" s="962"/>
      <c r="U44" s="275"/>
      <c r="V44" s="120" t="s">
        <v>401</v>
      </c>
      <c r="W44" s="120" t="s">
        <v>402</v>
      </c>
      <c r="X44" s="120" t="s">
        <v>401</v>
      </c>
      <c r="Y44" s="120" t="s">
        <v>402</v>
      </c>
      <c r="Z44" s="65" t="s">
        <v>369</v>
      </c>
      <c r="AA44" s="967" t="s">
        <v>370</v>
      </c>
      <c r="AB44" s="981"/>
      <c r="AC44" s="1019"/>
      <c r="AD44" s="1050"/>
      <c r="AE44" s="1051"/>
      <c r="AF44" s="1051"/>
      <c r="AG44" s="1052"/>
      <c r="AH44" s="1050"/>
      <c r="AI44" s="1051"/>
      <c r="AJ44" s="1051"/>
      <c r="AK44" s="1052"/>
      <c r="AL44" s="1050"/>
      <c r="AM44" s="1051"/>
      <c r="AN44" s="1051"/>
      <c r="AO44" s="1052"/>
      <c r="AP44" s="1050"/>
      <c r="AQ44" s="1051"/>
      <c r="AR44" s="1051"/>
      <c r="AS44" s="1052"/>
      <c r="AT44" s="120" t="s">
        <v>401</v>
      </c>
      <c r="AU44" s="120" t="s">
        <v>402</v>
      </c>
      <c r="AV44" s="120" t="s">
        <v>401</v>
      </c>
      <c r="AW44" s="120" t="s">
        <v>402</v>
      </c>
      <c r="AX44" s="65" t="s">
        <v>369</v>
      </c>
      <c r="AY44" s="967" t="s">
        <v>370</v>
      </c>
      <c r="AZ44" s="981"/>
      <c r="BA44" s="1019"/>
      <c r="BB44" s="1022"/>
      <c r="BC44" s="894"/>
      <c r="BI44" s="3">
        <v>14</v>
      </c>
    </row>
    <row r="45" spans="1:61" ht="0" hidden="1" customHeight="1">
      <c r="Q45" s="279"/>
      <c r="R45" s="279">
        <v>1</v>
      </c>
      <c r="S45" s="280" t="s">
        <v>31</v>
      </c>
      <c r="T45" s="281" t="s">
        <v>39</v>
      </c>
      <c r="U45" s="282" t="str">
        <f ca="1">OFFSET(U45,0,-1)</f>
        <v>2</v>
      </c>
      <c r="V45" s="283">
        <f t="shared" ref="V45:AA45" ca="1" si="2">OFFSET(V45,0,-1)+1</f>
        <v>3</v>
      </c>
      <c r="W45" s="283">
        <f t="shared" ca="1" si="2"/>
        <v>4</v>
      </c>
      <c r="X45" s="283">
        <f t="shared" ca="1" si="2"/>
        <v>5</v>
      </c>
      <c r="Y45" s="283">
        <f t="shared" ca="1" si="2"/>
        <v>6</v>
      </c>
      <c r="Z45" s="283">
        <f t="shared" ca="1" si="2"/>
        <v>7</v>
      </c>
      <c r="AA45" s="1011">
        <f t="shared" ca="1" si="2"/>
        <v>8</v>
      </c>
      <c r="AB45" s="1011"/>
      <c r="AC45" s="283">
        <f ca="1">OFFSET(AC45,0,-2)+1</f>
        <v>9</v>
      </c>
      <c r="AD45" s="283">
        <f ca="1">OFFSET(AD45,0,-1)+1</f>
        <v>10</v>
      </c>
      <c r="AE45" s="283"/>
      <c r="AF45" s="283"/>
      <c r="AG45" s="283"/>
      <c r="AH45" s="283"/>
      <c r="AI45" s="283"/>
      <c r="AJ45" s="283"/>
      <c r="AK45" s="283"/>
      <c r="AL45" s="283"/>
      <c r="AM45" s="283"/>
      <c r="AN45" s="283"/>
      <c r="AO45" s="283"/>
      <c r="AP45" s="283"/>
      <c r="AQ45" s="283"/>
      <c r="AR45" s="283"/>
      <c r="AS45" s="283"/>
      <c r="AT45" s="283"/>
      <c r="AU45" s="283"/>
      <c r="AV45" s="283"/>
      <c r="AW45" s="283">
        <f ca="1">OFFSET(AW45,0,-1)+1</f>
        <v>1</v>
      </c>
      <c r="AX45" s="283">
        <f ca="1">OFFSET(AX45,0,-1)+1</f>
        <v>2</v>
      </c>
      <c r="AY45" s="1011">
        <f ca="1">OFFSET(AY45,0,-1)+1</f>
        <v>3</v>
      </c>
      <c r="AZ45" s="1011"/>
      <c r="BA45" s="283">
        <f ca="1">OFFSET(BA45,0,-2)+1</f>
        <v>4</v>
      </c>
      <c r="BB45" s="282">
        <f ca="1">OFFSET(BB45,0,-1)</f>
        <v>4</v>
      </c>
      <c r="BC45" s="283">
        <f ca="1">OFFSET(BC45,0,-1)+1</f>
        <v>5</v>
      </c>
      <c r="BI45" s="189">
        <v>0</v>
      </c>
    </row>
    <row r="46" spans="1:61" ht="21.95" customHeight="1">
      <c r="A46" s="284" t="s">
        <v>184</v>
      </c>
      <c r="E46" s="1000">
        <v>1</v>
      </c>
      <c r="R46" s="225"/>
      <c r="S46" s="226">
        <f>INDEX(PT_DIFFERENTIATION_NUM_NTAR,MATCH(A46,PT_DIFFERENTIATION_NTAR_ID,0))</f>
        <v>0</v>
      </c>
      <c r="T46" s="227" t="s">
        <v>48</v>
      </c>
      <c r="U46" s="228"/>
      <c r="V46" s="996"/>
      <c r="W46" s="996"/>
      <c r="X46" s="996"/>
      <c r="Y46" s="996"/>
      <c r="Z46" s="996"/>
      <c r="AA46" s="996"/>
      <c r="AB46" s="996"/>
      <c r="AC46" s="997"/>
      <c r="AD46" s="995" t="str">
        <f>INDEX(PT_DIFFERENTIATION_NTAR,MATCH(A46,PT_DIFFERENTIATION_NTAR_ID,0))</f>
        <v/>
      </c>
      <c r="AE46" s="996"/>
      <c r="AF46" s="996"/>
      <c r="AG46" s="996"/>
      <c r="AH46" s="996"/>
      <c r="AI46" s="996"/>
      <c r="AJ46" s="996"/>
      <c r="AK46" s="996"/>
      <c r="AL46" s="996"/>
      <c r="AM46" s="996"/>
      <c r="AN46" s="996"/>
      <c r="AO46" s="996"/>
      <c r="AP46" s="996"/>
      <c r="AQ46" s="996"/>
      <c r="AR46" s="996"/>
      <c r="AS46" s="996"/>
      <c r="AT46" s="996"/>
      <c r="AU46" s="996"/>
      <c r="AV46" s="996"/>
      <c r="AW46" s="996"/>
      <c r="AX46" s="996"/>
      <c r="AY46" s="996"/>
      <c r="AZ46" s="996"/>
      <c r="BA46" s="996"/>
      <c r="BB46" s="997"/>
      <c r="BC46"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F46" s="29" t="str">
        <f t="shared" ref="BF46:BF52" si="3">IF(T46="","",T46)</f>
        <v>Наименование тарифа</v>
      </c>
      <c r="BI46" s="3">
        <v>21</v>
      </c>
    </row>
    <row r="47" spans="1:61" ht="21.95" customHeight="1">
      <c r="A47" s="284" t="s">
        <v>184</v>
      </c>
      <c r="B47" s="284" t="s">
        <v>185</v>
      </c>
      <c r="E47" s="1001"/>
      <c r="F47" s="1000">
        <v>1</v>
      </c>
      <c r="Q47" s="328"/>
      <c r="R47" s="232"/>
      <c r="S47" s="226" t="str">
        <f>INDEX(PT_DIFFERENTIATION_NUM_TER,MATCH(B47,PT_DIFFERENTIATION_TER_ID,0))</f>
        <v>.</v>
      </c>
      <c r="T47" s="233" t="s">
        <v>320</v>
      </c>
      <c r="U47" s="228"/>
      <c r="V47" s="996"/>
      <c r="W47" s="996"/>
      <c r="X47" s="996"/>
      <c r="Y47" s="996"/>
      <c r="Z47" s="996"/>
      <c r="AA47" s="996"/>
      <c r="AB47" s="996"/>
      <c r="AC47" s="997"/>
      <c r="AD47" s="995" t="str">
        <f>INDEX(PT_DIFFERENTIATION_TER,MATCH(B47,PT_DIFFERENTIATION_TER_ID,0))</f>
        <v/>
      </c>
      <c r="AE47" s="996"/>
      <c r="AF47" s="996"/>
      <c r="AG47" s="996"/>
      <c r="AH47" s="996"/>
      <c r="AI47" s="996"/>
      <c r="AJ47" s="996"/>
      <c r="AK47" s="996"/>
      <c r="AL47" s="996"/>
      <c r="AM47" s="996"/>
      <c r="AN47" s="996"/>
      <c r="AO47" s="996"/>
      <c r="AP47" s="996"/>
      <c r="AQ47" s="996"/>
      <c r="AR47" s="996"/>
      <c r="AS47" s="996"/>
      <c r="AT47" s="996"/>
      <c r="AU47" s="996"/>
      <c r="AV47" s="996"/>
      <c r="AW47" s="996"/>
      <c r="AX47" s="996"/>
      <c r="AY47" s="996"/>
      <c r="AZ47" s="996"/>
      <c r="BA47" s="996"/>
      <c r="BB47" s="997"/>
      <c r="BC47" s="230" t="s">
        <v>321</v>
      </c>
      <c r="BF47" s="29" t="str">
        <f t="shared" si="3"/>
        <v>Территория действия тарифа</v>
      </c>
      <c r="BI47" s="3">
        <v>21</v>
      </c>
    </row>
    <row r="48" spans="1:61" ht="35.65" customHeight="1">
      <c r="A48" s="284" t="s">
        <v>184</v>
      </c>
      <c r="B48" s="284" t="s">
        <v>185</v>
      </c>
      <c r="C48" s="284" t="s">
        <v>186</v>
      </c>
      <c r="E48" s="1001"/>
      <c r="F48" s="1001"/>
      <c r="G48" s="1000">
        <v>1</v>
      </c>
      <c r="Q48" s="328"/>
      <c r="R48" s="232"/>
      <c r="S48" s="226" t="str">
        <f>INDEX(PT_DIFFERENTIATION_NUM_CS,MATCH(C48,PT_DIFFERENTIATION_CS_ID,0))</f>
        <v>..</v>
      </c>
      <c r="T48" s="234" t="s">
        <v>453</v>
      </c>
      <c r="U48" s="228"/>
      <c r="V48" s="996"/>
      <c r="W48" s="996"/>
      <c r="X48" s="996"/>
      <c r="Y48" s="996"/>
      <c r="Z48" s="996"/>
      <c r="AA48" s="996"/>
      <c r="AB48" s="996"/>
      <c r="AC48" s="997"/>
      <c r="AD48" s="995" t="str">
        <f>INDEX(PT_DIFFERENTIATION_CS,MATCH(C48,PT_DIFFERENTIATION_CS_ID,0))</f>
        <v/>
      </c>
      <c r="AE48" s="996"/>
      <c r="AF48" s="996"/>
      <c r="AG48" s="996"/>
      <c r="AH48" s="996"/>
      <c r="AI48" s="996"/>
      <c r="AJ48" s="996"/>
      <c r="AK48" s="996"/>
      <c r="AL48" s="996"/>
      <c r="AM48" s="996"/>
      <c r="AN48" s="996"/>
      <c r="AO48" s="996"/>
      <c r="AP48" s="996"/>
      <c r="AQ48" s="996"/>
      <c r="AR48" s="996"/>
      <c r="AS48" s="996"/>
      <c r="AT48" s="996"/>
      <c r="AU48" s="996"/>
      <c r="AV48" s="996"/>
      <c r="AW48" s="996"/>
      <c r="AX48" s="996"/>
      <c r="AY48" s="996"/>
      <c r="AZ48" s="996"/>
      <c r="BA48" s="996"/>
      <c r="BB48" s="997"/>
      <c r="BC48" s="230" t="s">
        <v>454</v>
      </c>
      <c r="BF48" s="29" t="str">
        <f t="shared" si="3"/>
        <v>Наименование централизованной системы горячего водоснабжения</v>
      </c>
      <c r="BI48" s="3">
        <v>34</v>
      </c>
    </row>
    <row r="49" spans="1:61" ht="0" hidden="1" customHeight="1">
      <c r="A49" s="21" t="s">
        <v>184</v>
      </c>
      <c r="B49" s="21" t="s">
        <v>185</v>
      </c>
      <c r="C49" s="21" t="s">
        <v>186</v>
      </c>
      <c r="D49" s="21" t="s">
        <v>467</v>
      </c>
      <c r="E49" s="1001"/>
      <c r="F49" s="1001"/>
      <c r="G49" s="1001"/>
      <c r="H49" s="1000">
        <v>1</v>
      </c>
      <c r="Q49" s="366"/>
      <c r="R49" s="240"/>
      <c r="S49" s="124"/>
      <c r="T49" s="367"/>
      <c r="U49" s="295"/>
      <c r="V49" s="1032"/>
      <c r="W49" s="1032"/>
      <c r="X49" s="1032"/>
      <c r="Y49" s="1032"/>
      <c r="Z49" s="1032"/>
      <c r="AA49" s="1032"/>
      <c r="AB49" s="1032"/>
      <c r="AC49" s="1033"/>
      <c r="AD49" s="1031"/>
      <c r="AE49" s="1032"/>
      <c r="AF49" s="1032"/>
      <c r="AG49" s="1032"/>
      <c r="AH49" s="1032"/>
      <c r="AI49" s="1032"/>
      <c r="AJ49" s="1032"/>
      <c r="AK49" s="1032"/>
      <c r="AL49" s="1032"/>
      <c r="AM49" s="1032"/>
      <c r="AN49" s="1032"/>
      <c r="AO49" s="1032"/>
      <c r="AP49" s="1032"/>
      <c r="AQ49" s="1032"/>
      <c r="AR49" s="1032"/>
      <c r="AS49" s="1032"/>
      <c r="AT49" s="1032"/>
      <c r="AU49" s="1032"/>
      <c r="AV49" s="1032"/>
      <c r="AW49" s="1032"/>
      <c r="AX49" s="1032"/>
      <c r="AY49" s="1032"/>
      <c r="AZ49" s="1032"/>
      <c r="BA49" s="1032"/>
      <c r="BB49" s="1033"/>
      <c r="BC49" s="297" t="s">
        <v>325</v>
      </c>
      <c r="BF49" s="29" t="str">
        <f t="shared" si="3"/>
        <v/>
      </c>
      <c r="BI49" s="24">
        <v>0</v>
      </c>
    </row>
    <row r="50" spans="1:61" ht="0" hidden="1" customHeight="1">
      <c r="A50" s="21" t="s">
        <v>184</v>
      </c>
      <c r="B50" s="21" t="s">
        <v>185</v>
      </c>
      <c r="C50" s="21" t="s">
        <v>186</v>
      </c>
      <c r="D50" s="21" t="s">
        <v>467</v>
      </c>
      <c r="E50" s="1001"/>
      <c r="F50" s="1001"/>
      <c r="G50" s="1001"/>
      <c r="H50" s="1001"/>
      <c r="I50" s="1002" t="str">
        <f>S49&amp;".1"</f>
        <v>.1</v>
      </c>
      <c r="L50" s="302" t="s">
        <v>326</v>
      </c>
      <c r="P50" s="1004">
        <v>1</v>
      </c>
      <c r="R50" s="238"/>
      <c r="S50" s="124"/>
      <c r="T50" s="294"/>
      <c r="U50" s="295"/>
      <c r="V50" s="1032"/>
      <c r="W50" s="1032"/>
      <c r="X50" s="1032"/>
      <c r="Y50" s="1032"/>
      <c r="Z50" s="1032"/>
      <c r="AA50" s="1032"/>
      <c r="AB50" s="1032"/>
      <c r="AC50" s="1033"/>
      <c r="AD50" s="1031"/>
      <c r="AE50" s="1032"/>
      <c r="AF50" s="1032"/>
      <c r="AG50" s="1032"/>
      <c r="AH50" s="1032"/>
      <c r="AI50" s="1032"/>
      <c r="AJ50" s="1032"/>
      <c r="AK50" s="1032"/>
      <c r="AL50" s="1032"/>
      <c r="AM50" s="1032"/>
      <c r="AN50" s="1032"/>
      <c r="AO50" s="1032"/>
      <c r="AP50" s="1032"/>
      <c r="AQ50" s="1032"/>
      <c r="AR50" s="1032"/>
      <c r="AS50" s="1032"/>
      <c r="AT50" s="1032"/>
      <c r="AU50" s="1032"/>
      <c r="AV50" s="1032"/>
      <c r="AW50" s="1032"/>
      <c r="AX50" s="1032"/>
      <c r="AY50" s="1032"/>
      <c r="AZ50" s="1032"/>
      <c r="BA50" s="1032"/>
      <c r="BB50" s="1033"/>
      <c r="BC50" s="297"/>
      <c r="BF50" s="29" t="str">
        <f t="shared" si="3"/>
        <v/>
      </c>
      <c r="BI50" s="24">
        <v>0</v>
      </c>
    </row>
    <row r="51" spans="1:61" ht="0" hidden="1" customHeight="1">
      <c r="A51" s="21" t="s">
        <v>184</v>
      </c>
      <c r="B51" s="21" t="s">
        <v>185</v>
      </c>
      <c r="C51" s="21" t="s">
        <v>186</v>
      </c>
      <c r="D51" s="21" t="s">
        <v>467</v>
      </c>
      <c r="E51" s="1001"/>
      <c r="F51" s="1001"/>
      <c r="G51" s="1001"/>
      <c r="H51" s="1001"/>
      <c r="I51" s="1003"/>
      <c r="J51" s="1002" t="str">
        <f>S49&amp;".1"</f>
        <v>.1</v>
      </c>
      <c r="P51" s="885"/>
      <c r="Q51" s="1004">
        <v>1</v>
      </c>
      <c r="R51" s="240"/>
      <c r="S51" s="124"/>
      <c r="T51" s="329"/>
      <c r="U51" s="295"/>
      <c r="V51" s="1032"/>
      <c r="W51" s="1032"/>
      <c r="X51" s="1032"/>
      <c r="Y51" s="1032"/>
      <c r="Z51" s="1032"/>
      <c r="AA51" s="1032"/>
      <c r="AB51" s="1032"/>
      <c r="AC51" s="1033"/>
      <c r="AD51" s="1031"/>
      <c r="AE51" s="1032"/>
      <c r="AF51" s="1032"/>
      <c r="AG51" s="1032"/>
      <c r="AH51" s="1032"/>
      <c r="AI51" s="1032"/>
      <c r="AJ51" s="1032"/>
      <c r="AK51" s="1032"/>
      <c r="AL51" s="1032"/>
      <c r="AM51" s="1032"/>
      <c r="AN51" s="1083"/>
      <c r="AO51" s="1083"/>
      <c r="AP51" s="1032"/>
      <c r="AQ51" s="1032"/>
      <c r="AR51" s="1032"/>
      <c r="AS51" s="1032"/>
      <c r="AT51" s="1032"/>
      <c r="AU51" s="1032"/>
      <c r="AV51" s="1032"/>
      <c r="AW51" s="1032"/>
      <c r="AX51" s="1032"/>
      <c r="AY51" s="1032"/>
      <c r="AZ51" s="1032"/>
      <c r="BA51" s="1032"/>
      <c r="BB51" s="1033"/>
      <c r="BC51" s="297"/>
      <c r="BF51" s="29" t="str">
        <f t="shared" si="3"/>
        <v/>
      </c>
      <c r="BI51" s="24">
        <v>0</v>
      </c>
    </row>
    <row r="52" spans="1:61" ht="11.45" customHeight="1">
      <c r="A52" s="284" t="s">
        <v>184</v>
      </c>
      <c r="B52" s="284" t="s">
        <v>185</v>
      </c>
      <c r="C52" s="284" t="s">
        <v>186</v>
      </c>
      <c r="D52" s="284" t="s">
        <v>467</v>
      </c>
      <c r="E52" s="1001"/>
      <c r="F52" s="1001"/>
      <c r="G52" s="1001"/>
      <c r="H52" s="1001"/>
      <c r="I52" s="1003"/>
      <c r="J52" s="1003"/>
      <c r="K52" s="1002" t="str">
        <f>S48&amp;".1"</f>
        <v>...1</v>
      </c>
      <c r="P52" s="885"/>
      <c r="Q52" s="885"/>
      <c r="R52" s="240">
        <v>1</v>
      </c>
      <c r="S52" s="1057" t="str">
        <f>$K52</f>
        <v>...1</v>
      </c>
      <c r="T52" s="1077"/>
      <c r="U52" s="228"/>
      <c r="V52" s="243"/>
      <c r="W52" s="245"/>
      <c r="X52" s="243"/>
      <c r="Y52" s="245"/>
      <c r="Z52" s="246"/>
      <c r="AA52" s="56" t="s">
        <v>17</v>
      </c>
      <c r="AB52" s="246"/>
      <c r="AC52" s="56" t="s">
        <v>17</v>
      </c>
      <c r="AD52" s="948" t="s">
        <v>17</v>
      </c>
      <c r="AE52" s="1053"/>
      <c r="AF52" s="958">
        <v>1</v>
      </c>
      <c r="AG52" s="1076"/>
      <c r="AH52" s="895" t="s">
        <v>17</v>
      </c>
      <c r="AI52" s="1053"/>
      <c r="AJ52" s="958">
        <v>1</v>
      </c>
      <c r="AK52" s="1067" t="s">
        <v>4</v>
      </c>
      <c r="AL52" s="895" t="s">
        <v>17</v>
      </c>
      <c r="AM52" s="936"/>
      <c r="AN52" s="958">
        <v>1</v>
      </c>
      <c r="AO52" s="1080"/>
      <c r="AP52" s="1081" t="s">
        <v>17</v>
      </c>
      <c r="AQ52" s="332"/>
      <c r="AR52" s="118">
        <v>1</v>
      </c>
      <c r="AS52" s="15" t="s">
        <v>4</v>
      </c>
      <c r="AT52" s="243"/>
      <c r="AU52" s="245"/>
      <c r="AV52" s="243"/>
      <c r="AW52" s="245"/>
      <c r="AX52" s="246"/>
      <c r="AY52" s="56" t="s">
        <v>17</v>
      </c>
      <c r="AZ52" s="246"/>
      <c r="BA52" s="56" t="s">
        <v>17</v>
      </c>
      <c r="BB52" s="285"/>
      <c r="BC52" s="1023" t="s">
        <v>424</v>
      </c>
      <c r="BF52" s="29" t="str">
        <f t="shared" si="3"/>
        <v/>
      </c>
      <c r="BI52" s="3">
        <v>11</v>
      </c>
    </row>
    <row r="53" spans="1:61" ht="11.45" customHeight="1">
      <c r="E53" s="1001"/>
      <c r="F53" s="1001"/>
      <c r="G53" s="1001"/>
      <c r="H53" s="1001"/>
      <c r="I53" s="1003"/>
      <c r="J53" s="1003"/>
      <c r="K53" s="1002"/>
      <c r="P53" s="885"/>
      <c r="Q53" s="885"/>
      <c r="R53" s="240"/>
      <c r="S53" s="1058"/>
      <c r="T53" s="1078"/>
      <c r="U53" s="228"/>
      <c r="V53" s="322"/>
      <c r="W53" s="335"/>
      <c r="X53" s="322"/>
      <c r="Y53" s="335"/>
      <c r="Z53" s="322"/>
      <c r="AA53" s="322"/>
      <c r="AB53" s="322"/>
      <c r="AC53" s="322"/>
      <c r="AD53" s="949"/>
      <c r="AE53" s="1053"/>
      <c r="AF53" s="958"/>
      <c r="AG53" s="1076"/>
      <c r="AH53" s="895"/>
      <c r="AI53" s="1053"/>
      <c r="AJ53" s="958"/>
      <c r="AK53" s="1067"/>
      <c r="AL53" s="895"/>
      <c r="AM53" s="941"/>
      <c r="AN53" s="958"/>
      <c r="AO53" s="1080"/>
      <c r="AP53" s="1082"/>
      <c r="AQ53" s="334"/>
      <c r="AR53" s="45"/>
      <c r="AS53" s="45" t="s">
        <v>425</v>
      </c>
      <c r="AT53" s="322"/>
      <c r="AU53" s="335"/>
      <c r="AV53" s="322"/>
      <c r="AW53" s="335"/>
      <c r="AX53" s="322"/>
      <c r="AY53" s="322"/>
      <c r="AZ53" s="322"/>
      <c r="BA53" s="322"/>
      <c r="BB53" s="333"/>
      <c r="BC53" s="1024"/>
      <c r="BI53" s="3">
        <v>11</v>
      </c>
    </row>
    <row r="54" spans="1:61" ht="11.45" customHeight="1">
      <c r="A54" s="284" t="s">
        <v>184</v>
      </c>
      <c r="E54" s="1001"/>
      <c r="F54" s="1001"/>
      <c r="G54" s="1001"/>
      <c r="H54" s="1001"/>
      <c r="I54" s="1003"/>
      <c r="J54" s="1003"/>
      <c r="K54" s="1002"/>
      <c r="P54" s="885"/>
      <c r="Q54" s="885"/>
      <c r="R54" s="240"/>
      <c r="S54" s="1058"/>
      <c r="T54" s="1078"/>
      <c r="U54" s="228"/>
      <c r="V54" s="322"/>
      <c r="W54" s="335"/>
      <c r="X54" s="322"/>
      <c r="Y54" s="335"/>
      <c r="Z54" s="322"/>
      <c r="AA54" s="322"/>
      <c r="AB54" s="322"/>
      <c r="AC54" s="322"/>
      <c r="AD54" s="949"/>
      <c r="AE54" s="1053"/>
      <c r="AF54" s="958"/>
      <c r="AG54" s="1076"/>
      <c r="AH54" s="895"/>
      <c r="AI54" s="1053"/>
      <c r="AJ54" s="958"/>
      <c r="AK54" s="1067"/>
      <c r="AL54" s="895"/>
      <c r="AM54" s="334"/>
      <c r="AN54" s="368"/>
      <c r="AO54" s="368" t="s">
        <v>426</v>
      </c>
      <c r="AP54" s="45"/>
      <c r="AQ54" s="45"/>
      <c r="AR54" s="45"/>
      <c r="AS54" s="322"/>
      <c r="AT54" s="322"/>
      <c r="AU54" s="335"/>
      <c r="AV54" s="322"/>
      <c r="AW54" s="335"/>
      <c r="AX54" s="322"/>
      <c r="AY54" s="322"/>
      <c r="AZ54" s="322"/>
      <c r="BA54" s="322"/>
      <c r="BB54" s="333"/>
      <c r="BC54" s="1024"/>
      <c r="BI54" s="3">
        <v>11</v>
      </c>
    </row>
    <row r="55" spans="1:61" ht="11.45" customHeight="1">
      <c r="A55" s="284" t="s">
        <v>184</v>
      </c>
      <c r="E55" s="1001"/>
      <c r="F55" s="1001"/>
      <c r="G55" s="1001"/>
      <c r="H55" s="1001"/>
      <c r="I55" s="1003"/>
      <c r="J55" s="1003"/>
      <c r="K55" s="1002"/>
      <c r="P55" s="885"/>
      <c r="Q55" s="885"/>
      <c r="R55" s="240"/>
      <c r="S55" s="1058"/>
      <c r="T55" s="1078"/>
      <c r="U55" s="228"/>
      <c r="V55" s="322"/>
      <c r="W55" s="335"/>
      <c r="X55" s="322"/>
      <c r="Y55" s="335"/>
      <c r="Z55" s="322"/>
      <c r="AA55" s="322"/>
      <c r="AB55" s="322"/>
      <c r="AC55" s="322"/>
      <c r="AD55" s="949"/>
      <c r="AE55" s="1053"/>
      <c r="AF55" s="958"/>
      <c r="AG55" s="1076"/>
      <c r="AH55" s="895"/>
      <c r="AI55" s="337"/>
      <c r="AJ55" s="42"/>
      <c r="AK55" s="200" t="s">
        <v>427</v>
      </c>
      <c r="AL55" s="322"/>
      <c r="AM55" s="322"/>
      <c r="AN55" s="322"/>
      <c r="AO55" s="322"/>
      <c r="AP55" s="322"/>
      <c r="AQ55" s="322"/>
      <c r="AR55" s="322"/>
      <c r="AS55" s="322"/>
      <c r="AT55" s="322"/>
      <c r="AU55" s="335"/>
      <c r="AV55" s="322"/>
      <c r="AW55" s="335"/>
      <c r="AX55" s="322"/>
      <c r="AY55" s="322"/>
      <c r="AZ55" s="322"/>
      <c r="BA55" s="322"/>
      <c r="BB55" s="333"/>
      <c r="BC55" s="1024"/>
      <c r="BI55" s="3">
        <v>11</v>
      </c>
    </row>
    <row r="56" spans="1:61" ht="11.45" customHeight="1">
      <c r="A56" s="284" t="s">
        <v>184</v>
      </c>
      <c r="B56" s="284" t="s">
        <v>185</v>
      </c>
      <c r="C56" s="284" t="s">
        <v>186</v>
      </c>
      <c r="D56" s="284" t="s">
        <v>467</v>
      </c>
      <c r="E56" s="1001"/>
      <c r="F56" s="1001"/>
      <c r="G56" s="1001"/>
      <c r="H56" s="1001"/>
      <c r="I56" s="1003"/>
      <c r="J56" s="1003"/>
      <c r="K56" s="1002"/>
      <c r="P56" s="885"/>
      <c r="Q56" s="885"/>
      <c r="R56" s="240"/>
      <c r="S56" s="1059"/>
      <c r="T56" s="1079"/>
      <c r="U56" s="228"/>
      <c r="V56" s="322"/>
      <c r="W56" s="323" t="str">
        <f>Z52&amp;"-"&amp;AB52</f>
        <v>-</v>
      </c>
      <c r="X56" s="322"/>
      <c r="Y56" s="323" t="str">
        <f>AB52&amp;"-"&amp;AD52</f>
        <v>-да</v>
      </c>
      <c r="Z56" s="322"/>
      <c r="AA56" s="322"/>
      <c r="AB56" s="322"/>
      <c r="AC56" s="322"/>
      <c r="AD56" s="900"/>
      <c r="AE56" s="339"/>
      <c r="AF56" s="340"/>
      <c r="AG56" s="45" t="s">
        <v>428</v>
      </c>
      <c r="AH56" s="322"/>
      <c r="AI56" s="322"/>
      <c r="AJ56" s="322"/>
      <c r="AK56" s="322"/>
      <c r="AL56" s="322"/>
      <c r="AM56" s="322"/>
      <c r="AN56" s="322"/>
      <c r="AO56" s="322"/>
      <c r="AP56" s="322"/>
      <c r="AQ56" s="322"/>
      <c r="AR56" s="322"/>
      <c r="AS56" s="322"/>
      <c r="AT56" s="322"/>
      <c r="AU56" s="323" t="str">
        <f>AX52&amp;"-"&amp;AZ52</f>
        <v>-</v>
      </c>
      <c r="AV56" s="322"/>
      <c r="AW56" s="323" t="str">
        <f>AZ52&amp;"-"&amp;BB52</f>
        <v>-</v>
      </c>
      <c r="AX56" s="322"/>
      <c r="AY56" s="322"/>
      <c r="AZ56" s="322"/>
      <c r="BA56" s="322"/>
      <c r="BB56" s="338" t="str">
        <f>BE52&amp;"-"&amp;BG52</f>
        <v>-</v>
      </c>
      <c r="BC56" s="1024"/>
      <c r="BF56" s="29" t="str">
        <f t="shared" ref="BF56:BF63" si="4">IF(T56="","",T56)</f>
        <v/>
      </c>
      <c r="BI56" s="3">
        <v>11</v>
      </c>
    </row>
    <row r="57" spans="1:61" ht="11.45" customHeight="1">
      <c r="A57" s="284" t="s">
        <v>184</v>
      </c>
      <c r="B57" s="284" t="s">
        <v>185</v>
      </c>
      <c r="C57" s="284" t="s">
        <v>186</v>
      </c>
      <c r="D57" s="284" t="s">
        <v>467</v>
      </c>
      <c r="E57" s="1001"/>
      <c r="F57" s="1001"/>
      <c r="G57" s="1001"/>
      <c r="H57" s="1001"/>
      <c r="I57" s="1003"/>
      <c r="J57" s="1002"/>
      <c r="P57" s="885"/>
      <c r="Q57" s="885"/>
      <c r="R57" s="238"/>
      <c r="S57" s="249"/>
      <c r="T57" s="252" t="s">
        <v>391</v>
      </c>
      <c r="U57" s="54"/>
      <c r="V57" s="54"/>
      <c r="W57" s="54"/>
      <c r="X57" s="54"/>
      <c r="Y57" s="54"/>
      <c r="Z57" s="54"/>
      <c r="AA57" s="54"/>
      <c r="AB57" s="54"/>
      <c r="AC57" s="251"/>
      <c r="AD57" s="353"/>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251"/>
      <c r="BC57" s="1025"/>
      <c r="BF57" s="29" t="str">
        <f t="shared" si="4"/>
        <v>Добавить строку</v>
      </c>
      <c r="BI57" s="3">
        <v>11</v>
      </c>
    </row>
    <row r="58" spans="1:61" ht="0" hidden="1" customHeight="1">
      <c r="A58" s="21" t="s">
        <v>184</v>
      </c>
      <c r="B58" s="21" t="s">
        <v>185</v>
      </c>
      <c r="C58" s="21" t="s">
        <v>186</v>
      </c>
      <c r="D58" s="21" t="s">
        <v>467</v>
      </c>
      <c r="E58" s="1001"/>
      <c r="F58" s="1001"/>
      <c r="G58" s="1001"/>
      <c r="H58" s="1001"/>
      <c r="I58" s="1002"/>
      <c r="P58" s="885"/>
      <c r="R58" s="238"/>
      <c r="S58" s="298"/>
      <c r="T58" s="299"/>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1"/>
      <c r="BF58" s="29" t="str">
        <f t="shared" si="4"/>
        <v/>
      </c>
      <c r="BI58" s="24">
        <v>0</v>
      </c>
    </row>
    <row r="59" spans="1:61" ht="0" hidden="1" customHeight="1">
      <c r="A59" s="21" t="s">
        <v>184</v>
      </c>
      <c r="B59" s="21" t="s">
        <v>185</v>
      </c>
      <c r="C59" s="21" t="s">
        <v>186</v>
      </c>
      <c r="D59" s="21" t="s">
        <v>467</v>
      </c>
      <c r="E59" s="1001"/>
      <c r="F59" s="1001"/>
      <c r="G59" s="1001"/>
      <c r="H59" s="1000"/>
      <c r="R59" s="341"/>
      <c r="S59" s="298"/>
      <c r="T59" s="299"/>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1"/>
      <c r="BF59" s="29" t="str">
        <f t="shared" si="4"/>
        <v/>
      </c>
      <c r="BI59" s="24">
        <v>0</v>
      </c>
    </row>
    <row r="60" spans="1:61" ht="0" hidden="1" customHeight="1">
      <c r="A60" s="21" t="s">
        <v>184</v>
      </c>
      <c r="B60" s="21" t="s">
        <v>185</v>
      </c>
      <c r="C60" s="21" t="s">
        <v>186</v>
      </c>
      <c r="E60" s="1001"/>
      <c r="F60" s="1001"/>
      <c r="G60" s="1000"/>
      <c r="BF60" s="29" t="str">
        <f t="shared" si="4"/>
        <v/>
      </c>
      <c r="BI60" s="24">
        <v>0</v>
      </c>
    </row>
    <row r="61" spans="1:61" ht="0" hidden="1" customHeight="1">
      <c r="A61" s="21" t="s">
        <v>184</v>
      </c>
      <c r="B61" s="21" t="s">
        <v>185</v>
      </c>
      <c r="E61" s="1001"/>
      <c r="F61" s="1000"/>
      <c r="T61" s="260" t="s">
        <v>338</v>
      </c>
      <c r="BF61" s="29" t="str">
        <f t="shared" si="4"/>
        <v>Добавить централизованную систему для дифференциации</v>
      </c>
      <c r="BI61" s="24">
        <v>0</v>
      </c>
    </row>
    <row r="62" spans="1:61" ht="0" hidden="1" customHeight="1">
      <c r="A62" s="21" t="s">
        <v>184</v>
      </c>
      <c r="E62" s="1000"/>
      <c r="T62" s="260" t="s">
        <v>339</v>
      </c>
      <c r="BF62" s="29" t="str">
        <f t="shared" si="4"/>
        <v>Добавить территорию для дифференциации</v>
      </c>
      <c r="BI62" s="24">
        <v>0</v>
      </c>
    </row>
    <row r="63" spans="1:61" ht="0" hidden="1" customHeight="1">
      <c r="T63" s="260" t="s">
        <v>371</v>
      </c>
      <c r="BF63" s="29" t="str">
        <f t="shared" si="4"/>
        <v>Добавить наименование тарифа</v>
      </c>
      <c r="BI63" s="24">
        <v>0</v>
      </c>
    </row>
    <row r="64" spans="1:61" ht="11.45" customHeight="1">
      <c r="BI64" s="3">
        <v>11</v>
      </c>
    </row>
    <row r="65" spans="1:61" ht="19.899999999999999" customHeight="1">
      <c r="T65" s="885"/>
      <c r="U65" s="885"/>
      <c r="V65" s="885"/>
      <c r="W65" s="885"/>
      <c r="X65" s="885"/>
      <c r="Y65" s="885"/>
      <c r="Z65" s="885"/>
      <c r="AA65" s="885"/>
      <c r="AB65" s="885"/>
      <c r="AC65" s="885"/>
      <c r="AD65" s="885"/>
      <c r="AE65" s="885"/>
      <c r="AF65" s="885"/>
      <c r="AG65" s="885"/>
      <c r="AH65" s="885"/>
      <c r="AI65" s="885"/>
      <c r="AJ65" s="885"/>
      <c r="AK65" s="885"/>
      <c r="AL65" s="885"/>
      <c r="AM65" s="885"/>
      <c r="AN65" s="885"/>
      <c r="AO65" s="885"/>
      <c r="AP65" s="885"/>
      <c r="AQ65" s="885"/>
      <c r="AR65" s="885"/>
      <c r="AS65" s="885"/>
      <c r="AT65" s="885"/>
      <c r="AU65" s="885"/>
      <c r="AV65" s="885"/>
      <c r="AW65" s="885"/>
      <c r="AX65" s="885"/>
      <c r="AY65" s="885"/>
      <c r="AZ65" s="885"/>
      <c r="BA65" s="885"/>
      <c r="BB65" s="885"/>
      <c r="BC65" s="885"/>
      <c r="BI65" s="3">
        <v>19</v>
      </c>
    </row>
    <row r="66" spans="1:61" ht="14.65" customHeight="1">
      <c r="BI66" s="3">
        <v>14</v>
      </c>
    </row>
    <row r="67" spans="1:61" ht="19.899999999999999" customHeight="1">
      <c r="T67" s="885"/>
      <c r="U67" s="885"/>
      <c r="V67" s="885"/>
      <c r="W67" s="885"/>
      <c r="X67" s="885"/>
      <c r="Y67" s="885"/>
      <c r="Z67" s="885"/>
      <c r="AA67" s="885"/>
      <c r="AB67" s="885"/>
      <c r="AC67" s="885"/>
      <c r="AD67" s="885"/>
      <c r="AE67" s="885"/>
      <c r="AF67" s="885"/>
      <c r="AG67" s="885"/>
      <c r="AH67" s="885"/>
      <c r="AI67" s="885"/>
      <c r="AJ67" s="885"/>
      <c r="AK67" s="885"/>
      <c r="AL67" s="885"/>
      <c r="AM67" s="885"/>
      <c r="AN67" s="885"/>
      <c r="AO67" s="885"/>
      <c r="AP67" s="885"/>
      <c r="AQ67" s="885"/>
      <c r="AR67" s="885"/>
      <c r="AS67" s="885"/>
      <c r="AT67" s="885"/>
      <c r="AU67" s="885"/>
      <c r="AV67" s="885"/>
      <c r="AW67" s="885"/>
      <c r="AX67" s="885"/>
      <c r="AY67" s="885"/>
      <c r="AZ67" s="885"/>
      <c r="BA67" s="885"/>
      <c r="BB67" s="885"/>
      <c r="BC67" s="885"/>
      <c r="BI67" s="3">
        <v>19</v>
      </c>
    </row>
    <row r="68" spans="1:61" ht="14.65" customHeight="1">
      <c r="BI68" s="3">
        <v>14</v>
      </c>
    </row>
    <row r="69" spans="1:61" ht="14.25" hidden="1" customHeight="1">
      <c r="A69" s="11" t="s">
        <v>18</v>
      </c>
      <c r="B69" s="11">
        <v>0</v>
      </c>
      <c r="C69" s="11">
        <v>0</v>
      </c>
      <c r="D69" s="11">
        <v>0</v>
      </c>
      <c r="E69" s="11">
        <v>0</v>
      </c>
      <c r="F69" s="11">
        <v>0</v>
      </c>
      <c r="G69" s="11">
        <v>0</v>
      </c>
      <c r="H69" s="11">
        <v>0</v>
      </c>
      <c r="I69" s="11">
        <v>0</v>
      </c>
      <c r="J69" s="11">
        <v>0</v>
      </c>
      <c r="K69" s="11">
        <v>0</v>
      </c>
      <c r="L69" s="171">
        <v>0</v>
      </c>
      <c r="M69" s="13">
        <v>0</v>
      </c>
      <c r="N69" s="13">
        <v>0</v>
      </c>
      <c r="O69" s="13">
        <v>0</v>
      </c>
      <c r="P69" s="13">
        <v>0</v>
      </c>
      <c r="Q69" s="355">
        <v>0</v>
      </c>
      <c r="R69" s="288">
        <v>3</v>
      </c>
      <c r="S69" s="9">
        <v>12</v>
      </c>
      <c r="T69" s="3">
        <v>31</v>
      </c>
      <c r="U69" s="3">
        <v>0</v>
      </c>
      <c r="V69" s="3">
        <v>0</v>
      </c>
      <c r="W69" s="3">
        <v>0</v>
      </c>
      <c r="X69" s="3">
        <v>0</v>
      </c>
      <c r="Y69" s="3">
        <v>0</v>
      </c>
      <c r="Z69" s="3">
        <v>0</v>
      </c>
      <c r="AA69" s="3">
        <v>0</v>
      </c>
      <c r="AB69" s="3">
        <v>0</v>
      </c>
      <c r="AC69" s="3">
        <v>0</v>
      </c>
      <c r="AD69" s="3">
        <v>3</v>
      </c>
      <c r="AE69" s="3">
        <v>3</v>
      </c>
      <c r="AF69" s="3">
        <v>3</v>
      </c>
      <c r="AG69" s="3">
        <v>24</v>
      </c>
      <c r="AH69" s="3">
        <v>3</v>
      </c>
      <c r="AI69" s="3">
        <v>3</v>
      </c>
      <c r="AJ69" s="3">
        <v>3</v>
      </c>
      <c r="AK69" s="3">
        <v>24</v>
      </c>
      <c r="AL69" s="3">
        <v>3</v>
      </c>
      <c r="AM69" s="3">
        <v>3</v>
      </c>
      <c r="AN69" s="3">
        <v>3</v>
      </c>
      <c r="AO69" s="3">
        <v>18</v>
      </c>
      <c r="AP69" s="3">
        <v>3</v>
      </c>
      <c r="AQ69" s="3">
        <v>3</v>
      </c>
      <c r="AR69" s="3">
        <v>3</v>
      </c>
      <c r="AS69" s="3">
        <v>18</v>
      </c>
      <c r="AT69" s="3">
        <v>21</v>
      </c>
      <c r="AU69" s="3">
        <v>21</v>
      </c>
      <c r="AV69" s="3">
        <v>21</v>
      </c>
      <c r="AW69" s="3">
        <v>21</v>
      </c>
      <c r="AX69" s="3">
        <v>11</v>
      </c>
      <c r="AY69" s="3">
        <v>3</v>
      </c>
      <c r="AZ69" s="3">
        <v>11</v>
      </c>
      <c r="BA69" s="3">
        <v>0</v>
      </c>
      <c r="BB69" s="3">
        <v>4</v>
      </c>
      <c r="BC69" s="3">
        <v>115</v>
      </c>
      <c r="BD69" s="24">
        <v>10</v>
      </c>
      <c r="BE69" s="24">
        <v>10</v>
      </c>
      <c r="BF69" s="24">
        <v>10</v>
      </c>
      <c r="BG69" s="24">
        <v>10</v>
      </c>
      <c r="BH69" s="24">
        <v>10</v>
      </c>
      <c r="BI69" s="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40625" defaultRowHeight="11.25" customHeight="1"/>
  <cols>
    <col min="1" max="1" width="10.7109375" hidden="1" customWidth="1"/>
    <col min="2" max="2" width="16.85546875" hidden="1" customWidth="1"/>
    <col min="3" max="3" width="5.5703125" hidden="1" customWidth="1"/>
    <col min="4" max="4" width="3" customWidth="1"/>
    <col min="5" max="5" width="7" customWidth="1"/>
    <col min="6" max="6" width="54" customWidth="1"/>
    <col min="7" max="7" width="10" customWidth="1"/>
    <col min="8" max="8" width="40.7109375" hidden="1" customWidth="1"/>
    <col min="9" max="9" width="40.7109375" customWidth="1"/>
    <col min="10" max="10" width="102" customWidth="1"/>
    <col min="11" max="11" width="9" customWidth="1"/>
    <col min="12" max="12" width="5" customWidth="1"/>
    <col min="13" max="17" width="3" customWidth="1"/>
    <col min="18" max="18" width="10" customWidth="1"/>
    <col min="19" max="19" width="34" customWidth="1"/>
    <col min="20" max="20" width="9" customWidth="1"/>
    <col min="21" max="31" width="8" customWidth="1"/>
    <col min="32" max="32" width="9.140625" hidden="1"/>
  </cols>
  <sheetData>
    <row r="1" spans="2:32" ht="22.5" hidden="1" customHeight="1">
      <c r="AF1" s="3" t="s">
        <v>1</v>
      </c>
    </row>
    <row r="2" spans="2:32" ht="23.25" hidden="1" customHeight="1">
      <c r="B2" s="885"/>
      <c r="C2" s="342" t="s">
        <v>468</v>
      </c>
      <c r="E2" s="369">
        <f>B2</f>
        <v>0</v>
      </c>
      <c r="F2" s="370"/>
      <c r="G2" s="30" t="s">
        <v>469</v>
      </c>
      <c r="H2" s="30" t="s">
        <v>469</v>
      </c>
      <c r="I2" s="30" t="s">
        <v>469</v>
      </c>
      <c r="J2" s="227" t="s">
        <v>470</v>
      </c>
      <c r="AF2" s="3">
        <v>0</v>
      </c>
    </row>
    <row r="3" spans="2:32" ht="0.75" hidden="1" customHeight="1">
      <c r="B3" s="885"/>
      <c r="E3" s="371"/>
      <c r="F3" s="372" t="s">
        <v>471</v>
      </c>
      <c r="G3" s="31"/>
      <c r="H3" s="31">
        <f>H4*H5+H7</f>
        <v>0</v>
      </c>
      <c r="I3" s="31">
        <f>I4*I5+I6</f>
        <v>0</v>
      </c>
      <c r="J3" s="123"/>
      <c r="AF3" s="24">
        <v>0</v>
      </c>
    </row>
    <row r="4" spans="2:32" ht="23.25" hidden="1" customHeight="1">
      <c r="B4" s="885"/>
      <c r="E4" s="369" t="str">
        <f>B2&amp;".1"</f>
        <v>.1</v>
      </c>
      <c r="F4" s="373" t="s">
        <v>472</v>
      </c>
      <c r="G4" s="374"/>
      <c r="H4" s="243"/>
      <c r="I4" s="243"/>
      <c r="J4" s="227" t="s">
        <v>473</v>
      </c>
      <c r="AF4" s="3">
        <v>0</v>
      </c>
    </row>
    <row r="5" spans="2:32" ht="18.75" hidden="1" customHeight="1">
      <c r="B5" s="885"/>
      <c r="E5" s="369" t="str">
        <f>B2&amp;".2"</f>
        <v>.2</v>
      </c>
      <c r="F5" s="373" t="s">
        <v>474</v>
      </c>
      <c r="G5" s="30" t="s">
        <v>475</v>
      </c>
      <c r="H5" s="243"/>
      <c r="I5" s="243"/>
      <c r="J5" s="227"/>
      <c r="AF5" s="3">
        <v>0</v>
      </c>
    </row>
    <row r="6" spans="2:32" ht="18.75" hidden="1" customHeight="1">
      <c r="B6" s="885"/>
      <c r="E6" s="369" t="str">
        <f>B2&amp;".3"</f>
        <v>.3</v>
      </c>
      <c r="F6" s="373" t="s">
        <v>476</v>
      </c>
      <c r="G6" s="30" t="s">
        <v>475</v>
      </c>
      <c r="H6" s="243"/>
      <c r="I6" s="243"/>
      <c r="J6" s="227"/>
      <c r="AF6" s="3">
        <v>0</v>
      </c>
    </row>
    <row r="7" spans="2:32" ht="18.75" hidden="1" customHeight="1">
      <c r="B7" s="885"/>
      <c r="E7" s="369" t="str">
        <f>B2&amp;".4"</f>
        <v>.4</v>
      </c>
      <c r="F7" s="373" t="s">
        <v>477</v>
      </c>
      <c r="G7" s="30" t="s">
        <v>469</v>
      </c>
      <c r="H7" s="375"/>
      <c r="I7" s="375"/>
      <c r="J7" s="227"/>
      <c r="AF7" s="3">
        <v>0</v>
      </c>
    </row>
    <row r="8" spans="2:32" ht="11.25" hidden="1" customHeight="1">
      <c r="H8" s="11">
        <v>4</v>
      </c>
      <c r="I8" s="11">
        <v>4</v>
      </c>
      <c r="AF8" s="11">
        <v>0</v>
      </c>
    </row>
    <row r="9" spans="2:32" ht="22.5" hidden="1" customHeight="1">
      <c r="E9" s="30"/>
      <c r="F9" s="32"/>
      <c r="G9" s="30" t="s">
        <v>475</v>
      </c>
      <c r="H9" s="243"/>
      <c r="I9" s="243"/>
      <c r="J9" s="376" t="s">
        <v>478</v>
      </c>
      <c r="AF9" s="11">
        <v>0</v>
      </c>
    </row>
    <row r="10" spans="2:32" ht="11.25" hidden="1" customHeight="1">
      <c r="AF10" s="3">
        <v>0</v>
      </c>
    </row>
    <row r="11" spans="2:32" ht="18.75" hidden="1" customHeight="1">
      <c r="E11" s="369"/>
      <c r="F11" s="32"/>
      <c r="G11" s="30" t="s">
        <v>479</v>
      </c>
      <c r="H11" s="243"/>
      <c r="I11" s="243"/>
      <c r="J11" s="227" t="s">
        <v>480</v>
      </c>
      <c r="AF11" s="3">
        <v>0</v>
      </c>
    </row>
    <row r="12" spans="2:32" ht="11.25" hidden="1" customHeight="1">
      <c r="AF12" s="3">
        <v>0</v>
      </c>
    </row>
    <row r="13" spans="2:32" ht="22.5" hidden="1" customHeight="1">
      <c r="E13" s="369"/>
      <c r="F13" s="32"/>
      <c r="G13" s="6" t="s">
        <v>481</v>
      </c>
      <c r="H13" s="377"/>
      <c r="I13" s="377"/>
      <c r="J13" s="378" t="s">
        <v>482</v>
      </c>
      <c r="AF13" s="3">
        <v>0</v>
      </c>
    </row>
    <row r="14" spans="2:32" ht="11.25" hidden="1" customHeight="1">
      <c r="AF14" s="3">
        <v>0</v>
      </c>
    </row>
    <row r="15" spans="2:32" ht="22.5" hidden="1" customHeight="1">
      <c r="E15" s="369"/>
      <c r="F15" s="32"/>
      <c r="G15" s="30" t="s">
        <v>483</v>
      </c>
      <c r="H15" s="377"/>
      <c r="I15" s="377"/>
      <c r="J15" s="227" t="s">
        <v>484</v>
      </c>
      <c r="AF15" s="3">
        <v>0</v>
      </c>
    </row>
    <row r="16" spans="2:32" ht="11.25" hidden="1" customHeight="1">
      <c r="AF16" s="3">
        <v>0</v>
      </c>
    </row>
    <row r="17" spans="5:32" ht="22.5" hidden="1" customHeight="1">
      <c r="E17" s="369"/>
      <c r="F17" s="32"/>
      <c r="G17" s="30" t="s">
        <v>485</v>
      </c>
      <c r="H17" s="377"/>
      <c r="I17" s="377"/>
      <c r="J17" s="227" t="s">
        <v>486</v>
      </c>
      <c r="AF17" s="3">
        <v>0</v>
      </c>
    </row>
    <row r="18" spans="5:32" ht="11.25" hidden="1" customHeight="1">
      <c r="AF18" s="3">
        <v>0</v>
      </c>
    </row>
    <row r="19" spans="5:32" ht="11.25" hidden="1" customHeight="1">
      <c r="J19" s="2">
        <v>4</v>
      </c>
      <c r="AF19" s="2">
        <v>0</v>
      </c>
    </row>
    <row r="20" spans="5:32" ht="11.45" customHeight="1">
      <c r="AF20" s="3">
        <v>11</v>
      </c>
    </row>
    <row r="21" spans="5:32" ht="25.15" customHeight="1">
      <c r="E21" s="982"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982"/>
      <c r="G21" s="982"/>
      <c r="H21" s="982"/>
      <c r="I21" s="982"/>
      <c r="AF21" s="3">
        <v>24</v>
      </c>
    </row>
    <row r="22" spans="5:32" ht="25.15" customHeight="1">
      <c r="E22" s="955" t="e">
        <f>IF(org=0,"Не определено",org)</f>
        <v>#REF!</v>
      </c>
      <c r="F22" s="955"/>
      <c r="G22" s="955"/>
      <c r="H22" s="955"/>
      <c r="I22" s="955"/>
      <c r="AF22" s="3">
        <v>24</v>
      </c>
    </row>
    <row r="23" spans="5:32" ht="11.45" customHeight="1">
      <c r="AF23" s="3">
        <v>11</v>
      </c>
    </row>
    <row r="24" spans="5:32" ht="1.1499999999999999" customHeight="1">
      <c r="H24" s="379"/>
      <c r="I24" s="379" t="s">
        <v>42</v>
      </c>
      <c r="AF24" s="24">
        <v>1</v>
      </c>
    </row>
    <row r="25" spans="5:32" ht="11.45" customHeight="1">
      <c r="E25" s="380"/>
      <c r="F25" s="1086" t="s">
        <v>37</v>
      </c>
      <c r="G25" s="1087"/>
      <c r="H25" s="383" t="str">
        <f>IF(H24="","",INDEX(DIFFERENTIATION_UNMERGE_VD,MATCH(H24,DIFFERENTIATION_ID_DIFF,0)))</f>
        <v/>
      </c>
      <c r="I25" s="383" t="e">
        <f>IF(I24="","",INDEX(DIFFERENTIATION_UNMERGE_VD,MATCH(I24,DIFFERENTIATION_ID_DIFF,0)))</f>
        <v>#REF!</v>
      </c>
      <c r="J25" s="894"/>
      <c r="AF25" s="3">
        <v>11</v>
      </c>
    </row>
    <row r="26" spans="5:32" ht="11.45" customHeight="1">
      <c r="E26" s="380"/>
      <c r="F26" s="1086" t="s">
        <v>487</v>
      </c>
      <c r="G26" s="1087"/>
      <c r="H26" s="383" t="str">
        <f>IF(H24="","",INDEX(DIFFERENTIATION_UNMERGE_AREA,MATCH(H24,DIFFERENTIATION_ID_DIFF,0)))</f>
        <v/>
      </c>
      <c r="I26" s="383" t="e">
        <f>IF(I24="","",INDEX(DIFFERENTIATION_UNMERGE_AREA,MATCH(I24,DIFFERENTIATION_ID_DIFF,0)))</f>
        <v>#REF!</v>
      </c>
      <c r="J26" s="894"/>
      <c r="AF26" s="3">
        <v>11</v>
      </c>
    </row>
    <row r="27" spans="5:32" ht="11.45" customHeight="1">
      <c r="E27" s="380"/>
      <c r="F27" s="1086" t="s">
        <v>488</v>
      </c>
      <c r="G27" s="1087"/>
      <c r="H27" s="383" t="str">
        <f>IF(H24="","",INDEX(DIFFERENTIATION_UNMERGE_SYSTEM,MATCH(H24,DIFFERENTIATION_ID_DIFF,0)))</f>
        <v/>
      </c>
      <c r="I27" s="383" t="e">
        <f>IF(I24="","",INDEX(DIFFERENTIATION_UNMERGE_SYSTEM,MATCH(I24,DIFFERENTIATION_ID_DIFF,0)))</f>
        <v>#REF!</v>
      </c>
      <c r="J27" s="894"/>
      <c r="AF27" s="3">
        <v>11</v>
      </c>
    </row>
    <row r="28" spans="5:32" ht="11.45" customHeight="1">
      <c r="E28" s="1088" t="s">
        <v>223</v>
      </c>
      <c r="F28" s="1089"/>
      <c r="G28" s="1089"/>
      <c r="H28" s="381"/>
      <c r="I28" s="381"/>
      <c r="J28" s="894"/>
      <c r="AF28" s="3">
        <v>11</v>
      </c>
    </row>
    <row r="29" spans="5:32" ht="24" customHeight="1">
      <c r="E29" s="30" t="s">
        <v>24</v>
      </c>
      <c r="F29" s="30" t="s">
        <v>225</v>
      </c>
      <c r="G29" s="30" t="s">
        <v>489</v>
      </c>
      <c r="H29" s="30" t="s">
        <v>226</v>
      </c>
      <c r="I29" s="30" t="s">
        <v>226</v>
      </c>
      <c r="J29" s="894"/>
      <c r="AF29" s="3">
        <v>23</v>
      </c>
    </row>
    <row r="30" spans="5:32" ht="19.899999999999999" customHeight="1">
      <c r="E30" s="369">
        <f>FHD_NUM_P_1</f>
        <v>1</v>
      </c>
      <c r="F30" s="96" t="str">
        <f>FHD_P_1</f>
        <v>Выручка от регулируемых видов деятельности в сфере горячего водоснабжения</v>
      </c>
      <c r="G30" s="30" t="s">
        <v>475</v>
      </c>
      <c r="H30" s="384"/>
      <c r="I30" s="384"/>
      <c r="J30" s="227" t="str">
        <f>FHD_NOTE_P_1</f>
        <v>Указывается выручка с распределением по видам деятельности.</v>
      </c>
      <c r="AF30" s="3">
        <v>19</v>
      </c>
    </row>
    <row r="31" spans="5:32" ht="11.45" customHeight="1">
      <c r="E31" s="369">
        <f>FHD_NUM_P_2</f>
        <v>2</v>
      </c>
      <c r="F31" s="96" t="str">
        <f>FHD_P_2</f>
        <v>Себестоимость производимых товаров (оказываемых услуг) по регулируемым видам деятельности в сфере горячего водоснабжения, включая:</v>
      </c>
      <c r="G31" s="30" t="s">
        <v>475</v>
      </c>
      <c r="H31" s="385">
        <f>SUMIF($K33:$K71,$K31,H33:H71)</f>
        <v>0</v>
      </c>
      <c r="I31" s="385">
        <f>SUMIF($K33:$K71,$K31,I33:I71)</f>
        <v>0</v>
      </c>
      <c r="J31" s="227" t="str">
        <f>FHD_NOTE_P_2</f>
        <v>Указывается суммарная себестоимость производимых товаров.</v>
      </c>
      <c r="K31" s="24" t="s">
        <v>490</v>
      </c>
      <c r="AF31" s="3">
        <v>11</v>
      </c>
    </row>
    <row r="32" spans="5:32" ht="11.45" customHeight="1">
      <c r="E32" s="369" t="str">
        <f>FHD_NUM_P_3</f>
        <v>2.1</v>
      </c>
      <c r="F32" s="352" t="str">
        <f>FHD_P_3</f>
        <v>Расходы на приобретаемую тепловую энергию (мощность), используемую для горячего водоснабжения</v>
      </c>
      <c r="G32" s="30" t="s">
        <v>475</v>
      </c>
      <c r="H32" s="384"/>
      <c r="I32" s="384"/>
      <c r="J32" s="227" t="str">
        <f>FHD_NOTE_P_3</f>
        <v/>
      </c>
      <c r="K32" s="24" t="str">
        <f t="shared" ref="K32:K70" si="0">IF((LEN(E32)-LEN(SUBSTITUTE(E32,".","")))/LEN(".")=1,"p","")</f>
        <v>p</v>
      </c>
      <c r="AF32" s="3">
        <v>11</v>
      </c>
    </row>
    <row r="33" spans="1:32" ht="11.25" hidden="1" customHeight="1">
      <c r="A33" s="1084" t="s">
        <v>491</v>
      </c>
      <c r="E33" s="369" t="str">
        <f>FHD_NUM_P_4</f>
        <v/>
      </c>
      <c r="F33" s="352" t="str">
        <f>FHD_P_4</f>
        <v/>
      </c>
      <c r="G33" s="30" t="s">
        <v>475</v>
      </c>
      <c r="H33" s="385">
        <f>SUMIF($F34:$F40,$F3,H34:H40)</f>
        <v>0</v>
      </c>
      <c r="I33" s="385">
        <f>SUMIF($F34:$F40,$F3,I34:I40)</f>
        <v>0</v>
      </c>
      <c r="J33" s="227" t="str">
        <f>FHD_NOTE_P_4</f>
        <v/>
      </c>
      <c r="K33" s="24" t="str">
        <f t="shared" si="0"/>
        <v/>
      </c>
      <c r="AF33" s="3">
        <v>0</v>
      </c>
    </row>
    <row r="34" spans="1:32" ht="0.75" hidden="1" customHeight="1">
      <c r="A34" s="1084"/>
      <c r="B34" s="1085" t="str">
        <f>E33&amp;".0"</f>
        <v>.0</v>
      </c>
      <c r="E34" s="386"/>
      <c r="F34" s="387"/>
      <c r="G34" s="388"/>
      <c r="H34" s="187"/>
      <c r="I34" s="187"/>
      <c r="J34" s="389"/>
      <c r="K34" s="24" t="str">
        <f t="shared" si="0"/>
        <v/>
      </c>
      <c r="AF34" s="189">
        <v>0</v>
      </c>
    </row>
    <row r="35" spans="1:32" ht="0.75" hidden="1" customHeight="1">
      <c r="A35" s="1084"/>
      <c r="B35" s="885"/>
      <c r="E35" s="390"/>
      <c r="F35" s="391"/>
      <c r="G35" s="388"/>
      <c r="H35" s="392"/>
      <c r="I35" s="392"/>
      <c r="J35" s="389"/>
      <c r="K35" s="24" t="str">
        <f t="shared" si="0"/>
        <v/>
      </c>
      <c r="AF35" s="189">
        <v>0</v>
      </c>
    </row>
    <row r="36" spans="1:32" ht="0.75" hidden="1" customHeight="1">
      <c r="A36" s="1084"/>
      <c r="B36" s="885"/>
      <c r="E36" s="390"/>
      <c r="F36" s="391"/>
      <c r="G36" s="388"/>
      <c r="H36" s="392"/>
      <c r="I36" s="392"/>
      <c r="J36" s="389"/>
      <c r="K36" s="24" t="str">
        <f t="shared" si="0"/>
        <v/>
      </c>
      <c r="AF36" s="189">
        <v>0</v>
      </c>
    </row>
    <row r="37" spans="1:32" ht="0.75" hidden="1" customHeight="1">
      <c r="A37" s="1084"/>
      <c r="B37" s="885"/>
      <c r="E37" s="390"/>
      <c r="F37" s="391"/>
      <c r="G37" s="388"/>
      <c r="H37" s="392"/>
      <c r="I37" s="392"/>
      <c r="J37" s="389"/>
      <c r="K37" s="24" t="str">
        <f t="shared" si="0"/>
        <v/>
      </c>
      <c r="AF37" s="189">
        <v>0</v>
      </c>
    </row>
    <row r="38" spans="1:32" ht="0.75" hidden="1" customHeight="1">
      <c r="A38" s="1084"/>
      <c r="B38" s="885"/>
      <c r="E38" s="390"/>
      <c r="F38" s="391"/>
      <c r="G38" s="388"/>
      <c r="H38" s="392"/>
      <c r="I38" s="392"/>
      <c r="J38" s="389"/>
      <c r="K38" s="24" t="str">
        <f t="shared" si="0"/>
        <v/>
      </c>
      <c r="AF38" s="189">
        <v>0</v>
      </c>
    </row>
    <row r="39" spans="1:32" ht="0.75" hidden="1" customHeight="1">
      <c r="A39" s="1084"/>
      <c r="B39" s="885"/>
      <c r="E39" s="390"/>
      <c r="F39" s="391"/>
      <c r="G39" s="388"/>
      <c r="H39" s="187"/>
      <c r="I39" s="187"/>
      <c r="J39" s="389"/>
      <c r="K39" s="24" t="str">
        <f t="shared" si="0"/>
        <v/>
      </c>
      <c r="AF39" s="189">
        <v>0</v>
      </c>
    </row>
    <row r="40" spans="1:32" ht="15" hidden="1" customHeight="1">
      <c r="A40" s="1084"/>
      <c r="E40" s="393"/>
      <c r="F40" s="63" t="s">
        <v>492</v>
      </c>
      <c r="G40" s="394"/>
      <c r="H40" s="395"/>
      <c r="I40" s="395"/>
      <c r="J40" s="272"/>
      <c r="K40" s="24" t="str">
        <f t="shared" si="0"/>
        <v/>
      </c>
      <c r="AF40" s="11">
        <v>0</v>
      </c>
    </row>
    <row r="41" spans="1:32" ht="11.25" customHeight="1">
      <c r="A41" s="1084" t="s">
        <v>493</v>
      </c>
      <c r="E41" s="369" t="str">
        <f>FHD_NUM_P_5</f>
        <v>2.2</v>
      </c>
      <c r="F41" s="352" t="str">
        <f>FHD_P_5</f>
        <v>Расходы на тепловую энергию, производимую с применением собственных источников и используемую для горячего водоснабжения</v>
      </c>
      <c r="G41" s="30" t="s">
        <v>475</v>
      </c>
      <c r="H41" s="384"/>
      <c r="I41" s="384"/>
      <c r="J41" s="227" t="str">
        <f>FHD_NOTE_P_5</f>
        <v/>
      </c>
      <c r="K41" s="24" t="str">
        <f t="shared" si="0"/>
        <v>p</v>
      </c>
      <c r="AF41" s="3">
        <v>0</v>
      </c>
    </row>
    <row r="42" spans="1:32" ht="11.25" customHeight="1">
      <c r="A42" s="1084"/>
      <c r="E42" s="369" t="str">
        <f>FHD_NUM_P_6</f>
        <v>2.3</v>
      </c>
      <c r="F42" s="352" t="str">
        <f>FHD_P_6</f>
        <v>Расходы на приобретаемую холодную воду, используемую для горячего водоснабжения</v>
      </c>
      <c r="G42" s="30" t="s">
        <v>475</v>
      </c>
      <c r="H42" s="384"/>
      <c r="I42" s="384"/>
      <c r="J42" s="227" t="str">
        <f>FHD_NOTE_P_6</f>
        <v/>
      </c>
      <c r="K42" s="24" t="str">
        <f t="shared" si="0"/>
        <v>p</v>
      </c>
      <c r="AF42" s="3">
        <v>0</v>
      </c>
    </row>
    <row r="43" spans="1:32" ht="11.25" customHeight="1">
      <c r="A43" s="1084"/>
      <c r="E43" s="369" t="str">
        <f>FHD_NUM_P_7</f>
        <v>2.4</v>
      </c>
      <c r="F43" s="352"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30" t="s">
        <v>475</v>
      </c>
      <c r="H43" s="384"/>
      <c r="I43" s="384"/>
      <c r="J43" s="227" t="str">
        <f>FHD_NOTE_P_7</f>
        <v/>
      </c>
      <c r="K43" s="24" t="str">
        <f t="shared" si="0"/>
        <v>p</v>
      </c>
      <c r="AF43" s="3">
        <v>0</v>
      </c>
    </row>
    <row r="44" spans="1:32" ht="11.45" customHeight="1">
      <c r="E44" s="369" t="str">
        <f>FHD_NUM_P_8</f>
        <v>2.5</v>
      </c>
      <c r="F44" s="352" t="str">
        <f>FHD_P_8</f>
        <v>Расходы на приобретаемую электрическую энергию (мощность), используемую в технологическом процессе</v>
      </c>
      <c r="G44" s="30" t="s">
        <v>475</v>
      </c>
      <c r="H44" s="384"/>
      <c r="I44" s="384"/>
      <c r="J44" s="227" t="str">
        <f>FHD_NOTE_P_8</f>
        <v/>
      </c>
      <c r="K44" s="24" t="str">
        <f t="shared" si="0"/>
        <v>p</v>
      </c>
      <c r="AF44" s="3">
        <v>11</v>
      </c>
    </row>
    <row r="45" spans="1:32" ht="11.45" customHeight="1">
      <c r="E45" s="369" t="str">
        <f>FHD_NUM_P_9</f>
        <v>2.5.1</v>
      </c>
      <c r="F45" s="396" t="str">
        <f>FHD_P_9</f>
        <v>Средневзвешенная стоимость 1 кВт.ч (с учетом мощности)</v>
      </c>
      <c r="G45" s="30" t="s">
        <v>494</v>
      </c>
      <c r="H45" s="384"/>
      <c r="I45" s="384"/>
      <c r="J45" s="227" t="str">
        <f>FHD_NOTE_P_9</f>
        <v/>
      </c>
      <c r="K45" s="24" t="str">
        <f t="shared" si="0"/>
        <v/>
      </c>
      <c r="AF45" s="3">
        <v>11</v>
      </c>
    </row>
    <row r="46" spans="1:32" ht="11.45" customHeight="1">
      <c r="E46" s="369" t="str">
        <f>FHD_NUM_P_10</f>
        <v>2.5.2</v>
      </c>
      <c r="F46" s="396" t="str">
        <f>FHD_P_10</f>
        <v>Объём приобретения электрической энергии</v>
      </c>
      <c r="G46" s="30" t="s">
        <v>495</v>
      </c>
      <c r="H46" s="384"/>
      <c r="I46" s="384"/>
      <c r="J46" s="227" t="str">
        <f>FHD_NOTE_P_10</f>
        <v/>
      </c>
      <c r="K46" s="24" t="str">
        <f t="shared" si="0"/>
        <v/>
      </c>
      <c r="AF46" s="11">
        <v>11</v>
      </c>
    </row>
    <row r="47" spans="1:32" ht="11.25" hidden="1" customHeight="1">
      <c r="A47" s="397" t="s">
        <v>496</v>
      </c>
      <c r="E47" s="369" t="str">
        <f>FHD_NUM_P_11</f>
        <v/>
      </c>
      <c r="F47" s="352" t="str">
        <f>FHD_P_11</f>
        <v/>
      </c>
      <c r="G47" s="30" t="s">
        <v>475</v>
      </c>
      <c r="H47" s="384"/>
      <c r="I47" s="384"/>
      <c r="J47" s="227" t="str">
        <f>FHD_NOTE_P_11</f>
        <v/>
      </c>
      <c r="K47" s="24" t="str">
        <f t="shared" si="0"/>
        <v/>
      </c>
      <c r="AF47" s="11">
        <v>0</v>
      </c>
    </row>
    <row r="48" spans="1:32" ht="18.75" hidden="1" customHeight="1">
      <c r="A48" s="397" t="s">
        <v>497</v>
      </c>
      <c r="E48" s="369" t="str">
        <f>FHD_NUM_P_12</f>
        <v/>
      </c>
      <c r="F48" s="352" t="str">
        <f>FHD_P_12</f>
        <v/>
      </c>
      <c r="G48" s="30" t="s">
        <v>475</v>
      </c>
      <c r="H48" s="398"/>
      <c r="I48" s="398"/>
      <c r="J48" s="227" t="str">
        <f>FHD_NOTE_P_12</f>
        <v/>
      </c>
      <c r="K48" s="24" t="str">
        <f t="shared" si="0"/>
        <v/>
      </c>
      <c r="AF48" s="11">
        <v>18</v>
      </c>
    </row>
    <row r="49" spans="5:32" ht="11.45" customHeight="1">
      <c r="E49" s="369" t="str">
        <f>FHD_NUM_P_13</f>
        <v>2.6</v>
      </c>
      <c r="F49" s="35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30" t="s">
        <v>475</v>
      </c>
      <c r="H49" s="384"/>
      <c r="I49" s="384"/>
      <c r="J49" s="227" t="str">
        <f>FHD_NOTE_P_13</f>
        <v>Указывается общая сумма расходов на оплату труда и отчислений на социальные нужды основного производственного персонала.</v>
      </c>
      <c r="K49" s="24" t="str">
        <f t="shared" si="0"/>
        <v>p</v>
      </c>
      <c r="AF49" s="399">
        <v>11</v>
      </c>
    </row>
    <row r="50" spans="5:32" ht="11.45" customHeight="1">
      <c r="E50" s="369" t="str">
        <f>FHD_NUM_P_14</f>
        <v>2.6.1</v>
      </c>
      <c r="F50" s="396" t="str">
        <f>FHD_P_14</f>
        <v>Расходы на оплату труда основного производственного персонала</v>
      </c>
      <c r="G50" s="30" t="s">
        <v>475</v>
      </c>
      <c r="H50" s="384"/>
      <c r="I50" s="384"/>
      <c r="J50" s="227" t="str">
        <f>FHD_NOTE_P_14</f>
        <v/>
      </c>
      <c r="K50" s="24" t="str">
        <f t="shared" si="0"/>
        <v/>
      </c>
      <c r="AF50" s="399">
        <v>11</v>
      </c>
    </row>
    <row r="51" spans="5:32" ht="11.45" customHeight="1">
      <c r="E51" s="369" t="str">
        <f>FHD_NUM_P_15</f>
        <v>2.6.2</v>
      </c>
      <c r="F51" s="396" t="str">
        <f>FHD_P_15</f>
        <v>Страховые взносы на обязательное социальное страхование, выплачиваемые из фонда оплаты труда основного производственного персонала</v>
      </c>
      <c r="G51" s="30" t="s">
        <v>475</v>
      </c>
      <c r="H51" s="384"/>
      <c r="I51" s="384"/>
      <c r="J51" s="227" t="str">
        <f>FHD_NOTE_P_15</f>
        <v/>
      </c>
      <c r="K51" s="24" t="str">
        <f t="shared" si="0"/>
        <v/>
      </c>
      <c r="AF51" s="399">
        <v>11</v>
      </c>
    </row>
    <row r="52" spans="5:32" ht="11.45" customHeight="1">
      <c r="E52" s="369" t="str">
        <f>FHD_NUM_P_16</f>
        <v>2.7</v>
      </c>
      <c r="F52" s="35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30" t="s">
        <v>475</v>
      </c>
      <c r="H52" s="384"/>
      <c r="I52" s="384"/>
      <c r="J52" s="227" t="str">
        <f>FHD_NOTE_P_16</f>
        <v>Указывается общая сумма расходов на оплату труда и отчислений на социальные нужды административно-управленческого персонала.</v>
      </c>
      <c r="K52" s="24" t="str">
        <f t="shared" si="0"/>
        <v>p</v>
      </c>
      <c r="AF52" s="11">
        <v>11</v>
      </c>
    </row>
    <row r="53" spans="5:32" ht="11.45" customHeight="1">
      <c r="E53" s="369" t="str">
        <f>FHD_NUM_P_17</f>
        <v>2.7.1</v>
      </c>
      <c r="F53" s="396" t="str">
        <f>FHD_P_17</f>
        <v>Расходы на оплату труда административно-управленческого персонала</v>
      </c>
      <c r="G53" s="30" t="s">
        <v>475</v>
      </c>
      <c r="H53" s="384"/>
      <c r="I53" s="384"/>
      <c r="J53" s="227" t="str">
        <f>FHD_NOTE_P_17</f>
        <v/>
      </c>
      <c r="K53" s="24" t="str">
        <f t="shared" si="0"/>
        <v/>
      </c>
      <c r="AF53" s="11">
        <v>11</v>
      </c>
    </row>
    <row r="54" spans="5:32" ht="11.45" customHeight="1">
      <c r="E54" s="369" t="str">
        <f>FHD_NUM_P_18</f>
        <v>2.7.2</v>
      </c>
      <c r="F54" s="39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30" t="s">
        <v>475</v>
      </c>
      <c r="H54" s="384"/>
      <c r="I54" s="384"/>
      <c r="J54" s="227" t="str">
        <f>FHD_NOTE_P_18</f>
        <v/>
      </c>
      <c r="K54" s="24" t="str">
        <f t="shared" si="0"/>
        <v/>
      </c>
      <c r="AF54" s="11">
        <v>11</v>
      </c>
    </row>
    <row r="55" spans="5:32" ht="11.45" customHeight="1">
      <c r="E55" s="369" t="str">
        <f>FHD_NUM_P_19</f>
        <v>2.8</v>
      </c>
      <c r="F55" s="352" t="str">
        <f>FHD_P_19</f>
        <v>Расходы на амортизацию основных средств и нематериальных активов</v>
      </c>
      <c r="G55" s="30" t="s">
        <v>475</v>
      </c>
      <c r="H55" s="384"/>
      <c r="I55" s="384"/>
      <c r="J55" s="227" t="str">
        <f>FHD_NOTE_P_19</f>
        <v/>
      </c>
      <c r="K55" s="24" t="str">
        <f t="shared" si="0"/>
        <v>p</v>
      </c>
      <c r="AF55" s="11">
        <v>11</v>
      </c>
    </row>
    <row r="56" spans="5:32" ht="11.45" customHeight="1">
      <c r="E56" s="369" t="str">
        <f>FHD_NUM_P_20</f>
        <v>2.8.1</v>
      </c>
      <c r="F56" s="396" t="str">
        <f>FHD_P_20</f>
        <v>Расходы на амортизацию основных средств</v>
      </c>
      <c r="G56" s="30" t="s">
        <v>475</v>
      </c>
      <c r="H56" s="384"/>
      <c r="I56" s="384"/>
      <c r="J56" s="227" t="str">
        <f>FHD_NOTE_P_20</f>
        <v/>
      </c>
      <c r="K56" s="24" t="str">
        <f t="shared" si="0"/>
        <v/>
      </c>
      <c r="AF56" s="11">
        <v>11</v>
      </c>
    </row>
    <row r="57" spans="5:32" ht="11.45" customHeight="1">
      <c r="E57" s="369" t="str">
        <f>FHD_NUM_P_21</f>
        <v>2.8.2</v>
      </c>
      <c r="F57" s="396" t="str">
        <f>FHD_P_21</f>
        <v>Расходы на амортизацию нематериальных активов</v>
      </c>
      <c r="G57" s="30" t="s">
        <v>475</v>
      </c>
      <c r="H57" s="384"/>
      <c r="I57" s="384"/>
      <c r="J57" s="227" t="str">
        <f>FHD_NOTE_P_21</f>
        <v/>
      </c>
      <c r="K57" s="24" t="str">
        <f t="shared" si="0"/>
        <v/>
      </c>
      <c r="AF57" s="11">
        <v>11</v>
      </c>
    </row>
    <row r="58" spans="5:32" ht="11.45" customHeight="1">
      <c r="E58" s="369" t="str">
        <f>FHD_NUM_P_22</f>
        <v>2.9</v>
      </c>
      <c r="F58" s="352" t="str">
        <f>FHD_P_22</f>
        <v>Расходы на аренду имущества, используемого для осуществления регулируемых видов деятельности в сфере горячего водоснабжения</v>
      </c>
      <c r="G58" s="30" t="s">
        <v>475</v>
      </c>
      <c r="H58" s="384"/>
      <c r="I58" s="384"/>
      <c r="J58" s="227" t="str">
        <f>FHD_NOTE_P_22</f>
        <v/>
      </c>
      <c r="K58" s="24" t="str">
        <f t="shared" si="0"/>
        <v>p</v>
      </c>
      <c r="AF58" s="11">
        <v>11</v>
      </c>
    </row>
    <row r="59" spans="5:32" ht="11.45" customHeight="1">
      <c r="E59" s="369" t="str">
        <f>FHD_NUM_P_23</f>
        <v>2.10</v>
      </c>
      <c r="F59" s="352" t="str">
        <f>FHD_P_23</f>
        <v>Общепроизводственные расходы, в том числе:</v>
      </c>
      <c r="G59" s="30" t="s">
        <v>475</v>
      </c>
      <c r="H59" s="384"/>
      <c r="I59" s="384"/>
      <c r="J59" s="227" t="str">
        <f>FHD_NOTE_P_23</f>
        <v>Указывается общая сумма общепроизводственных расходов.</v>
      </c>
      <c r="K59" s="24" t="str">
        <f t="shared" si="0"/>
        <v>p</v>
      </c>
      <c r="AF59" s="11">
        <v>11</v>
      </c>
    </row>
    <row r="60" spans="5:32" ht="11.45" customHeight="1">
      <c r="E60" s="369" t="str">
        <f>FHD_NUM_P_24</f>
        <v>2.10.1</v>
      </c>
      <c r="F60" s="396" t="str">
        <f>FHD_P_24</f>
        <v>Расходы на текущий ремонт</v>
      </c>
      <c r="G60" s="30" t="s">
        <v>475</v>
      </c>
      <c r="H60" s="384"/>
      <c r="I60" s="384"/>
      <c r="J60" s="227" t="str">
        <f>FHD_NOTE_P_24</f>
        <v>Указываются расходы на текущий ремонт, отнесенные к общепроизводственным расходам.</v>
      </c>
      <c r="K60" s="24" t="str">
        <f t="shared" si="0"/>
        <v/>
      </c>
      <c r="AF60" s="11">
        <v>11</v>
      </c>
    </row>
    <row r="61" spans="5:32" ht="11.45" customHeight="1">
      <c r="E61" s="369" t="str">
        <f>FHD_NUM_P_25</f>
        <v>2.10.2</v>
      </c>
      <c r="F61" s="396" t="str">
        <f>FHD_P_25</f>
        <v>Расходы на капитальный ремонт</v>
      </c>
      <c r="G61" s="30" t="s">
        <v>475</v>
      </c>
      <c r="H61" s="384"/>
      <c r="I61" s="384"/>
      <c r="J61" s="227" t="str">
        <f>FHD_NOTE_P_25</f>
        <v>Указываются расходы на капитальный ремонт, отнесенные к общепроизводственным расходам.</v>
      </c>
      <c r="K61" s="24" t="str">
        <f t="shared" si="0"/>
        <v/>
      </c>
      <c r="AF61" s="11">
        <v>11</v>
      </c>
    </row>
    <row r="62" spans="5:32" ht="11.45" customHeight="1">
      <c r="E62" s="369" t="str">
        <f>FHD_NUM_P_26</f>
        <v>2.11</v>
      </c>
      <c r="F62" s="352" t="str">
        <f>FHD_P_26</f>
        <v>Общехозяйственные расходы, в том числе:</v>
      </c>
      <c r="G62" s="30" t="s">
        <v>475</v>
      </c>
      <c r="H62" s="384"/>
      <c r="I62" s="384"/>
      <c r="J62" s="227" t="str">
        <f>FHD_NOTE_P_26</f>
        <v>Указывается общая сумма общехозяйственных расходов.</v>
      </c>
      <c r="K62" s="24" t="str">
        <f t="shared" si="0"/>
        <v>p</v>
      </c>
      <c r="AF62" s="11">
        <v>11</v>
      </c>
    </row>
    <row r="63" spans="5:32" ht="11.45" customHeight="1">
      <c r="E63" s="369" t="str">
        <f>FHD_NUM_P_27</f>
        <v>2.11.1</v>
      </c>
      <c r="F63" s="396" t="str">
        <f>FHD_P_27</f>
        <v>Расходы на текущий ремонт</v>
      </c>
      <c r="G63" s="30" t="s">
        <v>475</v>
      </c>
      <c r="H63" s="384"/>
      <c r="I63" s="384"/>
      <c r="J63" s="227" t="str">
        <f>FHD_NOTE_P_27</f>
        <v>Указываются расходы на текущий ремонт, отнесенные к общехозяйственным расходам.</v>
      </c>
      <c r="K63" s="24" t="str">
        <f t="shared" si="0"/>
        <v/>
      </c>
      <c r="AF63" s="11">
        <v>11</v>
      </c>
    </row>
    <row r="64" spans="5:32" ht="11.45" customHeight="1">
      <c r="E64" s="369" t="str">
        <f>FHD_NUM_P_28</f>
        <v>2.11.2</v>
      </c>
      <c r="F64" s="396" t="str">
        <f>FHD_P_28</f>
        <v>Расходы на капитальный ремонт</v>
      </c>
      <c r="G64" s="30" t="s">
        <v>475</v>
      </c>
      <c r="H64" s="384"/>
      <c r="I64" s="384"/>
      <c r="J64" s="227" t="str">
        <f>FHD_NOTE_P_28</f>
        <v>Указываются расходы на капитальный ремонт, отнесенные к общехозяйственным расходам.</v>
      </c>
      <c r="K64" s="24" t="str">
        <f t="shared" si="0"/>
        <v/>
      </c>
      <c r="AF64" s="11">
        <v>11</v>
      </c>
    </row>
    <row r="65" spans="1:32" ht="11.45" customHeight="1">
      <c r="E65" s="369" t="str">
        <f>FHD_NUM_P_29</f>
        <v>2.12</v>
      </c>
      <c r="F65" s="352" t="str">
        <f>FHD_P_29</f>
        <v>Расходы на капитальный и текущий ремонт основных средств</v>
      </c>
      <c r="G65" s="30" t="s">
        <v>475</v>
      </c>
      <c r="H65" s="384"/>
      <c r="I65" s="384"/>
      <c r="J65" s="22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24" t="str">
        <f t="shared" si="0"/>
        <v>p</v>
      </c>
      <c r="AF65" s="11">
        <v>11</v>
      </c>
    </row>
    <row r="66" spans="1:32" ht="11.45" customHeight="1">
      <c r="E66" s="369" t="str">
        <f>FHD_NUM_P_30</f>
        <v>2.12.1</v>
      </c>
      <c r="F66" s="39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30" t="s">
        <v>229</v>
      </c>
      <c r="H66" s="157" t="s">
        <v>498</v>
      </c>
      <c r="I66" s="157" t="s">
        <v>498</v>
      </c>
      <c r="J66" s="227" t="str">
        <f>FHD_NOTE_P_30</f>
        <v/>
      </c>
      <c r="K66" s="24" t="str">
        <f t="shared" si="0"/>
        <v/>
      </c>
      <c r="L66" s="24">
        <f>IFERROR(MATCH("есть",B_FHD_FLAG_INDEX_1,0),0)</f>
        <v>0</v>
      </c>
      <c r="AF66" s="11">
        <v>11</v>
      </c>
    </row>
    <row r="67" spans="1:32" ht="23.25" customHeight="1">
      <c r="A67" s="1084" t="s">
        <v>499</v>
      </c>
      <c r="E67" s="369" t="str">
        <f>FHD_NUM_P_31</f>
        <v>2.13</v>
      </c>
      <c r="F67" s="352"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30" t="s">
        <v>475</v>
      </c>
      <c r="H67" s="384"/>
      <c r="I67" s="384"/>
      <c r="J67" s="22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24" t="str">
        <f t="shared" si="0"/>
        <v>p</v>
      </c>
      <c r="AF67" s="11">
        <v>22</v>
      </c>
    </row>
    <row r="68" spans="1:32" ht="47.25" customHeight="1">
      <c r="A68" s="1084"/>
      <c r="E68" s="369" t="str">
        <f>FHD_NUM_P_32</f>
        <v>2.13.1</v>
      </c>
      <c r="F68" s="39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30" t="s">
        <v>229</v>
      </c>
      <c r="H68" s="157" t="s">
        <v>498</v>
      </c>
      <c r="I68" s="157" t="s">
        <v>498</v>
      </c>
      <c r="J68" s="227" t="str">
        <f>FHD_NOTE_P_32</f>
        <v/>
      </c>
      <c r="K68" s="24" t="str">
        <f t="shared" si="0"/>
        <v/>
      </c>
      <c r="L68" s="24">
        <f>IFERROR(MATCH("есть",B_FHD_FLAG_INDEX_2,0),0)</f>
        <v>0</v>
      </c>
      <c r="AF68" s="11">
        <v>45</v>
      </c>
    </row>
    <row r="69" spans="1:32" ht="11.45" customHeight="1">
      <c r="E69" s="369" t="str">
        <f>FHD_NUM_P_33</f>
        <v>2.14</v>
      </c>
      <c r="F69" s="352"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92" t="s">
        <v>475</v>
      </c>
      <c r="H69" s="400">
        <f>SUM(H70:H71)</f>
        <v>0</v>
      </c>
      <c r="I69" s="400">
        <f>SUM(I70:I71)</f>
        <v>0</v>
      </c>
      <c r="J69" s="22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24" t="str">
        <f t="shared" si="0"/>
        <v>p</v>
      </c>
      <c r="AF69" s="11">
        <v>11</v>
      </c>
    </row>
    <row r="70" spans="1:32" ht="1.1499999999999999" customHeight="1">
      <c r="E70" s="31" t="str">
        <f>E69&amp;".0"</f>
        <v>2.14.0</v>
      </c>
      <c r="F70" s="401"/>
      <c r="G70" s="31"/>
      <c r="H70" s="402"/>
      <c r="I70" s="402"/>
      <c r="J70" s="403"/>
      <c r="K70" s="24" t="str">
        <f t="shared" si="0"/>
        <v/>
      </c>
      <c r="AF70" s="24">
        <v>1</v>
      </c>
    </row>
    <row r="71" spans="1:32" ht="14.65" customHeight="1">
      <c r="E71" s="393"/>
      <c r="F71" s="63" t="s">
        <v>500</v>
      </c>
      <c r="G71" s="394"/>
      <c r="H71" s="395"/>
      <c r="I71" s="395"/>
      <c r="J71" s="272"/>
      <c r="AF71" s="11">
        <v>14</v>
      </c>
    </row>
    <row r="72" spans="1:32" ht="18.75" hidden="1" customHeight="1">
      <c r="A72" s="397" t="s">
        <v>501</v>
      </c>
      <c r="E72" s="369" t="str">
        <f>FHD_NUM_P_34</f>
        <v/>
      </c>
      <c r="F72" s="96" t="str">
        <f>FHD_P_34</f>
        <v/>
      </c>
      <c r="G72" s="30" t="s">
        <v>475</v>
      </c>
      <c r="H72" s="384"/>
      <c r="I72" s="384"/>
      <c r="J72" s="227" t="str">
        <f>FHD_NOTE_P_34</f>
        <v/>
      </c>
      <c r="AF72" s="11">
        <v>0</v>
      </c>
    </row>
    <row r="73" spans="1:32" ht="19.899999999999999" customHeight="1">
      <c r="E73" s="369" t="str">
        <f>FHD_NUM_P_35</f>
        <v>3</v>
      </c>
      <c r="F73" s="96" t="str">
        <f>FHD_P_35</f>
        <v>Чистая прибыль, полученная от регулируемого вида деятельности в сфере горячего водоснабжения, в том числе:</v>
      </c>
      <c r="G73" s="30" t="s">
        <v>475</v>
      </c>
      <c r="H73" s="384"/>
      <c r="I73" s="384"/>
      <c r="J73" s="227" t="str">
        <f>FHD_NOTE_P_35</f>
        <v>Указывается общая сумма чистой прибыли, полученной от регулируемого вида деятельности.</v>
      </c>
      <c r="AF73" s="11">
        <v>19</v>
      </c>
    </row>
    <row r="74" spans="1:32" ht="19.899999999999999" customHeight="1">
      <c r="E74" s="369" t="str">
        <f>FHD_NUM_P_36</f>
        <v>3.1</v>
      </c>
      <c r="F74" s="35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30" t="s">
        <v>475</v>
      </c>
      <c r="H74" s="384"/>
      <c r="I74" s="384"/>
      <c r="J74" s="227" t="str">
        <f>FHD_NOTE_P_36</f>
        <v/>
      </c>
      <c r="AF74" s="11">
        <v>19</v>
      </c>
    </row>
    <row r="75" spans="1:32" ht="19.899999999999999" customHeight="1">
      <c r="E75" s="369" t="str">
        <f>FHD_NUM_P_37</f>
        <v>4</v>
      </c>
      <c r="F75" s="96" t="str">
        <f>FHD_P_37</f>
        <v>Изменение стоимости основных фондов, в том числе:</v>
      </c>
      <c r="G75" s="30" t="s">
        <v>475</v>
      </c>
      <c r="H75" s="384"/>
      <c r="I75" s="384"/>
      <c r="J75" s="227" t="str">
        <f>FHD_NOTE_P_37</f>
        <v>Указывается общее изменение стоимости основных фондов.</v>
      </c>
      <c r="AF75" s="11">
        <v>19</v>
      </c>
    </row>
    <row r="76" spans="1:32" ht="19.899999999999999" customHeight="1">
      <c r="E76" s="369" t="str">
        <f>FHD_NUM_P_38</f>
        <v>4.1</v>
      </c>
      <c r="F76" s="352" t="str">
        <f>FHD_P_38</f>
        <v>Изменение стоимости основных фондов за счет их ввода в эксплуатацию (вывода из эксплуатации)</v>
      </c>
      <c r="G76" s="30" t="s">
        <v>475</v>
      </c>
      <c r="H76" s="384"/>
      <c r="I76" s="384"/>
      <c r="J76" s="227" t="str">
        <f>FHD_NOTE_P_38</f>
        <v>Указываются общее изменение стоимости основных фондов за счет их ввода в эксплуатацию и вывода из эксплуатации.</v>
      </c>
      <c r="AF76" s="11">
        <v>19</v>
      </c>
    </row>
    <row r="77" spans="1:32" ht="19.899999999999999" customHeight="1">
      <c r="E77" s="369" t="str">
        <f>FHD_NUM_P_39</f>
        <v>4.1.1</v>
      </c>
      <c r="F77" s="396" t="str">
        <f>FHD_P_39</f>
        <v>Изменение стоимости основных фондов за счет их ввода в эксплуатацию</v>
      </c>
      <c r="G77" s="92" t="s">
        <v>475</v>
      </c>
      <c r="H77" s="384"/>
      <c r="I77" s="384"/>
      <c r="J77" s="227" t="str">
        <f>FHD_NOTE_P_39</f>
        <v>Указываются изменение стоимости основных фондов за счет их ввода в эксплуатацию.</v>
      </c>
      <c r="AF77" s="11">
        <v>19</v>
      </c>
    </row>
    <row r="78" spans="1:32" ht="19.899999999999999" customHeight="1">
      <c r="E78" s="369" t="str">
        <f>FHD_NUM_P_40</f>
        <v>4.1.2</v>
      </c>
      <c r="F78" s="404" t="str">
        <f>FHD_P_40</f>
        <v>Изменение стоимости основных фондов за счет их вывода в эксплуатацию</v>
      </c>
      <c r="G78" s="30" t="s">
        <v>475</v>
      </c>
      <c r="H78" s="405"/>
      <c r="I78" s="384"/>
      <c r="J78" s="227" t="str">
        <f>FHD_NOTE_P_40</f>
        <v>Указываются изменение стоимости основных фондов за счет их вывода из эксплуатации.</v>
      </c>
      <c r="AF78" s="11">
        <v>19</v>
      </c>
    </row>
    <row r="79" spans="1:32" ht="19.899999999999999" customHeight="1">
      <c r="E79" s="369" t="str">
        <f>FHD_NUM_P_41</f>
        <v>4.2</v>
      </c>
      <c r="F79" s="406" t="str">
        <f>FHD_P_41</f>
        <v>Изменение стоимости основных фондов за счет их переоценки</v>
      </c>
      <c r="G79" s="30" t="s">
        <v>475</v>
      </c>
      <c r="H79" s="405"/>
      <c r="I79" s="384"/>
      <c r="J79" s="227" t="str">
        <f>FHD_NOTE_P_41</f>
        <v/>
      </c>
      <c r="AF79" s="11">
        <v>19</v>
      </c>
    </row>
    <row r="80" spans="1:32" ht="19.899999999999999" customHeight="1">
      <c r="A80" s="397" t="s">
        <v>502</v>
      </c>
      <c r="E80" s="369" t="str">
        <f>FHD_NUM_P_42</f>
        <v>5</v>
      </c>
      <c r="F80" s="109" t="str">
        <f>FHD_P_42</f>
        <v>Валовая прибыль (убытки) от продажи товаров и услуг по регулируемым видам деятельности в сфере горячего водоснабжения</v>
      </c>
      <c r="G80" s="30" t="s">
        <v>475</v>
      </c>
      <c r="H80" s="405"/>
      <c r="I80" s="384"/>
      <c r="J80" s="227" t="str">
        <f>FHD_NOTE_P_42</f>
        <v/>
      </c>
      <c r="AF80" s="11">
        <v>19</v>
      </c>
    </row>
    <row r="81" spans="1:32" ht="19.899999999999999" customHeight="1">
      <c r="E81" s="369" t="str">
        <f>FHD_NUM_P_43</f>
        <v>6</v>
      </c>
      <c r="F81" s="96" t="str">
        <f>FHD_P_43</f>
        <v>Годовая бухгалтерская (финансовая) отчетность, включая бухгалтерский баланс и приложения к нему</v>
      </c>
      <c r="G81" s="35" t="s">
        <v>229</v>
      </c>
      <c r="H81" s="407"/>
      <c r="I81" s="408"/>
      <c r="J81" s="22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AF81" s="11">
        <v>19</v>
      </c>
    </row>
    <row r="82" spans="1:32" ht="18.75" hidden="1" customHeight="1">
      <c r="A82" s="1084" t="s">
        <v>503</v>
      </c>
      <c r="E82" s="369" t="str">
        <f>FHD_NUM_P_44</f>
        <v/>
      </c>
      <c r="F82" s="96" t="str">
        <f>FHD_P_44</f>
        <v/>
      </c>
      <c r="G82" s="30" t="s">
        <v>504</v>
      </c>
      <c r="H82" s="409"/>
      <c r="I82" s="398"/>
      <c r="J82" s="227" t="str">
        <f>FHD_NOTE_P_44</f>
        <v/>
      </c>
      <c r="AF82" s="11">
        <v>0</v>
      </c>
    </row>
    <row r="83" spans="1:32" ht="18.75" hidden="1" customHeight="1">
      <c r="A83" s="1084"/>
      <c r="E83" s="369" t="str">
        <f>FHD_NUM_P_45</f>
        <v/>
      </c>
      <c r="F83" s="96" t="str">
        <f>FHD_P_45</f>
        <v/>
      </c>
      <c r="G83" s="30" t="s">
        <v>504</v>
      </c>
      <c r="H83" s="409"/>
      <c r="I83" s="398"/>
      <c r="J83" s="227" t="str">
        <f>FHD_NOTE_P_45</f>
        <v/>
      </c>
      <c r="AF83" s="11">
        <v>0</v>
      </c>
    </row>
    <row r="84" spans="1:32" ht="18.75" hidden="1" customHeight="1">
      <c r="A84" s="1084"/>
      <c r="E84" s="369" t="str">
        <f>FHD_NUM_P_46</f>
        <v/>
      </c>
      <c r="F84" s="96" t="str">
        <f>FHD_P_46</f>
        <v/>
      </c>
      <c r="G84" s="30" t="s">
        <v>504</v>
      </c>
      <c r="H84" s="409"/>
      <c r="I84" s="398"/>
      <c r="J84" s="227" t="str">
        <f>FHD_NOTE_P_46</f>
        <v/>
      </c>
      <c r="AF84" s="11">
        <v>0</v>
      </c>
    </row>
    <row r="85" spans="1:32" ht="18.75" hidden="1" customHeight="1">
      <c r="A85" s="1084"/>
      <c r="E85" s="369" t="str">
        <f>FHD_NUM_P_47</f>
        <v/>
      </c>
      <c r="F85" s="96" t="str">
        <f>FHD_P_47</f>
        <v/>
      </c>
      <c r="G85" s="30" t="s">
        <v>504</v>
      </c>
      <c r="H85" s="409"/>
      <c r="I85" s="398"/>
      <c r="J85" s="227" t="str">
        <f>FHD_NOTE_P_47</f>
        <v/>
      </c>
      <c r="AF85" s="11">
        <v>0</v>
      </c>
    </row>
    <row r="86" spans="1:32" ht="18.75" hidden="1" customHeight="1">
      <c r="A86" s="1084"/>
      <c r="E86" s="369" t="str">
        <f>FHD_NUM_P_48</f>
        <v/>
      </c>
      <c r="F86" s="96" t="str">
        <f>FHD_P_48</f>
        <v/>
      </c>
      <c r="G86" s="30" t="s">
        <v>504</v>
      </c>
      <c r="H86" s="409"/>
      <c r="I86" s="398"/>
      <c r="J86" s="227" t="str">
        <f>FHD_NOTE_P_48</f>
        <v/>
      </c>
      <c r="AF86" s="3">
        <v>0</v>
      </c>
    </row>
    <row r="87" spans="1:32" ht="18.75" hidden="1" customHeight="1">
      <c r="A87" s="1084"/>
      <c r="E87" s="369" t="str">
        <f>FHD_NUM_P_49</f>
        <v/>
      </c>
      <c r="F87" s="96" t="str">
        <f>FHD_P_49</f>
        <v/>
      </c>
      <c r="G87" s="30" t="s">
        <v>504</v>
      </c>
      <c r="H87" s="410">
        <f>SUM(H88:H89)</f>
        <v>0</v>
      </c>
      <c r="I87" s="411">
        <f>SUM(I88:I89)</f>
        <v>0</v>
      </c>
      <c r="J87" s="227" t="str">
        <f>FHD_NOTE_P_49</f>
        <v/>
      </c>
      <c r="AF87" s="3">
        <v>0</v>
      </c>
    </row>
    <row r="88" spans="1:32" ht="18.75" hidden="1" customHeight="1">
      <c r="A88" s="1084"/>
      <c r="E88" s="369" t="str">
        <f>FHD_NUM_P_50</f>
        <v/>
      </c>
      <c r="F88" s="96" t="str">
        <f>FHD_P_50</f>
        <v/>
      </c>
      <c r="G88" s="30" t="s">
        <v>504</v>
      </c>
      <c r="H88" s="409"/>
      <c r="I88" s="398"/>
      <c r="J88" s="227" t="str">
        <f>FHD_NOTE_P_50</f>
        <v/>
      </c>
      <c r="AF88" s="3">
        <v>0</v>
      </c>
    </row>
    <row r="89" spans="1:32" ht="18.75" hidden="1" customHeight="1">
      <c r="A89" s="1084"/>
      <c r="E89" s="369" t="str">
        <f>FHD_NUM_P_51</f>
        <v/>
      </c>
      <c r="F89" s="96" t="str">
        <f>FHD_P_51</f>
        <v/>
      </c>
      <c r="G89" s="30" t="s">
        <v>504</v>
      </c>
      <c r="H89" s="409"/>
      <c r="I89" s="398"/>
      <c r="J89" s="227" t="str">
        <f>FHD_NOTE_P_51</f>
        <v/>
      </c>
      <c r="AF89" s="3">
        <v>0</v>
      </c>
    </row>
    <row r="90" spans="1:32" ht="18.75" hidden="1" customHeight="1">
      <c r="A90" s="1084"/>
      <c r="E90" s="369" t="str">
        <f>FHD_NUM_P_52</f>
        <v/>
      </c>
      <c r="F90" s="96" t="str">
        <f>FHD_P_52</f>
        <v/>
      </c>
      <c r="G90" s="30" t="s">
        <v>481</v>
      </c>
      <c r="H90" s="405"/>
      <c r="I90" s="384"/>
      <c r="J90" s="227" t="str">
        <f>FHD_NOTE_P_52</f>
        <v/>
      </c>
      <c r="AF90" s="3">
        <v>0</v>
      </c>
    </row>
    <row r="91" spans="1:32" ht="18.75" customHeight="1">
      <c r="A91" s="1084" t="s">
        <v>505</v>
      </c>
      <c r="E91" s="369" t="str">
        <f>FHD_NUM_P_53</f>
        <v>7</v>
      </c>
      <c r="F91" s="96" t="str">
        <f>FHD_P_53</f>
        <v>Объём приобретаемой холодной воды, используемой для горячего водоснабжения</v>
      </c>
      <c r="G91" s="30" t="s">
        <v>504</v>
      </c>
      <c r="H91" s="409"/>
      <c r="I91" s="398"/>
      <c r="J91" s="227" t="str">
        <f>FHD_NOTE_P_53</f>
        <v/>
      </c>
      <c r="AF91" s="11">
        <v>0</v>
      </c>
    </row>
    <row r="92" spans="1:32" ht="18.75" customHeight="1">
      <c r="A92" s="1084"/>
      <c r="E92" s="369" t="str">
        <f>FHD_NUM_P_54</f>
        <v>8</v>
      </c>
      <c r="F92" s="96" t="str">
        <f>FHD_P_54</f>
        <v>Объём холодной воды, получаемой с применением собственных источников водозабора (скважин) и используемой для горячего водоснабжения</v>
      </c>
      <c r="G92" s="30" t="s">
        <v>504</v>
      </c>
      <c r="H92" s="409"/>
      <c r="I92" s="398"/>
      <c r="J92" s="227" t="str">
        <f>FHD_NOTE_P_54</f>
        <v/>
      </c>
      <c r="AF92" s="11">
        <v>0</v>
      </c>
    </row>
    <row r="93" spans="1:32" ht="18.75" customHeight="1">
      <c r="A93" s="1084"/>
      <c r="E93" s="369" t="str">
        <f>FHD_NUM_P_55</f>
        <v>9</v>
      </c>
      <c r="F93" s="96" t="str">
        <f>FHD_P_55</f>
        <v>Объём приобретаемой тепловой энергии (мощности), используемой для горячего водоснабжения</v>
      </c>
      <c r="G93" s="351"/>
      <c r="H93" s="409"/>
      <c r="I93" s="398"/>
      <c r="J93" s="227" t="str">
        <f>FHD_NOTE_P_55</f>
        <v/>
      </c>
      <c r="AF93" s="11">
        <v>0</v>
      </c>
    </row>
    <row r="94" spans="1:32" ht="18.75" customHeight="1">
      <c r="A94" s="1084"/>
      <c r="E94" s="369" t="str">
        <f>FHD_NUM_P_56</f>
        <v>10</v>
      </c>
      <c r="F94" s="96" t="str">
        <f>FHD_P_56</f>
        <v>Объём тепловой энергии, производимой с применением собственных источников и используемой для горячего водоснабжения</v>
      </c>
      <c r="G94" s="30" t="s">
        <v>506</v>
      </c>
      <c r="H94" s="409"/>
      <c r="I94" s="398"/>
      <c r="J94" s="227" t="str">
        <f>FHD_NOTE_P_56</f>
        <v/>
      </c>
      <c r="AF94" s="11">
        <v>0</v>
      </c>
    </row>
    <row r="95" spans="1:32" ht="18.75" customHeight="1">
      <c r="A95" s="1084"/>
      <c r="E95" s="369" t="str">
        <f>FHD_NUM_P_57</f>
        <v>11</v>
      </c>
      <c r="F95" s="96" t="str">
        <f>FHD_P_57</f>
        <v>Потери горячей воды в сетях (процентов)</v>
      </c>
      <c r="G95" s="30" t="s">
        <v>481</v>
      </c>
      <c r="H95" s="405"/>
      <c r="I95" s="384"/>
      <c r="J95" s="227" t="str">
        <f>FHD_NOTE_P_57</f>
        <v/>
      </c>
      <c r="AF95" s="3">
        <v>0</v>
      </c>
    </row>
    <row r="96" spans="1:32" ht="18.75" hidden="1" customHeight="1">
      <c r="A96" s="1084" t="s">
        <v>507</v>
      </c>
      <c r="E96" s="369" t="str">
        <f>FHD_NUM_P_58</f>
        <v/>
      </c>
      <c r="F96" s="96" t="str">
        <f>FHD_P_58</f>
        <v/>
      </c>
      <c r="G96" s="30" t="s">
        <v>504</v>
      </c>
      <c r="H96" s="409"/>
      <c r="I96" s="398"/>
      <c r="J96" s="227" t="str">
        <f>FHD_NOTE_P_58</f>
        <v/>
      </c>
      <c r="AF96" s="3">
        <v>0</v>
      </c>
    </row>
    <row r="97" spans="1:32" ht="18.75" hidden="1" customHeight="1">
      <c r="A97" s="1084"/>
      <c r="E97" s="369" t="str">
        <f>FHD_NUM_P_59</f>
        <v/>
      </c>
      <c r="F97" s="96" t="str">
        <f>FHD_P_59</f>
        <v/>
      </c>
      <c r="G97" s="30" t="s">
        <v>504</v>
      </c>
      <c r="H97" s="409"/>
      <c r="I97" s="398"/>
      <c r="J97" s="227" t="str">
        <f>FHD_NOTE_P_59</f>
        <v/>
      </c>
      <c r="AF97" s="3">
        <v>0</v>
      </c>
    </row>
    <row r="98" spans="1:32" ht="18.75" hidden="1" customHeight="1">
      <c r="A98" s="1084"/>
      <c r="E98" s="369" t="str">
        <f>FHD_NUM_P_60</f>
        <v/>
      </c>
      <c r="F98" s="96" t="str">
        <f>FHD_P_60</f>
        <v/>
      </c>
      <c r="G98" s="30" t="s">
        <v>504</v>
      </c>
      <c r="H98" s="409"/>
      <c r="I98" s="398"/>
      <c r="J98" s="227" t="str">
        <f>FHD_NOTE_P_60</f>
        <v/>
      </c>
      <c r="AF98" s="3">
        <v>0</v>
      </c>
    </row>
    <row r="99" spans="1:32" ht="18.75" hidden="1" customHeight="1">
      <c r="A99" s="1084" t="s">
        <v>508</v>
      </c>
      <c r="E99" s="369" t="str">
        <f>FHD_NUM_P_61</f>
        <v/>
      </c>
      <c r="F99" s="96" t="str">
        <f>FHD_P_61</f>
        <v/>
      </c>
      <c r="G99" s="30" t="s">
        <v>479</v>
      </c>
      <c r="H99" s="412"/>
      <c r="I99" s="413"/>
      <c r="J99" s="227" t="str">
        <f>FHD_NOTE_P_61</f>
        <v/>
      </c>
      <c r="AF99" s="11">
        <v>0</v>
      </c>
    </row>
    <row r="100" spans="1:32" ht="0.75" hidden="1" customHeight="1">
      <c r="A100" s="1084"/>
      <c r="E100" s="31" t="str">
        <f>E99&amp;".0"</f>
        <v>.0</v>
      </c>
      <c r="F100" s="414"/>
      <c r="G100" s="415"/>
      <c r="H100" s="402"/>
      <c r="I100" s="402"/>
      <c r="J100" s="416"/>
      <c r="AF100" s="24">
        <v>0</v>
      </c>
    </row>
    <row r="101" spans="1:32" ht="15" hidden="1" customHeight="1">
      <c r="A101" s="1084"/>
      <c r="E101" s="417"/>
      <c r="F101" s="418" t="s">
        <v>509</v>
      </c>
      <c r="G101" s="394"/>
      <c r="H101" s="395"/>
      <c r="I101" s="395"/>
      <c r="J101" s="419" t="s">
        <v>510</v>
      </c>
      <c r="AF101" s="3">
        <v>0</v>
      </c>
    </row>
    <row r="102" spans="1:32" ht="18.75" hidden="1" customHeight="1">
      <c r="A102" s="1084"/>
      <c r="E102" s="369" t="str">
        <f>FHD_NUM_P_62</f>
        <v/>
      </c>
      <c r="F102" s="96" t="str">
        <f>FHD_P_62</f>
        <v/>
      </c>
      <c r="G102" s="6" t="s">
        <v>479</v>
      </c>
      <c r="H102" s="384"/>
      <c r="I102" s="384"/>
      <c r="J102" s="227" t="str">
        <f>FHD_NOTE_P_62</f>
        <v/>
      </c>
      <c r="AF102" s="11">
        <v>0</v>
      </c>
    </row>
    <row r="103" spans="1:32" ht="18.75" hidden="1" customHeight="1">
      <c r="A103" s="1084"/>
      <c r="E103" s="369" t="str">
        <f>FHD_NUM_P_63</f>
        <v/>
      </c>
      <c r="F103" s="96" t="str">
        <f>FHD_P_63</f>
        <v/>
      </c>
      <c r="G103" s="6" t="s">
        <v>506</v>
      </c>
      <c r="H103" s="398"/>
      <c r="I103" s="398"/>
      <c r="J103" s="227" t="str">
        <f>FHD_NOTE_P_63</f>
        <v/>
      </c>
      <c r="AF103" s="11">
        <v>0</v>
      </c>
    </row>
    <row r="104" spans="1:32" ht="18.75" hidden="1" customHeight="1">
      <c r="A104" s="1084"/>
      <c r="C104" s="24" t="s">
        <v>511</v>
      </c>
      <c r="E104" s="369" t="str">
        <f>FHD_NUM_P_64</f>
        <v/>
      </c>
      <c r="F104" s="96" t="str">
        <f>FHD_P_64</f>
        <v/>
      </c>
      <c r="G104" s="6" t="s">
        <v>506</v>
      </c>
      <c r="H104" s="377"/>
      <c r="I104" s="377"/>
      <c r="J104" s="227" t="str">
        <f>FHD_NOTE_P_64</f>
        <v/>
      </c>
      <c r="AF104" s="11">
        <v>0</v>
      </c>
    </row>
    <row r="105" spans="1:32" ht="18.75" hidden="1" customHeight="1">
      <c r="A105" s="1084"/>
      <c r="E105" s="369" t="str">
        <f>FHD_NUM_P_65</f>
        <v/>
      </c>
      <c r="F105" s="96" t="str">
        <f>FHD_P_65</f>
        <v/>
      </c>
      <c r="G105" s="6" t="s">
        <v>506</v>
      </c>
      <c r="H105" s="398"/>
      <c r="I105" s="398"/>
      <c r="J105" s="227" t="str">
        <f>FHD_NOTE_P_65</f>
        <v/>
      </c>
      <c r="AF105" s="11">
        <v>0</v>
      </c>
    </row>
    <row r="106" spans="1:32" ht="18.75" hidden="1" customHeight="1">
      <c r="A106" s="1084"/>
      <c r="E106" s="369" t="str">
        <f>FHD_NUM_P_66</f>
        <v/>
      </c>
      <c r="F106" s="352" t="str">
        <f>FHD_P_66</f>
        <v/>
      </c>
      <c r="G106" s="6" t="s">
        <v>506</v>
      </c>
      <c r="H106" s="398"/>
      <c r="I106" s="398"/>
      <c r="J106" s="227" t="str">
        <f>FHD_NOTE_P_66</f>
        <v/>
      </c>
      <c r="AF106" s="11">
        <v>0</v>
      </c>
    </row>
    <row r="107" spans="1:32" ht="18.75" hidden="1" customHeight="1">
      <c r="A107" s="1084"/>
      <c r="E107" s="369" t="str">
        <f>FHD_NUM_P_67</f>
        <v/>
      </c>
      <c r="F107" s="396" t="str">
        <f>FHD_P_67</f>
        <v/>
      </c>
      <c r="G107" s="6" t="s">
        <v>506</v>
      </c>
      <c r="H107" s="398"/>
      <c r="I107" s="398"/>
      <c r="J107" s="227" t="str">
        <f>FHD_NOTE_P_67</f>
        <v/>
      </c>
      <c r="AF107" s="11">
        <v>0</v>
      </c>
    </row>
    <row r="108" spans="1:32" ht="18.75" hidden="1" customHeight="1">
      <c r="A108" s="1084"/>
      <c r="E108" s="369" t="str">
        <f>FHD_NUM_P_68</f>
        <v/>
      </c>
      <c r="F108" s="352" t="str">
        <f>FHD_P_68</f>
        <v/>
      </c>
      <c r="G108" s="6" t="s">
        <v>506</v>
      </c>
      <c r="H108" s="398"/>
      <c r="I108" s="398"/>
      <c r="J108" s="227" t="str">
        <f>FHD_NOTE_P_68</f>
        <v/>
      </c>
      <c r="AF108" s="11">
        <v>0</v>
      </c>
    </row>
    <row r="109" spans="1:32" ht="18.75" hidden="1" customHeight="1">
      <c r="A109" s="1084"/>
      <c r="E109" s="369" t="str">
        <f>FHD_NUM_P_69</f>
        <v/>
      </c>
      <c r="F109" s="352" t="str">
        <f>FHD_P_69</f>
        <v/>
      </c>
      <c r="G109" s="6" t="s">
        <v>506</v>
      </c>
      <c r="H109" s="398"/>
      <c r="I109" s="398"/>
      <c r="J109" s="227" t="str">
        <f>FHD_NOTE_P_69</f>
        <v/>
      </c>
      <c r="AF109" s="11">
        <v>0</v>
      </c>
    </row>
    <row r="110" spans="1:32" ht="22.5" hidden="1" customHeight="1">
      <c r="A110" s="1084"/>
      <c r="E110" s="369" t="str">
        <f>FHD_NUM_P_70</f>
        <v/>
      </c>
      <c r="F110" s="96" t="str">
        <f>FHD_P_70</f>
        <v/>
      </c>
      <c r="G110" s="6" t="s">
        <v>512</v>
      </c>
      <c r="H110" s="384"/>
      <c r="I110" s="384"/>
      <c r="J110" s="227" t="str">
        <f>FHD_NOTE_P_70</f>
        <v/>
      </c>
      <c r="AF110" s="11">
        <v>0</v>
      </c>
    </row>
    <row r="111" spans="1:32" ht="22.5" hidden="1" customHeight="1">
      <c r="A111" s="1084"/>
      <c r="E111" s="369" t="str">
        <f>FHD_NUM_P_71</f>
        <v/>
      </c>
      <c r="F111" s="96" t="str">
        <f>FHD_P_71</f>
        <v/>
      </c>
      <c r="G111" s="6" t="s">
        <v>512</v>
      </c>
      <c r="H111" s="384"/>
      <c r="I111" s="384"/>
      <c r="J111" s="227" t="str">
        <f>FHD_NOTE_P_71</f>
        <v/>
      </c>
      <c r="AF111" s="11">
        <v>0</v>
      </c>
    </row>
    <row r="112" spans="1:32" ht="19.899999999999999" customHeight="1">
      <c r="E112" s="369" t="str">
        <f>FHD_NUM_P_72</f>
        <v>12</v>
      </c>
      <c r="F112" s="96" t="str">
        <f>FHD_P_72</f>
        <v>Среднесписочная численность основного производственного персонала</v>
      </c>
      <c r="G112" s="6" t="s">
        <v>513</v>
      </c>
      <c r="H112" s="398"/>
      <c r="I112" s="398"/>
      <c r="J112" s="227" t="str">
        <f>FHD_NOTE_P_72</f>
        <v/>
      </c>
      <c r="AF112" s="3">
        <v>19</v>
      </c>
    </row>
    <row r="113" spans="1:32" ht="18.75" hidden="1" customHeight="1">
      <c r="A113" s="397" t="s">
        <v>514</v>
      </c>
      <c r="E113" s="369" t="str">
        <f>FHD_NUM_P_73</f>
        <v/>
      </c>
      <c r="F113" s="96" t="str">
        <f>FHD_P_73</f>
        <v/>
      </c>
      <c r="G113" s="90" t="s">
        <v>513</v>
      </c>
      <c r="H113" s="420"/>
      <c r="I113" s="420"/>
      <c r="J113" s="227" t="str">
        <f>FHD_NOTE_P_73</f>
        <v/>
      </c>
      <c r="AF113" s="3">
        <v>0</v>
      </c>
    </row>
    <row r="114" spans="1:32" ht="33.75" customHeight="1">
      <c r="A114" s="397" t="s">
        <v>515</v>
      </c>
      <c r="E114" s="369" t="str">
        <f>FHD_NUM_P_74</f>
        <v>13</v>
      </c>
      <c r="F114" s="96" t="str">
        <f>FHD_P_74</f>
        <v>Удельный расход электрической энергии на подачу воды в сеть</v>
      </c>
      <c r="G114" s="6" t="s">
        <v>516</v>
      </c>
      <c r="H114" s="398"/>
      <c r="I114" s="398"/>
      <c r="J114" s="227" t="str">
        <f>FHD_NOTE_P_74</f>
        <v/>
      </c>
      <c r="AF114" s="3">
        <v>0</v>
      </c>
    </row>
    <row r="115" spans="1:32" ht="18.75" hidden="1" customHeight="1">
      <c r="A115" s="1084" t="s">
        <v>517</v>
      </c>
      <c r="E115" s="369" t="str">
        <f>FHD_NUM_P_75</f>
        <v/>
      </c>
      <c r="F115" s="96" t="str">
        <f>FHD_P_75</f>
        <v/>
      </c>
      <c r="G115" s="6" t="s">
        <v>481</v>
      </c>
      <c r="H115" s="384"/>
      <c r="I115" s="384"/>
      <c r="J115" s="227" t="str">
        <f>FHD_NOTE_P_75</f>
        <v/>
      </c>
      <c r="AF115" s="3">
        <v>0</v>
      </c>
    </row>
    <row r="116" spans="1:32" ht="18.75" hidden="1" customHeight="1">
      <c r="A116" s="1084"/>
      <c r="E116" s="369" t="str">
        <f>FHD_NUM_P_76</f>
        <v/>
      </c>
      <c r="F116" s="96" t="str">
        <f>FHD_P_76</f>
        <v/>
      </c>
      <c r="G116" s="6" t="s">
        <v>481</v>
      </c>
      <c r="H116" s="384"/>
      <c r="I116" s="384"/>
      <c r="J116" s="227" t="str">
        <f>FHD_NOTE_P_76</f>
        <v/>
      </c>
      <c r="AF116" s="3">
        <v>0</v>
      </c>
    </row>
    <row r="117" spans="1:32" ht="18.75" hidden="1" customHeight="1">
      <c r="A117" s="1084"/>
      <c r="E117" s="369" t="str">
        <f>FHD_NUM_P_77</f>
        <v/>
      </c>
      <c r="F117" s="96" t="str">
        <f>FHD_P_77</f>
        <v/>
      </c>
      <c r="G117" s="6" t="s">
        <v>481</v>
      </c>
      <c r="H117" s="384"/>
      <c r="I117" s="384"/>
      <c r="J117" s="227" t="str">
        <f>FHD_NOTE_P_77</f>
        <v/>
      </c>
      <c r="AF117" s="3">
        <v>0</v>
      </c>
    </row>
    <row r="118" spans="1:32" ht="0.75" hidden="1" customHeight="1">
      <c r="A118" s="1084"/>
      <c r="E118" s="31" t="str">
        <f>E117&amp;".0"</f>
        <v>.0</v>
      </c>
      <c r="F118" s="421"/>
      <c r="G118" s="293"/>
      <c r="H118" s="402"/>
      <c r="I118" s="402"/>
      <c r="J118" s="416"/>
      <c r="AF118" s="24">
        <v>0</v>
      </c>
    </row>
    <row r="119" spans="1:32" ht="15" hidden="1" customHeight="1">
      <c r="A119" s="1084"/>
      <c r="E119" s="417"/>
      <c r="F119" s="418" t="s">
        <v>518</v>
      </c>
      <c r="G119" s="394"/>
      <c r="H119" s="395"/>
      <c r="I119" s="395"/>
      <c r="J119" s="419" t="s">
        <v>519</v>
      </c>
      <c r="AF119" s="3">
        <v>0</v>
      </c>
    </row>
    <row r="120" spans="1:32" ht="22.5" hidden="1" customHeight="1">
      <c r="A120" s="1084" t="s">
        <v>520</v>
      </c>
      <c r="E120" s="369" t="str">
        <f>FHD_NUM_P_78</f>
        <v/>
      </c>
      <c r="F120" s="96" t="str">
        <f>FHD_P_78</f>
        <v/>
      </c>
      <c r="G120" s="6" t="s">
        <v>483</v>
      </c>
      <c r="H120" s="398"/>
      <c r="I120" s="398"/>
      <c r="J120" s="227" t="str">
        <f>FHD_NOTE_P_78</f>
        <v/>
      </c>
      <c r="AF120" s="3">
        <v>0</v>
      </c>
    </row>
    <row r="121" spans="1:32" ht="0.75" hidden="1" customHeight="1">
      <c r="A121" s="1084"/>
      <c r="E121" s="31" t="str">
        <f>E120&amp;".0"</f>
        <v>.0</v>
      </c>
      <c r="F121" s="421"/>
      <c r="G121" s="293"/>
      <c r="H121" s="402"/>
      <c r="I121" s="402"/>
      <c r="J121" s="416"/>
      <c r="AF121" s="24">
        <v>0</v>
      </c>
    </row>
    <row r="122" spans="1:32" ht="15" hidden="1" customHeight="1">
      <c r="A122" s="1084"/>
      <c r="E122" s="393"/>
      <c r="F122" s="42" t="s">
        <v>509</v>
      </c>
      <c r="G122" s="394"/>
      <c r="H122" s="395"/>
      <c r="I122" s="395"/>
      <c r="J122" s="419" t="s">
        <v>521</v>
      </c>
      <c r="AF122" s="3">
        <v>0</v>
      </c>
    </row>
    <row r="123" spans="1:32" ht="22.5" hidden="1" customHeight="1">
      <c r="A123" s="1084"/>
      <c r="E123" s="369" t="str">
        <f>FHD_NUM_P_79</f>
        <v/>
      </c>
      <c r="F123" s="96" t="str">
        <f>FHD_P_79</f>
        <v/>
      </c>
      <c r="G123" s="30" t="s">
        <v>485</v>
      </c>
      <c r="H123" s="398"/>
      <c r="I123" s="398"/>
      <c r="J123" s="227" t="str">
        <f>FHD_NOTE_P_79</f>
        <v/>
      </c>
      <c r="AF123" s="3">
        <v>0</v>
      </c>
    </row>
    <row r="124" spans="1:32" ht="0.75" hidden="1" customHeight="1">
      <c r="A124" s="1084"/>
      <c r="E124" s="31" t="str">
        <f>E123&amp;".0"</f>
        <v>.0</v>
      </c>
      <c r="F124" s="422"/>
      <c r="G124" s="293"/>
      <c r="H124" s="402"/>
      <c r="I124" s="402"/>
      <c r="J124" s="416"/>
      <c r="AF124" s="24">
        <v>0</v>
      </c>
    </row>
    <row r="125" spans="1:32" ht="15" hidden="1" customHeight="1">
      <c r="A125" s="1084"/>
      <c r="E125" s="393"/>
      <c r="F125" s="42" t="s">
        <v>509</v>
      </c>
      <c r="G125" s="394"/>
      <c r="H125" s="395"/>
      <c r="I125" s="395"/>
      <c r="J125" s="419" t="s">
        <v>522</v>
      </c>
      <c r="AF125" s="3">
        <v>0</v>
      </c>
    </row>
    <row r="126" spans="1:32" ht="22.5" hidden="1" customHeight="1">
      <c r="A126" s="1084"/>
      <c r="E126" s="369" t="str">
        <f>FHD_NUM_P_80</f>
        <v/>
      </c>
      <c r="F126" s="96" t="str">
        <f>FHD_P_80</f>
        <v/>
      </c>
      <c r="G126" s="30" t="s">
        <v>523</v>
      </c>
      <c r="H126" s="384"/>
      <c r="I126" s="384"/>
      <c r="J126" s="227" t="str">
        <f>FHD_NOTE_P_80</f>
        <v/>
      </c>
      <c r="AF126" s="3">
        <v>0</v>
      </c>
    </row>
    <row r="127" spans="1:32" ht="18.75" hidden="1" customHeight="1">
      <c r="A127" s="1084"/>
      <c r="E127" s="369" t="str">
        <f>FHD_NUM_P_81</f>
        <v/>
      </c>
      <c r="F127" s="96" t="str">
        <f>FHD_P_81</f>
        <v/>
      </c>
      <c r="G127" s="30" t="s">
        <v>524</v>
      </c>
      <c r="H127" s="384"/>
      <c r="I127" s="384"/>
      <c r="J127" s="227" t="str">
        <f>FHD_NOTE_P_81</f>
        <v/>
      </c>
      <c r="AF127" s="3">
        <v>0</v>
      </c>
    </row>
    <row r="128" spans="1:32" ht="18.75" hidden="1" customHeight="1">
      <c r="A128" s="1084"/>
      <c r="C128" s="24" t="s">
        <v>511</v>
      </c>
      <c r="E128" s="369" t="str">
        <f>FHD_NUM_P_82</f>
        <v/>
      </c>
      <c r="F128" s="96" t="str">
        <f>FHD_P_82</f>
        <v/>
      </c>
      <c r="G128" s="30" t="s">
        <v>229</v>
      </c>
      <c r="H128" s="408"/>
      <c r="I128" s="408"/>
      <c r="J128" s="227" t="str">
        <f>FHD_NOTE_P_82</f>
        <v/>
      </c>
      <c r="AF128" s="3">
        <v>0</v>
      </c>
    </row>
    <row r="129" spans="1:32" ht="18.75" hidden="1" customHeight="1">
      <c r="A129" s="1084"/>
      <c r="C129" s="24" t="s">
        <v>511</v>
      </c>
      <c r="E129" s="369" t="str">
        <f>FHD_NUM_P_83</f>
        <v/>
      </c>
      <c r="F129" s="352" t="str">
        <f>FHD_P_83</f>
        <v/>
      </c>
      <c r="G129" s="30" t="s">
        <v>229</v>
      </c>
      <c r="H129" s="408"/>
      <c r="I129" s="408"/>
      <c r="J129" s="227" t="str">
        <f>FHD_NOTE_P_83</f>
        <v/>
      </c>
      <c r="AF129" s="3">
        <v>0</v>
      </c>
    </row>
    <row r="130" spans="1:32" ht="18.75" hidden="1" customHeight="1">
      <c r="A130" s="1084"/>
      <c r="C130" s="24" t="s">
        <v>511</v>
      </c>
      <c r="E130" s="369" t="str">
        <f>FHD_NUM_P_84</f>
        <v/>
      </c>
      <c r="F130" s="352" t="str">
        <f>FHD_P_84</f>
        <v/>
      </c>
      <c r="G130" s="30" t="s">
        <v>229</v>
      </c>
      <c r="H130" s="408"/>
      <c r="I130" s="408"/>
      <c r="J130" s="227" t="str">
        <f>FHD_NOTE_P_84</f>
        <v/>
      </c>
      <c r="AF130" s="3">
        <v>0</v>
      </c>
    </row>
    <row r="131" spans="1:32" ht="11.45" customHeight="1">
      <c r="AF131" s="3">
        <v>11</v>
      </c>
    </row>
    <row r="132" spans="1:32" ht="13.5" customHeight="1">
      <c r="AF132" s="3">
        <v>13</v>
      </c>
    </row>
    <row r="133" spans="1:32" ht="11.45" customHeight="1">
      <c r="AF133" s="189">
        <v>11</v>
      </c>
    </row>
    <row r="134" spans="1:32" ht="11.45" customHeight="1">
      <c r="AF134" s="189">
        <v>11</v>
      </c>
    </row>
    <row r="135" spans="1:32" ht="11.45" customHeight="1">
      <c r="AF135" s="189">
        <v>11</v>
      </c>
    </row>
    <row r="136" spans="1:32" ht="11.45" customHeight="1">
      <c r="H136" s="1" t="str">
        <f>IF(H30-H31&lt;&gt;H72,"WARNING","")</f>
        <v/>
      </c>
      <c r="I136" s="1" t="str">
        <f>IF(I30-I31&lt;&gt;I72,"WARNING","")</f>
        <v/>
      </c>
      <c r="AF136" s="189">
        <v>11</v>
      </c>
    </row>
    <row r="137" spans="1:32" ht="11.45" customHeight="1">
      <c r="AF137" s="189">
        <v>11</v>
      </c>
    </row>
    <row r="138" spans="1:32" ht="11.45" customHeight="1">
      <c r="AF138" s="189">
        <v>11</v>
      </c>
    </row>
    <row r="139" spans="1:32" ht="11.45" customHeight="1">
      <c r="AF139" s="189">
        <v>11</v>
      </c>
    </row>
    <row r="140" spans="1:32" ht="11.45" customHeight="1">
      <c r="AF140" s="189">
        <v>11</v>
      </c>
    </row>
    <row r="141" spans="1:32" ht="11.45" customHeight="1">
      <c r="AF141" s="189">
        <v>11</v>
      </c>
    </row>
    <row r="142" spans="1:32" ht="11.45" customHeight="1">
      <c r="AF142" s="189">
        <v>11</v>
      </c>
    </row>
    <row r="143" spans="1:32" ht="11.45" customHeight="1">
      <c r="AF143" s="189">
        <v>11</v>
      </c>
    </row>
    <row r="144" spans="1:32" ht="11.45" customHeight="1">
      <c r="AF144" s="189">
        <v>11</v>
      </c>
    </row>
    <row r="145" spans="32:32" ht="11.45" customHeight="1">
      <c r="AF145" s="189">
        <v>11</v>
      </c>
    </row>
    <row r="146" spans="32:32" ht="11.45" customHeight="1">
      <c r="AF146" s="189">
        <v>11</v>
      </c>
    </row>
    <row r="147" spans="32:32" ht="11.45" customHeight="1">
      <c r="AF147" s="189">
        <v>11</v>
      </c>
    </row>
    <row r="148" spans="32:32" ht="11.45" customHeight="1">
      <c r="AF148" s="189">
        <v>11</v>
      </c>
    </row>
    <row r="149" spans="32:32" ht="11.45" customHeight="1">
      <c r="AF149" s="189">
        <v>11</v>
      </c>
    </row>
    <row r="150" spans="32:32" ht="11.45" customHeight="1">
      <c r="AF150" s="189">
        <v>11</v>
      </c>
    </row>
    <row r="151" spans="32:32" ht="11.45" customHeight="1">
      <c r="AF151" s="189">
        <v>11</v>
      </c>
    </row>
    <row r="152" spans="32:32" ht="11.45" customHeight="1">
      <c r="AF152" s="189">
        <v>11</v>
      </c>
    </row>
    <row r="153" spans="32:32" ht="11.45" customHeight="1">
      <c r="AF153" s="189">
        <v>11</v>
      </c>
    </row>
    <row r="154" spans="32:32" ht="11.45" customHeight="1">
      <c r="AF154" s="189">
        <v>11</v>
      </c>
    </row>
    <row r="155" spans="32:32" ht="11.45" customHeight="1">
      <c r="AF155" s="189">
        <v>11</v>
      </c>
    </row>
    <row r="156" spans="32:32" ht="11.45" customHeight="1">
      <c r="AF156" s="189">
        <v>11</v>
      </c>
    </row>
    <row r="157" spans="32:32" ht="11.45" customHeight="1">
      <c r="AF157" s="189">
        <v>11</v>
      </c>
    </row>
    <row r="158" spans="32:32" ht="11.45" customHeight="1">
      <c r="AF158" s="189">
        <v>11</v>
      </c>
    </row>
    <row r="159" spans="32:32" ht="11.45" customHeight="1">
      <c r="AF159" s="189">
        <v>11</v>
      </c>
    </row>
    <row r="160" spans="32:32" ht="11.45" customHeight="1">
      <c r="AF160" s="189">
        <v>11</v>
      </c>
    </row>
    <row r="161" spans="32:32" ht="11.45" customHeight="1">
      <c r="AF161" s="189">
        <v>11</v>
      </c>
    </row>
    <row r="162" spans="32:32" ht="11.45" customHeight="1">
      <c r="AF162" s="189">
        <v>11</v>
      </c>
    </row>
    <row r="163" spans="32:32" ht="11.45" customHeight="1">
      <c r="AF163" s="189">
        <v>11</v>
      </c>
    </row>
    <row r="164" spans="32:32" ht="11.45" customHeight="1">
      <c r="AF164" s="189">
        <v>11</v>
      </c>
    </row>
    <row r="165" spans="32:32" ht="11.45" customHeight="1">
      <c r="AF165" s="189">
        <v>11</v>
      </c>
    </row>
    <row r="166" spans="32:32" ht="11.45" customHeight="1">
      <c r="AF166" s="189">
        <v>11</v>
      </c>
    </row>
    <row r="167" spans="32:32" ht="11.45" customHeight="1">
      <c r="AF167" s="189">
        <v>11</v>
      </c>
    </row>
    <row r="168" spans="32:32" ht="11.45" customHeight="1">
      <c r="AF168" s="189">
        <v>11</v>
      </c>
    </row>
    <row r="169" spans="32:32" ht="11.45" customHeight="1">
      <c r="AF169" s="189">
        <v>11</v>
      </c>
    </row>
    <row r="170" spans="32:32" ht="11.45" customHeight="1">
      <c r="AF170" s="189">
        <v>11</v>
      </c>
    </row>
    <row r="171" spans="32:32" ht="11.45" customHeight="1">
      <c r="AF171" s="189">
        <v>11</v>
      </c>
    </row>
    <row r="172" spans="32:32" ht="11.45" customHeight="1">
      <c r="AF172" s="189">
        <v>11</v>
      </c>
    </row>
    <row r="173" spans="32:32" ht="11.45" customHeight="1">
      <c r="AF173" s="189">
        <v>11</v>
      </c>
    </row>
    <row r="174" spans="32:32" ht="11.45" customHeight="1">
      <c r="AF174" s="189">
        <v>11</v>
      </c>
    </row>
    <row r="175" spans="32:32" ht="11.45" customHeight="1">
      <c r="AF175" s="189">
        <v>11</v>
      </c>
    </row>
    <row r="176" spans="32:32" ht="11.45" customHeight="1">
      <c r="AF176" s="189">
        <v>11</v>
      </c>
    </row>
    <row r="177" spans="32:32" ht="11.45" customHeight="1">
      <c r="AF177" s="189">
        <v>11</v>
      </c>
    </row>
    <row r="178" spans="32:32" ht="11.45" customHeight="1">
      <c r="AF178" s="189">
        <v>11</v>
      </c>
    </row>
    <row r="179" spans="32:32" ht="11.45" customHeight="1">
      <c r="AF179" s="189">
        <v>11</v>
      </c>
    </row>
    <row r="180" spans="32:32" ht="11.45" customHeight="1">
      <c r="AF180" s="189">
        <v>11</v>
      </c>
    </row>
    <row r="181" spans="32:32" ht="11.45" customHeight="1">
      <c r="AF181" s="189">
        <v>11</v>
      </c>
    </row>
    <row r="182" spans="32:32" ht="11.45" customHeight="1">
      <c r="AF182" s="189">
        <v>11</v>
      </c>
    </row>
    <row r="183" spans="32:32" ht="11.45" customHeight="1">
      <c r="AF183" s="189">
        <v>11</v>
      </c>
    </row>
    <row r="184" spans="32:32" ht="11.45" customHeight="1">
      <c r="AF184" s="189">
        <v>11</v>
      </c>
    </row>
    <row r="185" spans="32:32" ht="11.45" customHeight="1">
      <c r="AF185" s="189">
        <v>11</v>
      </c>
    </row>
    <row r="186" spans="32:32" ht="11.45" customHeight="1">
      <c r="AF186" s="189">
        <v>11</v>
      </c>
    </row>
    <row r="187" spans="32:32" ht="11.45" customHeight="1">
      <c r="AF187" s="189">
        <v>11</v>
      </c>
    </row>
    <row r="188" spans="32:32" ht="11.45" customHeight="1">
      <c r="AF188" s="189">
        <v>11</v>
      </c>
    </row>
    <row r="189" spans="32:32" ht="11.45" customHeight="1">
      <c r="AF189" s="189">
        <v>11</v>
      </c>
    </row>
    <row r="190" spans="32:32" ht="11.45" customHeight="1">
      <c r="AF190" s="189">
        <v>11</v>
      </c>
    </row>
    <row r="191" spans="32:32" ht="11.45" customHeight="1">
      <c r="AF191" s="189">
        <v>11</v>
      </c>
    </row>
    <row r="192" spans="32:32" ht="11.45" customHeight="1">
      <c r="AF192" s="189">
        <v>11</v>
      </c>
    </row>
    <row r="193" spans="32:32" ht="11.45" customHeight="1">
      <c r="AF193" s="189">
        <v>11</v>
      </c>
    </row>
    <row r="194" spans="32:32" ht="11.45" customHeight="1">
      <c r="AF194" s="189">
        <v>11</v>
      </c>
    </row>
    <row r="195" spans="32:32" ht="11.45" customHeight="1">
      <c r="AF195" s="189">
        <v>11</v>
      </c>
    </row>
    <row r="196" spans="32:32" ht="11.45" customHeight="1">
      <c r="AF196" s="189">
        <v>11</v>
      </c>
    </row>
    <row r="197" spans="32:32" ht="11.45" customHeight="1">
      <c r="AF197" s="189">
        <v>11</v>
      </c>
    </row>
    <row r="198" spans="32:32" ht="11.45" customHeight="1">
      <c r="AF198" s="189">
        <v>11</v>
      </c>
    </row>
    <row r="199" spans="32:32" ht="11.45" customHeight="1">
      <c r="AF199" s="189">
        <v>11</v>
      </c>
    </row>
    <row r="200" spans="32:32" ht="11.45" customHeight="1">
      <c r="AF200" s="189">
        <v>11</v>
      </c>
    </row>
    <row r="201" spans="32:32" ht="11.45" customHeight="1">
      <c r="AF201" s="189">
        <v>11</v>
      </c>
    </row>
    <row r="202" spans="32:32" ht="11.45" customHeight="1">
      <c r="AF202" s="189">
        <v>11</v>
      </c>
    </row>
    <row r="203" spans="32:32" ht="11.45" customHeight="1">
      <c r="AF203" s="189">
        <v>11</v>
      </c>
    </row>
    <row r="204" spans="32:32" ht="11.45" customHeight="1">
      <c r="AF204" s="189">
        <v>11</v>
      </c>
    </row>
    <row r="205" spans="32:32" ht="11.45" customHeight="1">
      <c r="AF205" s="189">
        <v>11</v>
      </c>
    </row>
    <row r="206" spans="32:32" ht="11.45" customHeight="1">
      <c r="AF206" s="189">
        <v>11</v>
      </c>
    </row>
    <row r="207" spans="32:32" ht="11.45" customHeight="1">
      <c r="AF207" s="189">
        <v>11</v>
      </c>
    </row>
    <row r="208" spans="32:32" ht="11.45" customHeight="1">
      <c r="AF208" s="189">
        <v>11</v>
      </c>
    </row>
    <row r="209" spans="32:32" ht="11.45" customHeight="1">
      <c r="AF209" s="189">
        <v>11</v>
      </c>
    </row>
    <row r="210" spans="32:32" ht="11.45" customHeight="1">
      <c r="AF210" s="189">
        <v>11</v>
      </c>
    </row>
    <row r="211" spans="32:32" ht="11.45" customHeight="1">
      <c r="AF211" s="189">
        <v>11</v>
      </c>
    </row>
    <row r="212" spans="32:32" ht="11.45" customHeight="1">
      <c r="AF212" s="189">
        <v>11</v>
      </c>
    </row>
    <row r="213" spans="32:32" ht="11.45" customHeight="1">
      <c r="AF213" s="189">
        <v>11</v>
      </c>
    </row>
    <row r="214" spans="32:32" ht="11.45" customHeight="1">
      <c r="AF214" s="189">
        <v>11</v>
      </c>
    </row>
    <row r="215" spans="32:32" ht="11.45" customHeight="1">
      <c r="AF215" s="189">
        <v>11</v>
      </c>
    </row>
    <row r="216" spans="32:32" ht="11.45" customHeight="1">
      <c r="AF216" s="189">
        <v>11</v>
      </c>
    </row>
    <row r="217" spans="32:32" ht="11.45" customHeight="1">
      <c r="AF217" s="189">
        <v>11</v>
      </c>
    </row>
    <row r="218" spans="32:32" ht="11.45" customHeight="1">
      <c r="AF218" s="189">
        <v>11</v>
      </c>
    </row>
    <row r="219" spans="32:32" ht="11.45" customHeight="1">
      <c r="AF219" s="189">
        <v>11</v>
      </c>
    </row>
    <row r="220" spans="32:32" ht="11.45" customHeight="1">
      <c r="AF220" s="189">
        <v>11</v>
      </c>
    </row>
    <row r="221" spans="32:32" ht="11.45" customHeight="1">
      <c r="AF221" s="189">
        <v>11</v>
      </c>
    </row>
    <row r="222" spans="32:32" ht="11.45" customHeight="1">
      <c r="AF222" s="189">
        <v>11</v>
      </c>
    </row>
    <row r="223" spans="32:32" ht="11.45" customHeight="1">
      <c r="AF223" s="189">
        <v>11</v>
      </c>
    </row>
    <row r="224" spans="32:32" ht="11.45" customHeight="1">
      <c r="AF224" s="189">
        <v>11</v>
      </c>
    </row>
    <row r="225" spans="32:32" ht="11.45" customHeight="1">
      <c r="AF225" s="189">
        <v>11</v>
      </c>
    </row>
    <row r="226" spans="32:32" ht="11.45" customHeight="1">
      <c r="AF226" s="189">
        <v>11</v>
      </c>
    </row>
    <row r="227" spans="32:32" ht="11.45" customHeight="1">
      <c r="AF227" s="189">
        <v>11</v>
      </c>
    </row>
    <row r="228" spans="32:32" ht="11.45" customHeight="1">
      <c r="AF228" s="189">
        <v>11</v>
      </c>
    </row>
    <row r="229" spans="32:32" ht="11.45" customHeight="1">
      <c r="AF229" s="189">
        <v>11</v>
      </c>
    </row>
    <row r="230" spans="32:32" ht="11.45" customHeight="1">
      <c r="AF230" s="189">
        <v>11</v>
      </c>
    </row>
    <row r="231" spans="32:32" ht="11.45" customHeight="1">
      <c r="AF231" s="189">
        <v>11</v>
      </c>
    </row>
    <row r="232" spans="32:32" ht="11.45" customHeight="1">
      <c r="AF232" s="189">
        <v>11</v>
      </c>
    </row>
    <row r="233" spans="32:32" ht="11.45" customHeight="1">
      <c r="AF233" s="189">
        <v>11</v>
      </c>
    </row>
    <row r="234" spans="32:32" ht="11.45" customHeight="1">
      <c r="AF234" s="189">
        <v>11</v>
      </c>
    </row>
    <row r="235" spans="32:32" ht="11.45" customHeight="1">
      <c r="AF235" s="189">
        <v>11</v>
      </c>
    </row>
    <row r="236" spans="32:32" ht="11.45" customHeight="1">
      <c r="AF236" s="189">
        <v>11</v>
      </c>
    </row>
    <row r="237" spans="32:32" ht="11.45" customHeight="1">
      <c r="AF237" s="189">
        <v>11</v>
      </c>
    </row>
    <row r="238" spans="32:32" ht="11.45" customHeight="1">
      <c r="AF238" s="189">
        <v>11</v>
      </c>
    </row>
    <row r="239" spans="32:32" ht="11.45" customHeight="1">
      <c r="AF239" s="189">
        <v>11</v>
      </c>
    </row>
    <row r="240" spans="32:32" ht="11.45" customHeight="1">
      <c r="AF240" s="189">
        <v>11</v>
      </c>
    </row>
    <row r="241" spans="32:32" ht="11.45" customHeight="1">
      <c r="AF241" s="189">
        <v>11</v>
      </c>
    </row>
    <row r="242" spans="32:32" ht="11.45" customHeight="1">
      <c r="AF242" s="189">
        <v>11</v>
      </c>
    </row>
    <row r="243" spans="32:32" ht="11.45" customHeight="1">
      <c r="AF243" s="189">
        <v>11</v>
      </c>
    </row>
    <row r="244" spans="32:32" ht="11.45" customHeight="1">
      <c r="AF244" s="189">
        <v>11</v>
      </c>
    </row>
    <row r="245" spans="32:32" ht="11.45" customHeight="1">
      <c r="AF245" s="189">
        <v>11</v>
      </c>
    </row>
    <row r="246" spans="32:32" ht="11.45" customHeight="1">
      <c r="AF246" s="189">
        <v>11</v>
      </c>
    </row>
    <row r="247" spans="32:32" ht="11.45" customHeight="1">
      <c r="AF247" s="189">
        <v>11</v>
      </c>
    </row>
    <row r="248" spans="32:32" ht="11.45" customHeight="1">
      <c r="AF248" s="189">
        <v>11</v>
      </c>
    </row>
    <row r="249" spans="32:32" ht="11.45" customHeight="1">
      <c r="AF249" s="189">
        <v>11</v>
      </c>
    </row>
    <row r="250" spans="32:32" ht="11.45" customHeight="1">
      <c r="AF250" s="189">
        <v>11</v>
      </c>
    </row>
    <row r="251" spans="32:32" ht="11.45" customHeight="1">
      <c r="AF251" s="189">
        <v>11</v>
      </c>
    </row>
    <row r="252" spans="32:32" ht="11.45" customHeight="1">
      <c r="AF252" s="189">
        <v>11</v>
      </c>
    </row>
    <row r="253" spans="32:32" ht="11.45" customHeight="1">
      <c r="AF253" s="189">
        <v>11</v>
      </c>
    </row>
    <row r="254" spans="32:32" ht="11.45" customHeight="1">
      <c r="AF254" s="189">
        <v>11</v>
      </c>
    </row>
    <row r="255" spans="32:32" ht="11.45" customHeight="1">
      <c r="AF255" s="189">
        <v>11</v>
      </c>
    </row>
    <row r="256" spans="32:32" ht="11.45" customHeight="1">
      <c r="AF256" s="189">
        <v>11</v>
      </c>
    </row>
    <row r="257" spans="32:32" ht="11.45" customHeight="1">
      <c r="AF257" s="189">
        <v>11</v>
      </c>
    </row>
    <row r="258" spans="32:32" ht="11.45" customHeight="1">
      <c r="AF258" s="189">
        <v>11</v>
      </c>
    </row>
    <row r="259" spans="32:32" ht="11.45" customHeight="1">
      <c r="AF259" s="189">
        <v>11</v>
      </c>
    </row>
    <row r="260" spans="32:32" ht="11.45" customHeight="1">
      <c r="AF260" s="189">
        <v>11</v>
      </c>
    </row>
    <row r="261" spans="32:32" ht="11.45" customHeight="1">
      <c r="AF261" s="189">
        <v>11</v>
      </c>
    </row>
    <row r="262" spans="32:32" ht="11.45" customHeight="1">
      <c r="AF262" s="189">
        <v>11</v>
      </c>
    </row>
    <row r="263" spans="32:32" ht="11.45" customHeight="1">
      <c r="AF263" s="189">
        <v>11</v>
      </c>
    </row>
    <row r="264" spans="32:32" ht="11.45" customHeight="1">
      <c r="AF264" s="189">
        <v>11</v>
      </c>
    </row>
    <row r="265" spans="32:32" ht="11.45" customHeight="1">
      <c r="AF265" s="189">
        <v>11</v>
      </c>
    </row>
    <row r="266" spans="32:32" ht="11.45" customHeight="1">
      <c r="AF266" s="189">
        <v>11</v>
      </c>
    </row>
    <row r="267" spans="32:32" ht="11.45" customHeight="1">
      <c r="AF267" s="189">
        <v>11</v>
      </c>
    </row>
    <row r="268" spans="32:32" ht="11.45" customHeight="1">
      <c r="AF268" s="189">
        <v>11</v>
      </c>
    </row>
    <row r="269" spans="32:32" ht="11.45" customHeight="1">
      <c r="AF269" s="189">
        <v>11</v>
      </c>
    </row>
    <row r="270" spans="32:32" ht="11.45" customHeight="1">
      <c r="AF270" s="189">
        <v>11</v>
      </c>
    </row>
    <row r="271" spans="32:32" ht="11.45" customHeight="1">
      <c r="AF271" s="189">
        <v>11</v>
      </c>
    </row>
    <row r="272" spans="32:32" ht="11.45" customHeight="1">
      <c r="AF272" s="189">
        <v>11</v>
      </c>
    </row>
    <row r="273" spans="32:32" ht="11.45" customHeight="1">
      <c r="AF273" s="189">
        <v>11</v>
      </c>
    </row>
    <row r="274" spans="32:32" ht="11.45" customHeight="1">
      <c r="AF274" s="189">
        <v>11</v>
      </c>
    </row>
    <row r="275" spans="32:32" ht="11.45" customHeight="1">
      <c r="AF275" s="189">
        <v>11</v>
      </c>
    </row>
    <row r="276" spans="32:32" ht="11.45" customHeight="1">
      <c r="AF276" s="189">
        <v>11</v>
      </c>
    </row>
    <row r="277" spans="32:32" ht="11.45" customHeight="1">
      <c r="AF277" s="189">
        <v>11</v>
      </c>
    </row>
    <row r="278" spans="32:32" ht="11.45" customHeight="1">
      <c r="AF278" s="189">
        <v>11</v>
      </c>
    </row>
    <row r="279" spans="32:32" ht="11.45" customHeight="1">
      <c r="AF279" s="189">
        <v>11</v>
      </c>
    </row>
    <row r="280" spans="32:32" ht="11.45" customHeight="1">
      <c r="AF280" s="189">
        <v>11</v>
      </c>
    </row>
    <row r="281" spans="32:32" ht="11.45" customHeight="1">
      <c r="AF281" s="189">
        <v>11</v>
      </c>
    </row>
    <row r="282" spans="32:32" ht="11.45" customHeight="1">
      <c r="AF282" s="189">
        <v>11</v>
      </c>
    </row>
    <row r="283" spans="32:32" ht="11.45" customHeight="1">
      <c r="AF283" s="189">
        <v>11</v>
      </c>
    </row>
    <row r="284" spans="32:32" ht="11.45" customHeight="1">
      <c r="AF284" s="189">
        <v>11</v>
      </c>
    </row>
    <row r="285" spans="32:32" ht="11.45" customHeight="1">
      <c r="AF285" s="189">
        <v>11</v>
      </c>
    </row>
    <row r="286" spans="32:32" ht="11.45" customHeight="1">
      <c r="AF286" s="189">
        <v>11</v>
      </c>
    </row>
    <row r="287" spans="32:32" ht="11.45" customHeight="1">
      <c r="AF287" s="189">
        <v>11</v>
      </c>
    </row>
    <row r="288" spans="32:32" ht="11.45" customHeight="1">
      <c r="AF288" s="189">
        <v>11</v>
      </c>
    </row>
    <row r="289" spans="1:32" ht="11.45" customHeight="1">
      <c r="AF289" s="3">
        <v>11</v>
      </c>
    </row>
    <row r="290" spans="1:32" ht="11.45" customHeight="1">
      <c r="AF290" s="3">
        <v>11</v>
      </c>
    </row>
    <row r="291" spans="1:32" ht="11.45" customHeight="1">
      <c r="AF291" s="3">
        <v>11</v>
      </c>
    </row>
    <row r="292" spans="1:32" ht="11.45" customHeight="1">
      <c r="AF292" s="3">
        <v>11</v>
      </c>
    </row>
    <row r="293" spans="1:32" ht="11.45" customHeight="1">
      <c r="AF293" s="3">
        <v>11</v>
      </c>
    </row>
    <row r="294" spans="1:32" ht="11.45" customHeight="1">
      <c r="AF294" s="3">
        <v>11</v>
      </c>
    </row>
    <row r="295" spans="1:32" ht="11.45" customHeight="1">
      <c r="AF295" s="3">
        <v>11</v>
      </c>
    </row>
    <row r="296" spans="1:32" ht="11.45" customHeight="1">
      <c r="AF296" s="3">
        <v>11</v>
      </c>
    </row>
    <row r="297" spans="1:32" ht="11.45" customHeight="1">
      <c r="AF297" s="3">
        <v>11</v>
      </c>
    </row>
    <row r="298" spans="1:32" ht="11.45" customHeight="1">
      <c r="AF298" s="3">
        <v>11</v>
      </c>
    </row>
    <row r="299" spans="1:32" ht="11.45" customHeight="1">
      <c r="AF299" s="3">
        <v>11</v>
      </c>
    </row>
    <row r="300" spans="1:32" ht="11.45" customHeight="1">
      <c r="AF300" s="3">
        <v>11</v>
      </c>
    </row>
    <row r="301" spans="1:32" ht="11.45" customHeight="1">
      <c r="AF301" s="3">
        <v>11</v>
      </c>
    </row>
    <row r="302" spans="1:32" ht="11.45" customHeight="1">
      <c r="AF302" s="3">
        <v>11</v>
      </c>
    </row>
    <row r="303" spans="1:32" ht="11.25" hidden="1" customHeight="1">
      <c r="A303" s="423" t="s">
        <v>18</v>
      </c>
      <c r="B303" s="11">
        <v>0</v>
      </c>
      <c r="C303" s="24">
        <v>0</v>
      </c>
      <c r="D303" s="3">
        <v>3</v>
      </c>
      <c r="E303" s="3">
        <v>7</v>
      </c>
      <c r="F303" s="3">
        <v>54</v>
      </c>
      <c r="G303" s="3">
        <v>10</v>
      </c>
      <c r="H303" s="3">
        <v>0</v>
      </c>
      <c r="I303" s="3">
        <v>40</v>
      </c>
      <c r="J303" s="3">
        <v>102</v>
      </c>
      <c r="K303" s="11">
        <v>9</v>
      </c>
      <c r="L303" s="24">
        <v>5</v>
      </c>
      <c r="M303" s="24">
        <v>3</v>
      </c>
      <c r="N303" s="11">
        <v>3</v>
      </c>
      <c r="O303" s="11">
        <v>3</v>
      </c>
      <c r="P303" s="11">
        <v>3</v>
      </c>
      <c r="Q303" s="11">
        <v>3</v>
      </c>
      <c r="R303" s="24">
        <v>10</v>
      </c>
      <c r="S303" s="11">
        <v>34</v>
      </c>
      <c r="T303" s="11">
        <v>9</v>
      </c>
      <c r="U303" s="424">
        <v>8</v>
      </c>
      <c r="V303" s="11">
        <v>8</v>
      </c>
      <c r="W303" s="11">
        <v>8</v>
      </c>
      <c r="X303" s="11">
        <v>8</v>
      </c>
      <c r="Y303" s="11">
        <v>8</v>
      </c>
      <c r="Z303" s="11">
        <v>8</v>
      </c>
      <c r="AA303" s="2">
        <v>8</v>
      </c>
      <c r="AB303" s="2">
        <v>8</v>
      </c>
      <c r="AC303" s="2">
        <v>8</v>
      </c>
      <c r="AD303" s="2">
        <v>8</v>
      </c>
      <c r="AE303" s="2">
        <v>8</v>
      </c>
      <c r="AF303" s="3">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2" width="15" hidden="1" customWidth="1"/>
    <col min="3" max="3" width="3" customWidth="1"/>
    <col min="4" max="4" width="6" customWidth="1"/>
    <col min="5" max="5" width="52" customWidth="1"/>
    <col min="6" max="6" width="48" customWidth="1"/>
    <col min="7" max="7" width="121" customWidth="1"/>
    <col min="8" max="8" width="8" customWidth="1"/>
    <col min="9" max="9" width="64" customWidth="1"/>
    <col min="10" max="10" width="9.140625" hidden="1"/>
  </cols>
  <sheetData>
    <row r="1" spans="1:10" ht="11.25" hidden="1" customHeight="1">
      <c r="A1" s="110" t="s">
        <v>222</v>
      </c>
      <c r="J1" s="111" t="s">
        <v>1</v>
      </c>
    </row>
    <row r="2" spans="1:10" ht="11.25" hidden="1" customHeight="1">
      <c r="J2" s="111">
        <v>0</v>
      </c>
    </row>
    <row r="3" spans="1:10" ht="11.45" customHeight="1">
      <c r="A3" s="110"/>
      <c r="B3" s="112"/>
      <c r="D3" s="113"/>
      <c r="J3" s="114">
        <v>11</v>
      </c>
    </row>
    <row r="4" spans="1:10" ht="27.4" customHeight="1">
      <c r="D4" s="926" t="str">
        <f>ORG_INFO_NAME_FORM</f>
        <v>Форма 1. Информация об организации, осуществляющей горячее водоснабжение (общая информация)</v>
      </c>
      <c r="E4" s="927"/>
      <c r="F4" s="928"/>
      <c r="J4" s="111">
        <v>26</v>
      </c>
    </row>
    <row r="5" spans="1:10" ht="18" customHeight="1">
      <c r="D5" s="955" t="e">
        <f>IF(org=0,"Не определено",org)</f>
        <v>#REF!</v>
      </c>
      <c r="E5" s="955"/>
      <c r="F5" s="955"/>
      <c r="J5" s="111">
        <v>17</v>
      </c>
    </row>
    <row r="6" spans="1:10" ht="11.45" customHeight="1">
      <c r="A6" s="110"/>
      <c r="B6" s="112"/>
      <c r="F6" s="115"/>
      <c r="J6" s="114">
        <v>11</v>
      </c>
    </row>
    <row r="7" spans="1:10" ht="11.25" hidden="1" customHeight="1">
      <c r="A7" s="12"/>
      <c r="B7" s="116"/>
      <c r="C7" s="12"/>
      <c r="D7" s="8"/>
      <c r="E7" s="960"/>
      <c r="F7" s="960"/>
      <c r="J7" s="111">
        <v>0</v>
      </c>
    </row>
    <row r="8" spans="1:10" ht="11.45" customHeight="1">
      <c r="A8" s="12"/>
      <c r="B8" s="116"/>
      <c r="C8" s="12"/>
      <c r="D8" s="957" t="s">
        <v>223</v>
      </c>
      <c r="E8" s="958"/>
      <c r="F8" s="958"/>
      <c r="G8" s="961" t="s">
        <v>224</v>
      </c>
      <c r="J8" s="111">
        <v>11</v>
      </c>
    </row>
    <row r="9" spans="1:10" ht="11.45" customHeight="1">
      <c r="A9" s="12"/>
      <c r="B9" s="116"/>
      <c r="C9" s="12"/>
      <c r="D9" s="118" t="s">
        <v>24</v>
      </c>
      <c r="E9" s="119" t="s">
        <v>225</v>
      </c>
      <c r="F9" s="119" t="s">
        <v>226</v>
      </c>
      <c r="G9" s="962"/>
      <c r="J9" s="111">
        <v>11</v>
      </c>
    </row>
    <row r="10" spans="1:10" ht="12" hidden="1" customHeight="1">
      <c r="A10" s="12"/>
      <c r="B10" s="116"/>
      <c r="C10" s="12"/>
      <c r="D10" s="121"/>
      <c r="E10" s="121"/>
      <c r="F10" s="121"/>
      <c r="G10" s="121"/>
      <c r="J10" s="111">
        <v>0</v>
      </c>
    </row>
    <row r="11" spans="1:10" ht="22.5" hidden="1" customHeight="1">
      <c r="A11" s="12"/>
      <c r="B11" s="116"/>
      <c r="C11" s="12"/>
      <c r="D11" s="122" t="s">
        <v>31</v>
      </c>
      <c r="E11" s="123" t="s">
        <v>227</v>
      </c>
      <c r="F11" s="124" t="e">
        <f>IF(region_name="","",region_name)</f>
        <v>#REF!</v>
      </c>
      <c r="G11" s="123" t="s">
        <v>228</v>
      </c>
      <c r="H11" s="125"/>
      <c r="J11" s="111">
        <v>0</v>
      </c>
    </row>
    <row r="12" spans="1:10" ht="22.5" hidden="1" customHeight="1">
      <c r="A12" s="12"/>
      <c r="B12" s="116"/>
      <c r="C12" s="12"/>
      <c r="D12" s="126" t="s">
        <v>31</v>
      </c>
      <c r="E12" s="12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65" t="s">
        <v>229</v>
      </c>
      <c r="G12" s="128"/>
      <c r="H12" s="125"/>
      <c r="J12" s="111">
        <v>0</v>
      </c>
    </row>
    <row r="13" spans="1:10" ht="23.25" customHeight="1">
      <c r="A13" s="12"/>
      <c r="B13" s="116"/>
      <c r="C13" s="12"/>
      <c r="D13" s="126" t="s">
        <v>31</v>
      </c>
      <c r="E13" s="129" t="str">
        <f>"Наименование юридического лица"&amp;IF(TEMPLATE_SPHERE="TKO"," (индивидуального предпринимателя)","")</f>
        <v>Наименование юридического лица</v>
      </c>
      <c r="F13" s="130"/>
      <c r="G13" s="12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125"/>
      <c r="J13" s="111">
        <v>22</v>
      </c>
    </row>
    <row r="14" spans="1:10" ht="22.5" hidden="1" customHeight="1">
      <c r="A14" s="12"/>
      <c r="B14" s="116"/>
      <c r="C14" s="12"/>
      <c r="D14" s="122" t="s">
        <v>230</v>
      </c>
      <c r="E14" s="131" t="s">
        <v>231</v>
      </c>
      <c r="F14" s="124" t="e">
        <f>IF(inn="","",inn)</f>
        <v>#REF!</v>
      </c>
      <c r="G14" s="123" t="s">
        <v>232</v>
      </c>
      <c r="H14" s="125"/>
      <c r="J14" s="111">
        <v>0</v>
      </c>
    </row>
    <row r="15" spans="1:10" ht="22.5" hidden="1" customHeight="1">
      <c r="A15" s="12"/>
      <c r="B15" s="116"/>
      <c r="C15" s="12"/>
      <c r="D15" s="122" t="s">
        <v>233</v>
      </c>
      <c r="E15" s="131" t="s">
        <v>234</v>
      </c>
      <c r="F15" s="124" t="e">
        <f>IF(kpp="","",kpp)</f>
        <v>#REF!</v>
      </c>
      <c r="G15" s="123" t="s">
        <v>235</v>
      </c>
      <c r="H15" s="125"/>
      <c r="J15" s="111">
        <v>0</v>
      </c>
    </row>
    <row r="16" spans="1:10" ht="39" customHeight="1">
      <c r="A16" s="12"/>
      <c r="B16" s="116"/>
      <c r="C16" s="12"/>
      <c r="D16" s="126" t="s">
        <v>39</v>
      </c>
      <c r="E16" s="12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130"/>
      <c r="G16" s="12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125"/>
      <c r="J16" s="111">
        <v>37</v>
      </c>
    </row>
    <row r="17" spans="1:10" ht="23.25" customHeight="1">
      <c r="A17" s="12"/>
      <c r="B17" s="116"/>
      <c r="C17" s="12"/>
      <c r="D17" s="126" t="s">
        <v>26</v>
      </c>
      <c r="E17" s="129" t="str">
        <f>"Дата присвоения ОГРН"&amp;IF(TEMPLATE_SPHERE="TKO",""," (ОГРНИП)")</f>
        <v>Дата присвоения ОГРН (ОГРНИП)</v>
      </c>
      <c r="F17" s="10" t="s">
        <v>4</v>
      </c>
      <c r="G17" s="127" t="str">
        <f>"Дата присвоения ОГРН"&amp;IF(TEMPLATE_SPHERE="TKO",""," (ОГРНИП)")&amp;" указывается в виде «ДД.ММ.ГГГГ»."</f>
        <v>Дата присвоения ОГРН (ОГРНИП) указывается в виде «ДД.ММ.ГГГГ».</v>
      </c>
      <c r="H17" s="125"/>
      <c r="J17" s="111">
        <v>22</v>
      </c>
    </row>
    <row r="18" spans="1:10" ht="71.25" customHeight="1">
      <c r="A18" s="12"/>
      <c r="B18" s="116"/>
      <c r="C18" s="12"/>
      <c r="D18" s="126" t="s">
        <v>27</v>
      </c>
      <c r="E18" s="12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130"/>
      <c r="G18" s="128"/>
      <c r="H18" s="125"/>
      <c r="J18" s="111">
        <v>68</v>
      </c>
    </row>
    <row r="19" spans="1:10" ht="22.5" hidden="1" customHeight="1">
      <c r="A19" s="956" t="s">
        <v>236</v>
      </c>
      <c r="B19" s="116"/>
      <c r="C19" s="966"/>
      <c r="D19" s="126" t="str">
        <f>A19</f>
        <v>5.1</v>
      </c>
      <c r="E19" s="129" t="s">
        <v>237</v>
      </c>
      <c r="F19" s="65" t="s">
        <v>229</v>
      </c>
      <c r="G19" s="127" t="s">
        <v>238</v>
      </c>
      <c r="H19" s="125"/>
      <c r="J19" s="111">
        <v>0</v>
      </c>
    </row>
    <row r="20" spans="1:10" ht="24" hidden="1" customHeight="1">
      <c r="A20" s="956"/>
      <c r="B20" s="116"/>
      <c r="C20" s="966"/>
      <c r="D20" s="134" t="str">
        <f>D19&amp;".1"</f>
        <v>5.1.1</v>
      </c>
      <c r="E20" s="135" t="s">
        <v>239</v>
      </c>
      <c r="F20" s="136" t="s">
        <v>4</v>
      </c>
      <c r="G20" s="128"/>
      <c r="H20" s="125"/>
      <c r="J20" s="111">
        <v>0</v>
      </c>
    </row>
    <row r="21" spans="1:10" ht="22.5" hidden="1" customHeight="1">
      <c r="A21" s="956"/>
      <c r="B21" s="116"/>
      <c r="C21" s="966"/>
      <c r="D21" s="134" t="str">
        <f>D19&amp;".2"</f>
        <v>5.1.2</v>
      </c>
      <c r="E21" s="135" t="s">
        <v>240</v>
      </c>
      <c r="F21" s="16" t="s">
        <v>4</v>
      </c>
      <c r="G21" s="127" t="s">
        <v>241</v>
      </c>
      <c r="H21" s="125"/>
      <c r="J21" s="111">
        <v>0</v>
      </c>
    </row>
    <row r="22" spans="1:10" ht="22.5" hidden="1" customHeight="1">
      <c r="A22" s="956"/>
      <c r="B22" s="116"/>
      <c r="C22" s="966"/>
      <c r="D22" s="134" t="str">
        <f>D19&amp;".3"</f>
        <v>5.1.3</v>
      </c>
      <c r="E22" s="135" t="s">
        <v>242</v>
      </c>
      <c r="F22" s="136" t="s">
        <v>4</v>
      </c>
      <c r="G22" s="128"/>
      <c r="H22" s="125"/>
      <c r="J22" s="111">
        <v>0</v>
      </c>
    </row>
    <row r="23" spans="1:10" ht="22.5" hidden="1" customHeight="1">
      <c r="A23" s="956"/>
      <c r="B23" s="116"/>
      <c r="C23" s="966"/>
      <c r="D23" s="134" t="str">
        <f>D19&amp;".4"</f>
        <v>5.1.4</v>
      </c>
      <c r="E23" s="135" t="s">
        <v>243</v>
      </c>
      <c r="F23" s="136" t="s">
        <v>4</v>
      </c>
      <c r="G23" s="127" t="s">
        <v>244</v>
      </c>
      <c r="H23" s="125"/>
      <c r="J23" s="111">
        <v>0</v>
      </c>
    </row>
    <row r="24" spans="1:10" ht="22.5" hidden="1" customHeight="1">
      <c r="A24" s="137"/>
      <c r="B24" s="116"/>
      <c r="C24" s="138"/>
      <c r="D24" s="139"/>
      <c r="E24" s="42" t="s">
        <v>245</v>
      </c>
      <c r="F24" s="140"/>
      <c r="G24" s="141"/>
      <c r="H24" s="125"/>
      <c r="J24" s="111">
        <v>0</v>
      </c>
    </row>
    <row r="25" spans="1:10" ht="24.75" hidden="1" customHeight="1">
      <c r="A25" s="12"/>
      <c r="B25" s="116"/>
      <c r="C25" s="116"/>
      <c r="D25" s="142" t="s">
        <v>26</v>
      </c>
      <c r="E25" s="143" t="s">
        <v>246</v>
      </c>
      <c r="F25" s="31" t="s">
        <v>229</v>
      </c>
      <c r="G25" s="143"/>
      <c r="J25" s="112">
        <v>0</v>
      </c>
    </row>
    <row r="26" spans="1:10" ht="11.25" hidden="1" customHeight="1">
      <c r="A26" s="12"/>
      <c r="B26" s="116"/>
      <c r="C26" s="116"/>
      <c r="D26" s="142" t="s">
        <v>247</v>
      </c>
      <c r="E26" s="144" t="s">
        <v>248</v>
      </c>
      <c r="F26" s="31" t="s">
        <v>229</v>
      </c>
      <c r="G26" s="143"/>
      <c r="J26" s="112">
        <v>0</v>
      </c>
    </row>
    <row r="27" spans="1:10" ht="11.25" hidden="1" customHeight="1">
      <c r="A27" s="12"/>
      <c r="B27" s="116"/>
      <c r="C27" s="116"/>
      <c r="D27" s="142" t="s">
        <v>249</v>
      </c>
      <c r="E27" s="145" t="s">
        <v>250</v>
      </c>
      <c r="F27" s="146"/>
      <c r="G27" s="14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112">
        <v>0</v>
      </c>
    </row>
    <row r="28" spans="1:10" ht="11.25" hidden="1" customHeight="1">
      <c r="A28" s="12"/>
      <c r="B28" s="116"/>
      <c r="C28" s="116"/>
      <c r="D28" s="142" t="s">
        <v>251</v>
      </c>
      <c r="E28" s="145" t="s">
        <v>252</v>
      </c>
      <c r="F28" s="146"/>
      <c r="G28" s="14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112">
        <v>0</v>
      </c>
    </row>
    <row r="29" spans="1:10" ht="11.25" hidden="1" customHeight="1">
      <c r="A29" s="12"/>
      <c r="B29" s="116"/>
      <c r="C29" s="116"/>
      <c r="D29" s="142" t="s">
        <v>253</v>
      </c>
      <c r="E29" s="145" t="s">
        <v>254</v>
      </c>
      <c r="F29" s="146"/>
      <c r="G29" s="14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112">
        <v>0</v>
      </c>
    </row>
    <row r="30" spans="1:10" ht="11.25" hidden="1" customHeight="1">
      <c r="A30" s="12"/>
      <c r="B30" s="116"/>
      <c r="C30" s="116"/>
      <c r="D30" s="142" t="s">
        <v>255</v>
      </c>
      <c r="E30" s="144" t="s">
        <v>256</v>
      </c>
      <c r="F30" s="146"/>
      <c r="G30" s="143"/>
      <c r="J30" s="112">
        <v>0</v>
      </c>
    </row>
    <row r="31" spans="1:10" ht="11.25" hidden="1" customHeight="1">
      <c r="A31" s="12"/>
      <c r="B31" s="116"/>
      <c r="C31" s="116"/>
      <c r="D31" s="142" t="s">
        <v>257</v>
      </c>
      <c r="E31" s="144" t="s">
        <v>258</v>
      </c>
      <c r="F31" s="146"/>
      <c r="G31" s="143"/>
      <c r="J31" s="112">
        <v>0</v>
      </c>
    </row>
    <row r="32" spans="1:10" ht="11.25" hidden="1" customHeight="1">
      <c r="A32" s="12"/>
      <c r="B32" s="116"/>
      <c r="C32" s="116"/>
      <c r="D32" s="142" t="s">
        <v>259</v>
      </c>
      <c r="E32" s="144" t="s">
        <v>260</v>
      </c>
      <c r="F32" s="146"/>
      <c r="G32" s="143"/>
      <c r="J32" s="112">
        <v>0</v>
      </c>
    </row>
    <row r="33" spans="1:10" ht="24" customHeight="1">
      <c r="A33" s="12" t="str">
        <f>IF(TEMPLATE_SPHERE="HEAT","6","5")</f>
        <v>5</v>
      </c>
      <c r="B33" s="116"/>
      <c r="C33" s="12"/>
      <c r="D33" s="134" t="str">
        <f>A33</f>
        <v>5</v>
      </c>
      <c r="E33" s="147"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65" t="s">
        <v>229</v>
      </c>
      <c r="G33" s="128"/>
      <c r="H33" s="125"/>
      <c r="J33" s="111">
        <v>23</v>
      </c>
    </row>
    <row r="34" spans="1:10" ht="23.25" customHeight="1">
      <c r="A34" s="12"/>
      <c r="B34" s="116"/>
      <c r="C34" s="12"/>
      <c r="D34" s="134" t="str">
        <f>D33&amp;".1"</f>
        <v>5.1</v>
      </c>
      <c r="E34" s="129" t="str">
        <f>"фамилия"&amp;IF(TEMPLATE_SPHERE&lt;&gt;"HEAT"," руководителя","")</f>
        <v>фамилия руководителя</v>
      </c>
      <c r="F34" s="130"/>
      <c r="G34" s="12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125"/>
      <c r="J34" s="111">
        <v>22</v>
      </c>
    </row>
    <row r="35" spans="1:10" ht="23.25" customHeight="1">
      <c r="A35" s="12"/>
      <c r="B35" s="116"/>
      <c r="C35" s="12"/>
      <c r="D35" s="134" t="str">
        <f>D33&amp;".2"</f>
        <v>5.2</v>
      </c>
      <c r="E35" s="129" t="str">
        <f>"имя"&amp;IF(TEMPLATE_SPHERE&lt;&gt;"HEAT"," руководителя","")</f>
        <v>имя руководителя</v>
      </c>
      <c r="F35" s="130"/>
      <c r="G35" s="12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125"/>
      <c r="J35" s="111">
        <v>22</v>
      </c>
    </row>
    <row r="36" spans="1:10" ht="24" customHeight="1">
      <c r="A36" s="12"/>
      <c r="B36" s="116"/>
      <c r="C36" s="12"/>
      <c r="D36" s="134" t="str">
        <f>D33&amp;".3"</f>
        <v>5.3</v>
      </c>
      <c r="E36" s="129" t="str">
        <f>"отчество"&amp;IF(TEMPLATE_SPHERE&lt;&gt;"HEAT"," руководителя","")</f>
        <v>отчество руководителя</v>
      </c>
      <c r="F36" s="148"/>
      <c r="G36" s="12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125"/>
      <c r="J36" s="111">
        <v>23</v>
      </c>
    </row>
    <row r="37" spans="1:10" ht="35.65" customHeight="1">
      <c r="A37" s="12"/>
      <c r="B37" s="116"/>
      <c r="C37" s="12"/>
      <c r="D37" s="134">
        <f>D33+1</f>
        <v>6</v>
      </c>
      <c r="E37" s="147"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130"/>
      <c r="G37" s="127" t="s">
        <v>261</v>
      </c>
      <c r="H37" s="125"/>
      <c r="J37" s="111">
        <v>34</v>
      </c>
    </row>
    <row r="38" spans="1:10" ht="35.65" customHeight="1">
      <c r="A38" s="12"/>
      <c r="B38" s="116"/>
      <c r="C38" s="12"/>
      <c r="D38" s="134">
        <f>D37+1</f>
        <v>7</v>
      </c>
      <c r="E38" s="147"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130"/>
      <c r="G38" s="127" t="s">
        <v>261</v>
      </c>
      <c r="H38" s="125"/>
      <c r="J38" s="111">
        <v>34</v>
      </c>
    </row>
    <row r="39" spans="1:10" ht="23.25" customHeight="1">
      <c r="A39" s="12"/>
      <c r="B39" s="116"/>
      <c r="C39" s="12"/>
      <c r="D39" s="134">
        <f>D38+1</f>
        <v>8</v>
      </c>
      <c r="E39" s="14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65" t="s">
        <v>229</v>
      </c>
      <c r="G39" s="96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125"/>
      <c r="J39" s="111">
        <v>22</v>
      </c>
    </row>
    <row r="40" spans="1:10" ht="22.5" hidden="1" customHeight="1">
      <c r="A40" s="12"/>
      <c r="B40" s="116"/>
      <c r="C40" s="12"/>
      <c r="D40" s="134" t="str">
        <f>D39&amp;".0"</f>
        <v>8.0</v>
      </c>
      <c r="E40" s="150"/>
      <c r="F40" s="136"/>
      <c r="G40" s="964"/>
      <c r="H40" s="125"/>
      <c r="J40" s="111">
        <v>0</v>
      </c>
    </row>
    <row r="41" spans="1:10" ht="23.25" customHeight="1">
      <c r="A41" s="12"/>
      <c r="B41" s="12"/>
      <c r="C41" s="151"/>
      <c r="D41" s="134" t="str">
        <f>D39&amp;".1"</f>
        <v>8.1</v>
      </c>
      <c r="E41" s="152"/>
      <c r="F41" s="153"/>
      <c r="G41" s="964"/>
      <c r="H41" s="125"/>
      <c r="J41" s="111">
        <v>22</v>
      </c>
    </row>
    <row r="42" spans="1:10" ht="15.75" customHeight="1">
      <c r="A42" s="12"/>
      <c r="B42" s="116"/>
      <c r="C42" s="12"/>
      <c r="D42" s="139"/>
      <c r="E42" s="42" t="s">
        <v>262</v>
      </c>
      <c r="F42" s="141"/>
      <c r="G42" s="965"/>
      <c r="H42" s="154"/>
      <c r="J42" s="111">
        <v>15</v>
      </c>
    </row>
    <row r="43" spans="1:10" ht="27.4" customHeight="1">
      <c r="A43" s="12"/>
      <c r="B43" s="116"/>
      <c r="C43" s="12"/>
      <c r="D43" s="134">
        <f>D39+1</f>
        <v>9</v>
      </c>
      <c r="E43" s="147"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155"/>
      <c r="G43" s="12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125"/>
      <c r="J43" s="111">
        <v>26</v>
      </c>
    </row>
    <row r="44" spans="1:10" ht="23.25" customHeight="1">
      <c r="A44" s="12"/>
      <c r="B44" s="116"/>
      <c r="C44" s="12"/>
      <c r="D44" s="134">
        <f>D43+1</f>
        <v>10</v>
      </c>
      <c r="E44" s="147"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156"/>
      <c r="G44" s="128" t="s">
        <v>263</v>
      </c>
      <c r="H44" s="125"/>
      <c r="J44" s="111">
        <v>22</v>
      </c>
    </row>
    <row r="45" spans="1:10" ht="23.25" customHeight="1">
      <c r="A45" s="12"/>
      <c r="B45" s="116"/>
      <c r="C45" s="12"/>
      <c r="D45" s="134">
        <f>D44+1</f>
        <v>11</v>
      </c>
      <c r="E45" s="147" t="s">
        <v>264</v>
      </c>
      <c r="F45" s="65" t="s">
        <v>229</v>
      </c>
      <c r="G45" s="149" t="str">
        <f>IF(TEMPLATE_SPHERE="TKO","Указывается режим работы организации.","")</f>
        <v/>
      </c>
      <c r="H45" s="125"/>
      <c r="J45" s="111">
        <v>22</v>
      </c>
    </row>
    <row r="46" spans="1:10" ht="24" customHeight="1">
      <c r="A46" s="12"/>
      <c r="B46" s="116"/>
      <c r="C46" s="12"/>
      <c r="D46" s="134" t="str">
        <f>D45&amp;".1"</f>
        <v>11.1</v>
      </c>
      <c r="E46" s="129" t="str">
        <f>"режим работы регулируемой организации"&amp;IF(TEMPLATE_SPHERE="HEAT",", ЕТО, ТО","")</f>
        <v>режим работы регулируемой организации</v>
      </c>
      <c r="F46" s="157"/>
      <c r="G46" s="149" t="s">
        <v>265</v>
      </c>
      <c r="H46" s="125"/>
      <c r="J46" s="111">
        <v>23</v>
      </c>
    </row>
    <row r="47" spans="1:10" ht="24" customHeight="1">
      <c r="A47" s="956"/>
      <c r="B47" s="116"/>
      <c r="C47" s="138"/>
      <c r="D47" s="134" t="str">
        <f>D45&amp;".2"</f>
        <v>11.2</v>
      </c>
      <c r="E47" s="129" t="s">
        <v>266</v>
      </c>
      <c r="F47" s="157"/>
      <c r="G47" s="149" t="s">
        <v>267</v>
      </c>
      <c r="H47" s="125"/>
      <c r="J47" s="111">
        <v>23</v>
      </c>
    </row>
    <row r="48" spans="1:10" ht="24" customHeight="1">
      <c r="A48" s="956"/>
      <c r="B48" s="116"/>
      <c r="C48" s="138"/>
      <c r="D48" s="134" t="str">
        <f>D45&amp;".3"</f>
        <v>11.3</v>
      </c>
      <c r="E48" s="129" t="s">
        <v>268</v>
      </c>
      <c r="F48" s="157"/>
      <c r="G48" s="149" t="s">
        <v>269</v>
      </c>
      <c r="H48" s="125"/>
      <c r="J48" s="111">
        <v>23</v>
      </c>
    </row>
    <row r="49" spans="1:10" ht="24" customHeight="1">
      <c r="A49" s="956"/>
      <c r="B49" s="116"/>
      <c r="C49" s="138"/>
      <c r="D49" s="134" t="str">
        <f>IF(TEMPLATE_SPHERE="TKO",D45&amp;".0",D45&amp;".4")</f>
        <v>11.4</v>
      </c>
      <c r="E49" s="158" t="s">
        <v>270</v>
      </c>
      <c r="F49" s="159"/>
      <c r="G49" s="160" t="s">
        <v>271</v>
      </c>
      <c r="H49" s="125"/>
      <c r="J49" s="111">
        <v>23</v>
      </c>
    </row>
    <row r="50" spans="1:10" ht="24" customHeight="1">
      <c r="A50" s="12"/>
      <c r="B50" s="116"/>
      <c r="C50" s="12"/>
      <c r="D50" s="139"/>
      <c r="E50" s="42" t="s">
        <v>272</v>
      </c>
      <c r="F50" s="140"/>
      <c r="G50" s="160" t="s">
        <v>273</v>
      </c>
      <c r="H50" s="154"/>
      <c r="J50" s="111">
        <v>23</v>
      </c>
    </row>
    <row r="51" spans="1:10" ht="24" customHeight="1">
      <c r="A51" s="132"/>
      <c r="B51" s="116"/>
      <c r="C51" s="138"/>
      <c r="D51" s="134">
        <f>D45+1</f>
        <v>12</v>
      </c>
      <c r="E51" s="161" t="s">
        <v>274</v>
      </c>
      <c r="F51" s="157"/>
      <c r="G51" s="16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125"/>
      <c r="J51" s="111">
        <v>23</v>
      </c>
    </row>
    <row r="52" spans="1:10" ht="11.45" customHeight="1">
      <c r="A52" s="12"/>
      <c r="B52" s="116"/>
      <c r="C52" s="12"/>
      <c r="J52" s="111">
        <v>11</v>
      </c>
    </row>
    <row r="53" spans="1:10" ht="31.5" customHeight="1">
      <c r="C53" s="885"/>
      <c r="D53" s="9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885"/>
      <c r="F53" s="885"/>
      <c r="G53" s="885"/>
      <c r="J53" s="163">
        <v>30</v>
      </c>
    </row>
    <row r="54" spans="1:10" ht="42" customHeight="1">
      <c r="A54" s="12"/>
      <c r="B54" s="116"/>
      <c r="C54" s="885"/>
      <c r="D54" s="959"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885"/>
      <c r="F54" s="885"/>
      <c r="G54" s="885"/>
      <c r="J54" s="163">
        <v>40</v>
      </c>
    </row>
    <row r="55" spans="1:10" ht="11.45" customHeight="1">
      <c r="D55" s="164"/>
      <c r="E55" s="165"/>
      <c r="F55" s="165"/>
      <c r="G55" s="165"/>
      <c r="J55" s="111">
        <v>11</v>
      </c>
    </row>
    <row r="56" spans="1:10" ht="28.5" customHeight="1">
      <c r="D56" s="166"/>
      <c r="E56" s="164"/>
      <c r="F56" s="167"/>
      <c r="G56" s="167"/>
      <c r="J56" s="111">
        <v>27</v>
      </c>
    </row>
    <row r="57" spans="1:10" ht="11.45" customHeight="1">
      <c r="D57" s="164"/>
      <c r="E57" s="164"/>
      <c r="F57" s="165"/>
      <c r="G57" s="165"/>
      <c r="J57" s="111">
        <v>11</v>
      </c>
    </row>
    <row r="58" spans="1:10" ht="40.9" customHeight="1">
      <c r="D58" s="168"/>
      <c r="E58" s="169"/>
      <c r="F58" s="169"/>
      <c r="G58" s="169"/>
      <c r="J58" s="111">
        <v>39</v>
      </c>
    </row>
    <row r="59" spans="1:10" ht="28.5" customHeight="1">
      <c r="D59" s="168"/>
      <c r="E59" s="169"/>
      <c r="F59" s="169"/>
      <c r="G59" s="169"/>
      <c r="J59" s="111">
        <v>27</v>
      </c>
    </row>
    <row r="60" spans="1:10" ht="11.25" hidden="1" customHeight="1">
      <c r="A60" s="110" t="s">
        <v>18</v>
      </c>
      <c r="B60" s="112">
        <v>0</v>
      </c>
      <c r="C60" s="111">
        <v>3</v>
      </c>
      <c r="D60" s="170">
        <v>6</v>
      </c>
      <c r="E60" s="111">
        <v>52</v>
      </c>
      <c r="F60" s="111">
        <v>48</v>
      </c>
      <c r="G60" s="111">
        <v>121</v>
      </c>
      <c r="H60" s="111">
        <v>8</v>
      </c>
      <c r="I60" s="111">
        <v>64</v>
      </c>
      <c r="J60" s="11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hidden="1" customWidth="1"/>
    <col min="2" max="2" width="17" hidden="1" customWidth="1"/>
    <col min="3" max="3" width="3" customWidth="1"/>
    <col min="4" max="4" width="1.85546875" hidden="1" customWidth="1"/>
    <col min="5" max="6" width="7" customWidth="1"/>
    <col min="7" max="7" width="29" customWidth="1"/>
    <col min="8" max="8" width="3.7109375" customWidth="1"/>
    <col min="9" max="9" width="5" customWidth="1"/>
    <col min="10" max="11" width="24" customWidth="1"/>
    <col min="12" max="12" width="3" customWidth="1"/>
    <col min="13" max="13" width="6" customWidth="1"/>
    <col min="14" max="14" width="25" customWidth="1"/>
    <col min="15" max="18" width="18" customWidth="1"/>
    <col min="19" max="19" width="93" customWidth="1"/>
    <col min="20" max="21" width="10" customWidth="1"/>
    <col min="22" max="22" width="11" customWidth="1"/>
    <col min="23" max="27" width="10" customWidth="1"/>
    <col min="28" max="83" width="8" customWidth="1"/>
    <col min="84" max="84" width="9.140625" hidden="1"/>
  </cols>
  <sheetData>
    <row r="1" spans="1:84" ht="22.5" hidden="1" customHeight="1">
      <c r="CF1" s="3" t="s">
        <v>1</v>
      </c>
    </row>
    <row r="2" spans="1:84" ht="11.25" hidden="1" customHeight="1">
      <c r="CF2" s="3">
        <v>0</v>
      </c>
    </row>
    <row r="3" spans="1:84" ht="11.25" hidden="1" customHeight="1">
      <c r="CF3" s="3">
        <v>0</v>
      </c>
    </row>
    <row r="4" spans="1:84" ht="3" customHeight="1">
      <c r="CF4" s="3">
        <v>3</v>
      </c>
    </row>
    <row r="5" spans="1:84" ht="29.25" customHeight="1">
      <c r="D5" s="425"/>
      <c r="E5" s="98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982"/>
      <c r="G5" s="982"/>
      <c r="H5" s="982"/>
      <c r="I5" s="982"/>
      <c r="J5" s="982"/>
      <c r="K5" s="982"/>
      <c r="CF5" s="3">
        <v>28</v>
      </c>
    </row>
    <row r="6" spans="1:84" ht="16.899999999999999" customHeight="1">
      <c r="D6" s="426"/>
      <c r="E6" s="955" t="e">
        <f>IF(org=0,"Не определено",org)</f>
        <v>#REF!</v>
      </c>
      <c r="F6" s="955"/>
      <c r="G6" s="955"/>
      <c r="H6" s="955"/>
      <c r="I6" s="955"/>
      <c r="J6" s="955"/>
      <c r="K6" s="955"/>
      <c r="CF6" s="3">
        <v>16</v>
      </c>
    </row>
    <row r="7" spans="1:84" ht="11.45" customHeight="1">
      <c r="R7" s="115"/>
      <c r="CF7" s="3">
        <v>11</v>
      </c>
    </row>
    <row r="8" spans="1:84" ht="4.1500000000000004" customHeight="1">
      <c r="R8" s="427"/>
      <c r="CF8" s="189">
        <v>4</v>
      </c>
    </row>
    <row r="9" spans="1:84" ht="19.899999999999999" customHeight="1">
      <c r="D9" s="227"/>
      <c r="E9" s="887" t="s">
        <v>223</v>
      </c>
      <c r="F9" s="890"/>
      <c r="G9" s="890"/>
      <c r="H9" s="890"/>
      <c r="I9" s="890"/>
      <c r="J9" s="890"/>
      <c r="K9" s="890"/>
      <c r="L9" s="890"/>
      <c r="M9" s="890"/>
      <c r="N9" s="890"/>
      <c r="O9" s="890"/>
      <c r="P9" s="890"/>
      <c r="Q9" s="890"/>
      <c r="R9" s="886"/>
      <c r="S9" s="894" t="s">
        <v>224</v>
      </c>
      <c r="CF9" s="3">
        <v>19</v>
      </c>
    </row>
    <row r="10" spans="1:84" ht="48.2" customHeight="1">
      <c r="D10" s="31" t="s">
        <v>24</v>
      </c>
      <c r="E10" s="894" t="s">
        <v>24</v>
      </c>
      <c r="F10" s="894"/>
      <c r="G10" s="30" t="s">
        <v>225</v>
      </c>
      <c r="H10" s="894" t="s">
        <v>24</v>
      </c>
      <c r="I10" s="894"/>
      <c r="J10" s="30" t="s">
        <v>525</v>
      </c>
      <c r="K10" s="30" t="s">
        <v>526</v>
      </c>
      <c r="L10" s="894" t="s">
        <v>24</v>
      </c>
      <c r="M10" s="894"/>
      <c r="N10" s="30" t="s">
        <v>527</v>
      </c>
      <c r="O10" s="30" t="s">
        <v>528</v>
      </c>
      <c r="P10" s="30" t="s">
        <v>529</v>
      </c>
      <c r="Q10" s="30" t="s">
        <v>530</v>
      </c>
      <c r="R10" s="30" t="s">
        <v>531</v>
      </c>
      <c r="S10" s="894"/>
      <c r="CF10" s="3">
        <v>46</v>
      </c>
    </row>
    <row r="11" spans="1:84" ht="15" hidden="1" customHeight="1">
      <c r="D11" s="342" t="s">
        <v>31</v>
      </c>
      <c r="F11" s="342" t="s">
        <v>39</v>
      </c>
      <c r="G11" s="342" t="s">
        <v>26</v>
      </c>
      <c r="I11" s="342" t="s">
        <v>27</v>
      </c>
      <c r="J11" s="342" t="s">
        <v>40</v>
      </c>
      <c r="K11" s="342" t="s">
        <v>28</v>
      </c>
      <c r="M11" s="342" t="s">
        <v>29</v>
      </c>
      <c r="N11" s="342" t="s">
        <v>41</v>
      </c>
      <c r="O11" s="342" t="s">
        <v>73</v>
      </c>
      <c r="P11" s="342" t="s">
        <v>74</v>
      </c>
      <c r="Q11" s="342" t="s">
        <v>75</v>
      </c>
      <c r="R11" s="342" t="s">
        <v>76</v>
      </c>
      <c r="S11" s="342" t="s">
        <v>77</v>
      </c>
      <c r="CF11" s="24">
        <v>0</v>
      </c>
    </row>
    <row r="12" spans="1:84" ht="1.1499999999999999" customHeight="1">
      <c r="CF12" s="3">
        <v>1</v>
      </c>
    </row>
    <row r="13" spans="1:84" ht="1.1499999999999999" customHeight="1">
      <c r="D13" s="342" t="s">
        <v>299</v>
      </c>
      <c r="CF13" s="189">
        <v>1</v>
      </c>
    </row>
    <row r="14" spans="1:84" ht="15" hidden="1" customHeight="1">
      <c r="A14" s="428" t="s">
        <v>42</v>
      </c>
      <c r="D14" s="1090" t="s">
        <v>31</v>
      </c>
      <c r="E14" s="1095" t="s">
        <v>37</v>
      </c>
      <c r="F14" s="1096"/>
      <c r="G14" s="1097"/>
      <c r="H14" s="1093" t="e">
        <f>IF(A14="","",INDEX(DIFFERENTIATION_UNMERGE_VD,MATCH(A14,DIFFERENTIATION_ID_DIFF,0)))</f>
        <v>#REF!</v>
      </c>
      <c r="I14" s="1093"/>
      <c r="J14" s="1093"/>
      <c r="K14" s="1093"/>
      <c r="L14" s="1093"/>
      <c r="M14" s="1093"/>
      <c r="N14" s="1093"/>
      <c r="O14" s="1093"/>
      <c r="P14" s="1093"/>
      <c r="Q14" s="1093"/>
      <c r="R14" s="1093"/>
      <c r="S14" s="429"/>
      <c r="T14" s="430"/>
      <c r="AC14" s="885"/>
      <c r="AE14" t="s">
        <v>4</v>
      </c>
      <c r="AG14" s="431" t="s">
        <v>532</v>
      </c>
      <c r="AH14" s="432">
        <v>3</v>
      </c>
      <c r="CF14" s="39">
        <v>0</v>
      </c>
    </row>
    <row r="15" spans="1:84" ht="15" hidden="1" customHeight="1">
      <c r="D15" s="1091"/>
      <c r="E15" s="1095" t="s">
        <v>487</v>
      </c>
      <c r="F15" s="1096"/>
      <c r="G15" s="1097"/>
      <c r="H15" s="1093" t="e">
        <f>IF(A14="","",INDEX(DIFFERENTIATION_UNMERGE_AREA,MATCH(A14,DIFFERENTIATION_ID_DIFF,0)))</f>
        <v>#REF!</v>
      </c>
      <c r="I15" s="1093"/>
      <c r="J15" s="1093"/>
      <c r="K15" s="1093"/>
      <c r="L15" s="1093"/>
      <c r="M15" s="1093"/>
      <c r="N15" s="1093"/>
      <c r="O15" s="1093"/>
      <c r="P15" s="1093"/>
      <c r="Q15" s="1093"/>
      <c r="R15" s="1093"/>
      <c r="S15" s="429"/>
      <c r="T15" s="430"/>
      <c r="AC15" s="885"/>
      <c r="CF15" s="39">
        <v>0</v>
      </c>
    </row>
    <row r="16" spans="1:84" ht="15" hidden="1" customHeight="1">
      <c r="D16" s="1091"/>
      <c r="E16" s="1095" t="s">
        <v>488</v>
      </c>
      <c r="F16" s="1096"/>
      <c r="G16" s="1097"/>
      <c r="H16" s="1093" t="e">
        <f>IF(A14="","",INDEX(DIFFERENTIATION_UNMERGE_SYSTEM,MATCH(A14,DIFFERENTIATION_ID_DIFF,0)))</f>
        <v>#REF!</v>
      </c>
      <c r="I16" s="1093"/>
      <c r="J16" s="1093"/>
      <c r="K16" s="1093"/>
      <c r="L16" s="1093"/>
      <c r="M16" s="1093"/>
      <c r="N16" s="1093"/>
      <c r="O16" s="1093"/>
      <c r="P16" s="1093"/>
      <c r="Q16" s="1093"/>
      <c r="R16" s="1093"/>
      <c r="S16" s="429"/>
      <c r="T16" s="430"/>
      <c r="AC16" s="885"/>
      <c r="CF16" s="39">
        <v>0</v>
      </c>
    </row>
    <row r="17" spans="1:84" ht="22.5" hidden="1" customHeight="1">
      <c r="D17" s="1091"/>
      <c r="E17" s="1094" t="s">
        <v>533</v>
      </c>
      <c r="F17" s="1094"/>
      <c r="G17" s="1094"/>
      <c r="H17" s="1094"/>
      <c r="I17" s="1094"/>
      <c r="J17" s="1094"/>
      <c r="K17" s="1094"/>
      <c r="L17" s="1094"/>
      <c r="M17" s="1094"/>
      <c r="N17" s="1094"/>
      <c r="O17" s="1094"/>
      <c r="P17" s="1094"/>
      <c r="Q17" s="385">
        <f>SUMIF(T18:T19,"i",Q18:Q19)</f>
        <v>0</v>
      </c>
      <c r="R17" s="434"/>
      <c r="S17" s="96" t="s">
        <v>534</v>
      </c>
      <c r="T17" s="430" t="s">
        <v>535</v>
      </c>
      <c r="U17" s="1004">
        <v>1</v>
      </c>
      <c r="V17" s="1004" t="str">
        <f>INDEX(B_FHD_FLAG_INDEX_1,1,MATCH(A14,B_FHD_FLAG_DIFFERENTIATION,0))</f>
        <v>отсутствует</v>
      </c>
      <c r="AC17" s="885"/>
      <c r="CF17" s="39">
        <v>0</v>
      </c>
    </row>
    <row r="18" spans="1:84" ht="11.25" hidden="1" customHeight="1">
      <c r="D18" s="1091"/>
      <c r="E18" s="124"/>
      <c r="F18" s="124">
        <v>0</v>
      </c>
      <c r="G18" s="124"/>
      <c r="H18" s="124"/>
      <c r="I18" s="124"/>
      <c r="J18" s="124"/>
      <c r="K18" s="124"/>
      <c r="L18" s="124"/>
      <c r="M18" s="124"/>
      <c r="N18" s="124"/>
      <c r="O18" s="124"/>
      <c r="P18" s="124"/>
      <c r="Q18" s="124"/>
      <c r="R18" s="124"/>
      <c r="S18" s="123"/>
      <c r="T18" s="435"/>
      <c r="U18" s="885"/>
      <c r="V18" s="885"/>
      <c r="AC18" s="885"/>
      <c r="CF18" s="39">
        <v>0</v>
      </c>
    </row>
    <row r="19" spans="1:84" ht="11.25" hidden="1" customHeight="1">
      <c r="D19" s="1091"/>
      <c r="E19" s="334" t="s">
        <v>4</v>
      </c>
      <c r="F19" s="42" t="s">
        <v>4</v>
      </c>
      <c r="G19" s="42" t="s">
        <v>4</v>
      </c>
      <c r="H19" s="45" t="s">
        <v>4</v>
      </c>
      <c r="I19" s="45"/>
      <c r="J19" s="45"/>
      <c r="K19" s="45"/>
      <c r="L19" s="45"/>
      <c r="M19" s="45"/>
      <c r="N19" s="45"/>
      <c r="O19" s="45"/>
      <c r="P19" s="45"/>
      <c r="Q19" s="45"/>
      <c r="R19" s="61"/>
      <c r="S19" s="433"/>
      <c r="T19" s="435"/>
      <c r="U19" s="885"/>
      <c r="V19" s="885"/>
      <c r="AC19" s="885"/>
      <c r="CF19" s="39">
        <v>0</v>
      </c>
    </row>
    <row r="20" spans="1:84" ht="22.5" hidden="1" customHeight="1">
      <c r="D20" s="1091"/>
      <c r="E20" s="1094" t="s">
        <v>536</v>
      </c>
      <c r="F20" s="1094"/>
      <c r="G20" s="1094"/>
      <c r="H20" s="1094"/>
      <c r="I20" s="1094"/>
      <c r="J20" s="1094"/>
      <c r="K20" s="1094"/>
      <c r="L20" s="1094"/>
      <c r="M20" s="1094"/>
      <c r="N20" s="1094"/>
      <c r="O20" s="1094"/>
      <c r="P20" s="1094"/>
      <c r="Q20" s="385">
        <f>SUMIF(T21:T22,"i",Q21:Q22)</f>
        <v>0</v>
      </c>
      <c r="R20" s="434"/>
      <c r="S20" s="96" t="s">
        <v>537</v>
      </c>
      <c r="T20" s="430" t="s">
        <v>535</v>
      </c>
      <c r="U20" s="1004">
        <v>2</v>
      </c>
      <c r="V20" s="1004" t="str">
        <f>INDEX(B_FHD_FLAG_INDEX_2,1,MATCH(A14,B_FHD_FLAG_DIFFERENTIATION,0))</f>
        <v>отсутствует</v>
      </c>
      <c r="CF20" s="39">
        <v>0</v>
      </c>
    </row>
    <row r="21" spans="1:84" ht="11.25" hidden="1" customHeight="1">
      <c r="D21" s="1091"/>
      <c r="E21" s="124"/>
      <c r="F21" s="124">
        <v>0</v>
      </c>
      <c r="G21" s="124"/>
      <c r="H21" s="124"/>
      <c r="I21" s="124"/>
      <c r="J21" s="124"/>
      <c r="K21" s="124"/>
      <c r="L21" s="124"/>
      <c r="M21" s="124"/>
      <c r="N21" s="124"/>
      <c r="O21" s="124"/>
      <c r="P21" s="124"/>
      <c r="Q21" s="124"/>
      <c r="R21" s="124"/>
      <c r="S21" s="123"/>
      <c r="T21" s="435"/>
      <c r="U21" s="885"/>
      <c r="V21" s="885"/>
      <c r="CF21" s="39">
        <v>0</v>
      </c>
    </row>
    <row r="22" spans="1:84" ht="11.25" hidden="1" customHeight="1">
      <c r="D22" s="1092"/>
      <c r="E22" s="334" t="s">
        <v>4</v>
      </c>
      <c r="F22" s="42" t="s">
        <v>4</v>
      </c>
      <c r="G22" s="42" t="s">
        <v>4</v>
      </c>
      <c r="H22" s="45" t="s">
        <v>4</v>
      </c>
      <c r="I22" s="45"/>
      <c r="J22" s="45"/>
      <c r="K22" s="45"/>
      <c r="L22" s="45"/>
      <c r="M22" s="45"/>
      <c r="N22" s="45"/>
      <c r="O22" s="45"/>
      <c r="P22" s="45"/>
      <c r="Q22" s="45"/>
      <c r="R22" s="61"/>
      <c r="S22" s="433"/>
      <c r="T22" s="435"/>
      <c r="U22" s="885"/>
      <c r="V22" s="885"/>
      <c r="CF22" s="39">
        <v>0</v>
      </c>
    </row>
    <row r="23" spans="1:84" ht="19.899999999999999" customHeight="1">
      <c r="D23" s="436"/>
      <c r="E23" s="436"/>
      <c r="F23" s="436"/>
      <c r="G23" s="436"/>
      <c r="H23" s="436"/>
      <c r="I23" s="436"/>
      <c r="J23" s="436"/>
      <c r="K23" s="436"/>
      <c r="L23" s="436"/>
      <c r="M23" s="436"/>
      <c r="N23" s="436"/>
      <c r="O23" s="436"/>
      <c r="P23" s="436"/>
      <c r="Q23" s="436"/>
      <c r="R23" s="436"/>
      <c r="S23" s="436"/>
      <c r="CF23" s="3">
        <v>19</v>
      </c>
    </row>
    <row r="24" spans="1:84" ht="11.45" customHeight="1">
      <c r="CF24" s="3">
        <v>11</v>
      </c>
    </row>
    <row r="25" spans="1:84" ht="11.45" customHeight="1">
      <c r="CF25" s="3">
        <v>11</v>
      </c>
    </row>
    <row r="26" spans="1:84" ht="11.45" customHeight="1">
      <c r="CF26" s="3">
        <v>11</v>
      </c>
    </row>
    <row r="27" spans="1:84" ht="11.45" customHeight="1">
      <c r="E27" s="885"/>
      <c r="F27" s="885"/>
      <c r="G27" s="885"/>
      <c r="H27" s="885"/>
      <c r="I27" s="885"/>
      <c r="J27" s="885"/>
      <c r="K27" s="885"/>
      <c r="L27" s="885"/>
      <c r="M27" s="885"/>
      <c r="N27" s="885"/>
      <c r="O27" s="885"/>
      <c r="P27" s="885"/>
      <c r="Q27" s="885"/>
      <c r="R27" s="885"/>
      <c r="CF27" s="3">
        <v>11</v>
      </c>
    </row>
    <row r="28" spans="1:84" ht="11.45" customHeight="1">
      <c r="CF28" s="3">
        <v>11</v>
      </c>
    </row>
    <row r="29" spans="1:84" ht="11.25" hidden="1" customHeight="1">
      <c r="A29" s="437" t="s">
        <v>18</v>
      </c>
      <c r="B29" s="2">
        <v>0</v>
      </c>
      <c r="C29" s="3">
        <v>3</v>
      </c>
      <c r="D29" s="3">
        <v>0</v>
      </c>
      <c r="E29" s="3">
        <v>7</v>
      </c>
      <c r="F29" s="3">
        <v>7</v>
      </c>
      <c r="G29" s="3">
        <v>29</v>
      </c>
      <c r="H29" s="3">
        <v>3</v>
      </c>
      <c r="I29" s="3">
        <v>5</v>
      </c>
      <c r="J29" s="3">
        <v>24</v>
      </c>
      <c r="K29" s="3">
        <v>24</v>
      </c>
      <c r="L29" s="3">
        <v>3</v>
      </c>
      <c r="M29" s="3">
        <v>6</v>
      </c>
      <c r="N29" s="3">
        <v>25</v>
      </c>
      <c r="O29" s="3">
        <v>18</v>
      </c>
      <c r="P29" s="3">
        <v>18</v>
      </c>
      <c r="Q29" s="3">
        <v>18</v>
      </c>
      <c r="R29" s="3">
        <v>18</v>
      </c>
      <c r="S29" s="3">
        <v>93</v>
      </c>
      <c r="T29" s="3">
        <v>10</v>
      </c>
      <c r="U29" s="24">
        <v>10</v>
      </c>
      <c r="V29" s="24">
        <v>11</v>
      </c>
      <c r="W29" s="2">
        <v>10</v>
      </c>
      <c r="X29" s="2">
        <v>10</v>
      </c>
      <c r="Y29" s="2">
        <v>10</v>
      </c>
      <c r="Z29" s="2">
        <v>10</v>
      </c>
      <c r="AA29" s="2">
        <v>10</v>
      </c>
      <c r="AB29" s="3">
        <v>8</v>
      </c>
      <c r="AC29" s="3">
        <v>8</v>
      </c>
      <c r="AD29" s="3">
        <v>8</v>
      </c>
      <c r="AE29" s="3">
        <v>8</v>
      </c>
      <c r="AF29" s="3">
        <v>8</v>
      </c>
      <c r="AG29" s="3">
        <v>8</v>
      </c>
      <c r="AH29" s="3">
        <v>8</v>
      </c>
      <c r="AI29" s="3">
        <v>8</v>
      </c>
      <c r="AJ29" s="3">
        <v>8</v>
      </c>
      <c r="AK29" s="3">
        <v>8</v>
      </c>
      <c r="AL29" s="3">
        <v>8</v>
      </c>
      <c r="AM29" s="3">
        <v>8</v>
      </c>
      <c r="AN29" s="3">
        <v>8</v>
      </c>
      <c r="AO29" s="3">
        <v>8</v>
      </c>
      <c r="AP29" s="3">
        <v>8</v>
      </c>
      <c r="AQ29" s="3">
        <v>8</v>
      </c>
      <c r="AR29" s="3">
        <v>8</v>
      </c>
      <c r="AS29" s="3">
        <v>8</v>
      </c>
      <c r="AT29" s="3">
        <v>8</v>
      </c>
      <c r="AU29" s="3">
        <v>8</v>
      </c>
      <c r="AV29" s="3">
        <v>8</v>
      </c>
      <c r="AW29" s="3">
        <v>8</v>
      </c>
      <c r="AX29" s="3">
        <v>8</v>
      </c>
      <c r="AY29" s="3">
        <v>8</v>
      </c>
      <c r="AZ29" s="3">
        <v>8</v>
      </c>
      <c r="BA29" s="3">
        <v>8</v>
      </c>
      <c r="BB29" s="3">
        <v>8</v>
      </c>
      <c r="BC29" s="3">
        <v>8</v>
      </c>
      <c r="BD29" s="3">
        <v>8</v>
      </c>
      <c r="BE29" s="3">
        <v>8</v>
      </c>
      <c r="BF29" s="3">
        <v>8</v>
      </c>
      <c r="BG29" s="3">
        <v>8</v>
      </c>
      <c r="BH29" s="3">
        <v>8</v>
      </c>
      <c r="BI29" s="3">
        <v>8</v>
      </c>
      <c r="BJ29" s="3">
        <v>8</v>
      </c>
      <c r="BK29" s="3">
        <v>8</v>
      </c>
      <c r="BL29" s="3">
        <v>8</v>
      </c>
      <c r="BM29" s="3">
        <v>8</v>
      </c>
      <c r="BN29" s="3">
        <v>8</v>
      </c>
      <c r="BO29" s="3">
        <v>8</v>
      </c>
      <c r="BP29" s="3">
        <v>8</v>
      </c>
      <c r="BQ29" s="3">
        <v>8</v>
      </c>
      <c r="BR29" s="3">
        <v>8</v>
      </c>
      <c r="BS29" s="3">
        <v>8</v>
      </c>
      <c r="BT29" s="3">
        <v>8</v>
      </c>
      <c r="BU29" s="3">
        <v>8</v>
      </c>
      <c r="BV29" s="3">
        <v>8</v>
      </c>
      <c r="BW29" s="3">
        <v>8</v>
      </c>
      <c r="BX29" s="3">
        <v>8</v>
      </c>
      <c r="BY29" s="3">
        <v>8</v>
      </c>
      <c r="BZ29" s="3">
        <v>8</v>
      </c>
      <c r="CA29" s="3">
        <v>8</v>
      </c>
      <c r="CB29" s="3">
        <v>8</v>
      </c>
      <c r="CC29" s="3">
        <v>8</v>
      </c>
      <c r="CD29" s="3">
        <v>8</v>
      </c>
      <c r="CE29" s="3">
        <v>8</v>
      </c>
      <c r="CF29" s="3">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40625" defaultRowHeight="11.25" customHeight="1"/>
  <cols>
    <col min="1" max="5" width="10.7109375" hidden="1" customWidth="1"/>
    <col min="6" max="6" width="16.85546875" hidden="1" customWidth="1"/>
    <col min="7" max="7" width="5.5703125" hidden="1" customWidth="1"/>
    <col min="8" max="8" width="3" customWidth="1"/>
    <col min="9" max="9" width="7" customWidth="1"/>
    <col min="10" max="10" width="56" customWidth="1"/>
    <col min="11" max="11" width="10" customWidth="1"/>
    <col min="12" max="12" width="40.5703125" hidden="1" customWidth="1"/>
    <col min="13" max="13" width="40.7109375" customWidth="1"/>
    <col min="14" max="14" width="9.7109375" hidden="1" customWidth="1"/>
    <col min="15" max="15" width="102" customWidth="1"/>
    <col min="16" max="16" width="9" customWidth="1"/>
    <col min="17" max="17" width="5" customWidth="1"/>
    <col min="18" max="22" width="3" customWidth="1"/>
    <col min="23" max="23" width="10" customWidth="1"/>
    <col min="24" max="24" width="34" customWidth="1"/>
    <col min="25" max="25" width="9" customWidth="1"/>
    <col min="26" max="36" width="8" customWidth="1"/>
    <col min="37" max="37" width="5.42578125" hidden="1" customWidth="1"/>
  </cols>
  <sheetData>
    <row r="1" spans="2:37" ht="33.75" hidden="1" customHeight="1">
      <c r="L1" s="11">
        <v>4</v>
      </c>
      <c r="M1" s="11">
        <v>4</v>
      </c>
      <c r="AK1" s="11" t="s">
        <v>1</v>
      </c>
    </row>
    <row r="2" spans="2:37" ht="78.75" hidden="1" customHeight="1">
      <c r="B2" s="438" t="s">
        <v>538</v>
      </c>
      <c r="C2" s="438" t="s">
        <v>539</v>
      </c>
      <c r="D2" s="439" t="s">
        <v>540</v>
      </c>
      <c r="E2" s="440" t="e">
        <f>RIGHT(I2,LEN(I2)-SEARCH("#",SUBSTITUTE(I2,".","#",LEN(I2)-LEN(SUBSTITUTE(I2,".","")))))</f>
        <v>#VALUE!</v>
      </c>
      <c r="F2" s="440">
        <f>J2</f>
        <v>0</v>
      </c>
      <c r="I2" s="55"/>
      <c r="J2" s="32"/>
      <c r="K2" s="6" t="s">
        <v>479</v>
      </c>
      <c r="L2" s="243"/>
      <c r="M2" s="243"/>
      <c r="O2" s="227" t="s">
        <v>480</v>
      </c>
      <c r="AK2" s="11">
        <v>0</v>
      </c>
    </row>
    <row r="3" spans="2:37" ht="11.25" hidden="1" customHeight="1">
      <c r="E3" s="441" t="s">
        <v>541</v>
      </c>
      <c r="L3" s="3">
        <f>0</f>
        <v>0</v>
      </c>
      <c r="M3" s="3">
        <v>1</v>
      </c>
      <c r="AK3" s="3">
        <v>0</v>
      </c>
    </row>
    <row r="4" spans="2:37" ht="11.25" hidden="1" customHeight="1">
      <c r="O4" s="2">
        <v>4</v>
      </c>
      <c r="AK4" s="2">
        <v>0</v>
      </c>
    </row>
    <row r="5" spans="2:37" ht="11.45" customHeight="1">
      <c r="AK5" s="3">
        <v>11</v>
      </c>
    </row>
    <row r="6" spans="2:37" ht="57.75" customHeight="1">
      <c r="I6" s="934" t="s">
        <v>542</v>
      </c>
      <c r="J6" s="934"/>
      <c r="K6" s="934"/>
      <c r="L6" s="934"/>
      <c r="M6" s="934"/>
      <c r="AK6" s="3">
        <v>55</v>
      </c>
    </row>
    <row r="7" spans="2:37" ht="25.15" customHeight="1">
      <c r="I7" s="955" t="e">
        <f>IF(org=0,"Не определено",org)</f>
        <v>#REF!</v>
      </c>
      <c r="J7" s="955"/>
      <c r="K7" s="955"/>
      <c r="L7" s="955"/>
      <c r="M7" s="955"/>
      <c r="AK7" s="3">
        <v>24</v>
      </c>
    </row>
    <row r="8" spans="2:37" ht="11.45" customHeight="1">
      <c r="AK8" s="3">
        <v>11</v>
      </c>
    </row>
    <row r="9" spans="2:37" ht="30" hidden="1" customHeight="1">
      <c r="L9" s="379"/>
      <c r="M9" s="379" t="s">
        <v>42</v>
      </c>
      <c r="AK9" s="24">
        <v>1</v>
      </c>
    </row>
    <row r="10" spans="2:37" ht="11.45" customHeight="1">
      <c r="E10" s="442" t="s">
        <v>543</v>
      </c>
      <c r="I10" s="380"/>
      <c r="J10" s="1086" t="s">
        <v>37</v>
      </c>
      <c r="K10" s="1087"/>
      <c r="L10" s="383" t="str">
        <f>IF(L9="","",INDEX(DIFFERENTIATION_UNMERGE_VD,MATCH(L9,DIFFERENTIATION_ID_DIFF,0)))</f>
        <v/>
      </c>
      <c r="M10" s="383" t="e">
        <f>IF(M9="","",INDEX(DIFFERENTIATION_UNMERGE_VD,MATCH(M9,DIFFERENTIATION_ID_DIFF,0)))</f>
        <v>#REF!</v>
      </c>
      <c r="O10" s="894" t="s">
        <v>224</v>
      </c>
      <c r="AK10" s="3">
        <v>11</v>
      </c>
    </row>
    <row r="11" spans="2:37" ht="11.45" customHeight="1">
      <c r="E11" s="442" t="s">
        <v>544</v>
      </c>
      <c r="I11" s="380"/>
      <c r="J11" s="1086" t="s">
        <v>487</v>
      </c>
      <c r="K11" s="1087"/>
      <c r="L11" s="383" t="str">
        <f>IF(L9="","",INDEX(DIFFERENTIATION_UNMERGE_AREA,MATCH(L9,DIFFERENTIATION_ID_DIFF,0)))</f>
        <v/>
      </c>
      <c r="M11" s="383" t="e">
        <f>IF(M9="","",INDEX(DIFFERENTIATION_UNMERGE_AREA,MATCH(M9,DIFFERENTIATION_ID_DIFF,0)))</f>
        <v>#REF!</v>
      </c>
      <c r="O11" s="894"/>
      <c r="AK11" s="3">
        <v>11</v>
      </c>
    </row>
    <row r="12" spans="2:37" ht="11.45" customHeight="1">
      <c r="E12" s="442" t="s">
        <v>545</v>
      </c>
      <c r="I12" s="443"/>
      <c r="J12" s="1086" t="s">
        <v>488</v>
      </c>
      <c r="K12" s="1087"/>
      <c r="L12" s="383" t="str">
        <f>IF(L9="","",INDEX(DIFFERENTIATION_UNMERGE_SYSTEM,MATCH(L9,DIFFERENTIATION_ID_DIFF,0)))</f>
        <v/>
      </c>
      <c r="M12" s="383" t="e">
        <f>IF(M9="","",INDEX(DIFFERENTIATION_UNMERGE_SYSTEM,MATCH(M9,DIFFERENTIATION_ID_DIFF,0)))</f>
        <v>#REF!</v>
      </c>
      <c r="O12" s="894"/>
      <c r="AK12" s="3">
        <v>11</v>
      </c>
    </row>
    <row r="13" spans="2:37" ht="11.45" customHeight="1">
      <c r="E13" s="442" t="s">
        <v>546</v>
      </c>
      <c r="F13" s="442" t="s">
        <v>547</v>
      </c>
      <c r="I13" s="1088" t="s">
        <v>223</v>
      </c>
      <c r="J13" s="1089"/>
      <c r="K13" s="1089"/>
      <c r="L13" s="381"/>
      <c r="M13" s="444"/>
      <c r="O13" s="894"/>
      <c r="AK13" s="3">
        <v>11</v>
      </c>
    </row>
    <row r="14" spans="2:37" ht="24" customHeight="1">
      <c r="I14" s="30" t="s">
        <v>24</v>
      </c>
      <c r="J14" s="30" t="s">
        <v>225</v>
      </c>
      <c r="K14" s="30" t="s">
        <v>489</v>
      </c>
      <c r="L14" s="7" t="s">
        <v>226</v>
      </c>
      <c r="M14" s="30" t="s">
        <v>226</v>
      </c>
      <c r="O14" s="894"/>
      <c r="AK14" s="3">
        <v>23</v>
      </c>
    </row>
    <row r="15" spans="2:37" ht="24" customHeight="1">
      <c r="B15" s="438" t="s">
        <v>548</v>
      </c>
      <c r="C15" s="438" t="s">
        <v>549</v>
      </c>
      <c r="D15" s="439" t="s">
        <v>550</v>
      </c>
      <c r="E15" s="440" t="s">
        <v>551</v>
      </c>
      <c r="F15" s="440" t="s">
        <v>551</v>
      </c>
      <c r="G15" s="24" t="s">
        <v>511</v>
      </c>
      <c r="I15" s="445">
        <v>1</v>
      </c>
      <c r="J15" s="96" t="s">
        <v>552</v>
      </c>
      <c r="K15" s="30" t="s">
        <v>229</v>
      </c>
      <c r="L15" s="446"/>
      <c r="M15" s="408"/>
      <c r="N15" s="447" t="s">
        <v>553</v>
      </c>
      <c r="O15" s="227" t="s">
        <v>554</v>
      </c>
      <c r="P15" s="447" t="s">
        <v>553</v>
      </c>
      <c r="AK15" s="3">
        <v>23</v>
      </c>
    </row>
    <row r="16" spans="2:37" ht="35.65" customHeight="1">
      <c r="B16" s="438" t="s">
        <v>555</v>
      </c>
      <c r="C16" s="438" t="s">
        <v>556</v>
      </c>
      <c r="D16" s="439" t="s">
        <v>540</v>
      </c>
      <c r="E16" s="440" t="s">
        <v>551</v>
      </c>
      <c r="F16" s="440" t="s">
        <v>551</v>
      </c>
      <c r="I16" s="448">
        <v>2</v>
      </c>
      <c r="J16" s="105" t="s">
        <v>557</v>
      </c>
      <c r="K16" s="92" t="s">
        <v>479</v>
      </c>
      <c r="L16" s="449"/>
      <c r="M16" s="450"/>
      <c r="N16" s="447" t="s">
        <v>553</v>
      </c>
      <c r="O16" s="227" t="s">
        <v>558</v>
      </c>
      <c r="P16" s="447" t="s">
        <v>553</v>
      </c>
      <c r="AK16" s="3">
        <v>34</v>
      </c>
    </row>
    <row r="17" spans="2:37" ht="17.25" hidden="1" customHeight="1">
      <c r="I17" s="31" t="s">
        <v>559</v>
      </c>
      <c r="J17" s="401"/>
      <c r="K17" s="31"/>
      <c r="L17" s="402"/>
      <c r="M17" s="402"/>
      <c r="O17" s="297"/>
      <c r="AK17" s="24">
        <v>1</v>
      </c>
    </row>
    <row r="18" spans="2:37" ht="24" customHeight="1">
      <c r="I18" s="393"/>
      <c r="J18" s="63" t="s">
        <v>509</v>
      </c>
      <c r="K18" s="394"/>
      <c r="L18" s="451"/>
      <c r="M18" s="395"/>
      <c r="O18" s="227" t="s">
        <v>510</v>
      </c>
      <c r="AK18" s="11">
        <v>23</v>
      </c>
    </row>
    <row r="19" spans="2:37" ht="19.899999999999999" customHeight="1">
      <c r="B19" s="438" t="s">
        <v>560</v>
      </c>
      <c r="C19" s="438" t="s">
        <v>561</v>
      </c>
      <c r="D19" s="439" t="s">
        <v>540</v>
      </c>
      <c r="E19" s="440" t="s">
        <v>551</v>
      </c>
      <c r="F19" s="440" t="s">
        <v>551</v>
      </c>
      <c r="I19" s="452">
        <v>3</v>
      </c>
      <c r="J19" s="96" t="s">
        <v>561</v>
      </c>
      <c r="K19" s="26" t="s">
        <v>479</v>
      </c>
      <c r="L19" s="453"/>
      <c r="M19" s="384"/>
      <c r="O19" s="227" t="s">
        <v>562</v>
      </c>
      <c r="AK19" s="3">
        <v>19</v>
      </c>
    </row>
    <row r="20" spans="2:37" ht="77.650000000000006" customHeight="1">
      <c r="B20" s="438" t="s">
        <v>563</v>
      </c>
      <c r="C20" s="438" t="s">
        <v>564</v>
      </c>
      <c r="D20" s="439" t="s">
        <v>540</v>
      </c>
      <c r="E20" s="440" t="s">
        <v>551</v>
      </c>
      <c r="F20" s="440" t="s">
        <v>551</v>
      </c>
      <c r="I20" s="452">
        <v>4</v>
      </c>
      <c r="J20" s="96" t="s">
        <v>565</v>
      </c>
      <c r="K20" s="26" t="s">
        <v>506</v>
      </c>
      <c r="L20" s="453"/>
      <c r="M20" s="384"/>
      <c r="O20" s="227"/>
      <c r="AK20" s="3">
        <v>74</v>
      </c>
    </row>
    <row r="21" spans="2:37" ht="35.65" customHeight="1">
      <c r="B21" s="438" t="s">
        <v>566</v>
      </c>
      <c r="C21" s="438" t="s">
        <v>567</v>
      </c>
      <c r="D21" s="439" t="s">
        <v>540</v>
      </c>
      <c r="E21" s="440" t="s">
        <v>551</v>
      </c>
      <c r="F21" s="440" t="s">
        <v>551</v>
      </c>
      <c r="I21" s="452">
        <v>5</v>
      </c>
      <c r="J21" s="96" t="s">
        <v>568</v>
      </c>
      <c r="K21" s="26" t="s">
        <v>506</v>
      </c>
      <c r="L21" s="453"/>
      <c r="M21" s="384"/>
      <c r="O21" s="227" t="s">
        <v>562</v>
      </c>
      <c r="AK21" s="3">
        <v>34</v>
      </c>
    </row>
    <row r="22" spans="2:37" ht="48.2" customHeight="1">
      <c r="B22" s="438" t="s">
        <v>569</v>
      </c>
      <c r="C22" s="438" t="s">
        <v>570</v>
      </c>
      <c r="D22" s="439" t="s">
        <v>540</v>
      </c>
      <c r="E22" s="440" t="s">
        <v>551</v>
      </c>
      <c r="F22" s="440" t="s">
        <v>551</v>
      </c>
      <c r="I22" s="452">
        <v>6</v>
      </c>
      <c r="J22" s="96" t="s">
        <v>571</v>
      </c>
      <c r="K22" s="26" t="s">
        <v>506</v>
      </c>
      <c r="L22" s="453"/>
      <c r="M22" s="384"/>
      <c r="O22" s="227" t="s">
        <v>572</v>
      </c>
      <c r="AK22" s="3">
        <v>46</v>
      </c>
    </row>
    <row r="23" spans="2:37" ht="19.899999999999999" customHeight="1">
      <c r="B23" s="438" t="s">
        <v>573</v>
      </c>
      <c r="C23" s="438" t="s">
        <v>574</v>
      </c>
      <c r="D23" s="439" t="s">
        <v>540</v>
      </c>
      <c r="E23" s="440" t="s">
        <v>551</v>
      </c>
      <c r="F23" s="440" t="s">
        <v>551</v>
      </c>
      <c r="I23" s="452" t="s">
        <v>575</v>
      </c>
      <c r="J23" s="352" t="s">
        <v>576</v>
      </c>
      <c r="K23" s="26" t="s">
        <v>506</v>
      </c>
      <c r="L23" s="453"/>
      <c r="M23" s="384"/>
      <c r="O23" s="227" t="s">
        <v>562</v>
      </c>
      <c r="AK23" s="3">
        <v>19</v>
      </c>
    </row>
    <row r="24" spans="2:37" ht="19.899999999999999" customHeight="1">
      <c r="B24" s="438" t="s">
        <v>577</v>
      </c>
      <c r="C24" s="438" t="s">
        <v>578</v>
      </c>
      <c r="D24" s="439" t="s">
        <v>540</v>
      </c>
      <c r="E24" s="440" t="s">
        <v>551</v>
      </c>
      <c r="F24" s="440" t="s">
        <v>551</v>
      </c>
      <c r="I24" s="452" t="s">
        <v>579</v>
      </c>
      <c r="J24" s="352" t="s">
        <v>580</v>
      </c>
      <c r="K24" s="26" t="s">
        <v>506</v>
      </c>
      <c r="L24" s="453"/>
      <c r="M24" s="384"/>
      <c r="O24" s="227"/>
      <c r="AK24" s="3">
        <v>19</v>
      </c>
    </row>
    <row r="25" spans="2:37" ht="24" customHeight="1">
      <c r="B25" s="438" t="s">
        <v>581</v>
      </c>
      <c r="C25" s="438" t="s">
        <v>582</v>
      </c>
      <c r="D25" s="439" t="s">
        <v>540</v>
      </c>
      <c r="E25" s="440" t="s">
        <v>551</v>
      </c>
      <c r="F25" s="440" t="s">
        <v>551</v>
      </c>
      <c r="I25" s="452" t="s">
        <v>583</v>
      </c>
      <c r="J25" s="352" t="s">
        <v>584</v>
      </c>
      <c r="K25" s="26" t="s">
        <v>506</v>
      </c>
      <c r="L25" s="453"/>
      <c r="M25" s="384"/>
      <c r="O25" s="227"/>
      <c r="AK25" s="3">
        <v>23</v>
      </c>
    </row>
    <row r="26" spans="2:37" ht="24" customHeight="1">
      <c r="B26" s="438" t="s">
        <v>585</v>
      </c>
      <c r="C26" s="438" t="s">
        <v>586</v>
      </c>
      <c r="D26" s="439" t="s">
        <v>540</v>
      </c>
      <c r="E26" s="440" t="s">
        <v>551</v>
      </c>
      <c r="F26" s="440" t="s">
        <v>551</v>
      </c>
      <c r="I26" s="452">
        <v>7</v>
      </c>
      <c r="J26" s="96" t="s">
        <v>586</v>
      </c>
      <c r="K26" s="26" t="s">
        <v>587</v>
      </c>
      <c r="L26" s="453"/>
      <c r="M26" s="384"/>
      <c r="O26" s="227"/>
      <c r="AK26" s="3">
        <v>23</v>
      </c>
    </row>
    <row r="27" spans="2:37" ht="24" customHeight="1">
      <c r="B27" s="438" t="s">
        <v>588</v>
      </c>
      <c r="C27" s="438" t="s">
        <v>589</v>
      </c>
      <c r="D27" s="439" t="s">
        <v>540</v>
      </c>
      <c r="E27" s="440" t="s">
        <v>551</v>
      </c>
      <c r="F27" s="440" t="s">
        <v>551</v>
      </c>
      <c r="I27" s="452">
        <v>8</v>
      </c>
      <c r="J27" s="96" t="s">
        <v>589</v>
      </c>
      <c r="K27" s="26" t="s">
        <v>512</v>
      </c>
      <c r="L27" s="453"/>
      <c r="M27" s="384"/>
      <c r="O27" s="227"/>
      <c r="AK27" s="3">
        <v>23</v>
      </c>
    </row>
    <row r="28" spans="2:37" ht="35.65" customHeight="1">
      <c r="B28" s="438" t="s">
        <v>590</v>
      </c>
      <c r="C28" s="438" t="s">
        <v>591</v>
      </c>
      <c r="D28" s="439" t="s">
        <v>540</v>
      </c>
      <c r="E28" s="440" t="s">
        <v>551</v>
      </c>
      <c r="F28" s="440" t="s">
        <v>551</v>
      </c>
      <c r="I28" s="454">
        <v>9</v>
      </c>
      <c r="J28" s="96" t="s">
        <v>592</v>
      </c>
      <c r="K28" s="26" t="s">
        <v>483</v>
      </c>
      <c r="L28" s="453"/>
      <c r="M28" s="384"/>
      <c r="O28" s="227"/>
      <c r="AK28" s="3">
        <v>34</v>
      </c>
    </row>
    <row r="29" spans="2:37" ht="35.65" customHeight="1">
      <c r="B29" s="438" t="s">
        <v>593</v>
      </c>
      <c r="C29" s="438" t="s">
        <v>594</v>
      </c>
      <c r="D29" s="439" t="s">
        <v>540</v>
      </c>
      <c r="E29" s="440" t="s">
        <v>551</v>
      </c>
      <c r="F29" s="440" t="s">
        <v>551</v>
      </c>
      <c r="I29" s="454">
        <v>10</v>
      </c>
      <c r="J29" s="96" t="s">
        <v>595</v>
      </c>
      <c r="K29" s="26" t="s">
        <v>483</v>
      </c>
      <c r="L29" s="453"/>
      <c r="M29" s="384"/>
      <c r="O29" s="227"/>
      <c r="AK29" s="3">
        <v>34</v>
      </c>
    </row>
    <row r="30" spans="2:37" ht="24" customHeight="1">
      <c r="B30" s="438" t="s">
        <v>596</v>
      </c>
      <c r="C30" s="438" t="s">
        <v>597</v>
      </c>
      <c r="D30" s="439" t="s">
        <v>540</v>
      </c>
      <c r="E30" s="440" t="s">
        <v>551</v>
      </c>
      <c r="F30" s="440" t="s">
        <v>551</v>
      </c>
      <c r="I30" s="454">
        <v>11</v>
      </c>
      <c r="J30" s="96" t="s">
        <v>597</v>
      </c>
      <c r="K30" s="26" t="s">
        <v>513</v>
      </c>
      <c r="L30" s="455"/>
      <c r="M30" s="205"/>
      <c r="O30" s="227"/>
      <c r="AK30" s="3">
        <v>23</v>
      </c>
    </row>
    <row r="31" spans="2:37" ht="24" customHeight="1">
      <c r="B31" s="438" t="s">
        <v>598</v>
      </c>
      <c r="C31" s="438" t="s">
        <v>599</v>
      </c>
      <c r="D31" s="439" t="s">
        <v>540</v>
      </c>
      <c r="E31" s="440" t="s">
        <v>551</v>
      </c>
      <c r="F31" s="440" t="s">
        <v>551</v>
      </c>
      <c r="I31" s="454">
        <v>12</v>
      </c>
      <c r="J31" s="96" t="s">
        <v>599</v>
      </c>
      <c r="K31" s="26" t="s">
        <v>513</v>
      </c>
      <c r="L31" s="455"/>
      <c r="M31" s="205"/>
      <c r="O31" s="227"/>
      <c r="AK31" s="3">
        <v>23</v>
      </c>
    </row>
    <row r="32" spans="2:37" ht="48.2" customHeight="1">
      <c r="B32" s="438" t="s">
        <v>600</v>
      </c>
      <c r="C32" s="438" t="s">
        <v>601</v>
      </c>
      <c r="D32" s="439" t="s">
        <v>540</v>
      </c>
      <c r="E32" s="440" t="s">
        <v>551</v>
      </c>
      <c r="F32" s="440" t="s">
        <v>551</v>
      </c>
      <c r="I32" s="454">
        <v>13</v>
      </c>
      <c r="J32" s="96" t="s">
        <v>602</v>
      </c>
      <c r="K32" s="26" t="s">
        <v>523</v>
      </c>
      <c r="L32" s="453"/>
      <c r="M32" s="384"/>
      <c r="O32" s="227" t="s">
        <v>562</v>
      </c>
      <c r="AK32" s="3">
        <v>46</v>
      </c>
    </row>
    <row r="33" spans="2:37" ht="48.2" customHeight="1">
      <c r="B33" s="438" t="s">
        <v>603</v>
      </c>
      <c r="C33" s="438" t="s">
        <v>604</v>
      </c>
      <c r="D33" s="439" t="s">
        <v>540</v>
      </c>
      <c r="E33" s="440" t="s">
        <v>551</v>
      </c>
      <c r="F33" s="440" t="s">
        <v>551</v>
      </c>
      <c r="I33" s="454">
        <v>14</v>
      </c>
      <c r="J33" s="105" t="s">
        <v>605</v>
      </c>
      <c r="K33" s="89" t="s">
        <v>606</v>
      </c>
      <c r="L33" s="453"/>
      <c r="M33" s="384"/>
      <c r="O33" s="227" t="s">
        <v>562</v>
      </c>
      <c r="AK33" s="11">
        <v>46</v>
      </c>
    </row>
    <row r="34" spans="2:37" ht="108" customHeight="1">
      <c r="B34" s="438" t="s">
        <v>607</v>
      </c>
      <c r="C34" s="438" t="s">
        <v>608</v>
      </c>
      <c r="D34" s="439" t="s">
        <v>550</v>
      </c>
      <c r="E34" s="440" t="s">
        <v>551</v>
      </c>
      <c r="F34" s="440" t="s">
        <v>551</v>
      </c>
      <c r="G34" s="24" t="s">
        <v>511</v>
      </c>
      <c r="I34" s="55">
        <v>15</v>
      </c>
      <c r="J34" s="96" t="s">
        <v>609</v>
      </c>
      <c r="K34" s="26" t="s">
        <v>229</v>
      </c>
      <c r="L34" s="456"/>
      <c r="M34" s="218"/>
      <c r="O34" s="227" t="s">
        <v>554</v>
      </c>
      <c r="AK34" s="3">
        <v>103</v>
      </c>
    </row>
    <row r="35" spans="2:37" ht="11.45" customHeight="1">
      <c r="AK35" s="189">
        <v>11</v>
      </c>
    </row>
    <row r="36" spans="2:37" ht="11.45" customHeight="1">
      <c r="AK36" s="189">
        <v>11</v>
      </c>
    </row>
    <row r="37" spans="2:37" ht="11.45" customHeight="1">
      <c r="AK37" s="189">
        <v>11</v>
      </c>
    </row>
    <row r="38" spans="2:37" ht="11.45" customHeight="1">
      <c r="AK38" s="189">
        <v>11</v>
      </c>
    </row>
    <row r="39" spans="2:37" ht="11.45" customHeight="1">
      <c r="AK39" s="189">
        <v>11</v>
      </c>
    </row>
    <row r="40" spans="2:37" ht="11.45" customHeight="1">
      <c r="AK40" s="189">
        <v>11</v>
      </c>
    </row>
    <row r="41" spans="2:37" ht="11.45" customHeight="1">
      <c r="AK41" s="189">
        <v>11</v>
      </c>
    </row>
    <row r="42" spans="2:37" ht="11.45" customHeight="1">
      <c r="AK42" s="189">
        <v>11</v>
      </c>
    </row>
    <row r="43" spans="2:37" ht="11.45" customHeight="1">
      <c r="AK43" s="189">
        <v>11</v>
      </c>
    </row>
    <row r="44" spans="2:37" ht="11.45" customHeight="1">
      <c r="AK44" s="189">
        <v>11</v>
      </c>
    </row>
    <row r="45" spans="2:37" ht="11.45" customHeight="1">
      <c r="AK45" s="189">
        <v>11</v>
      </c>
    </row>
    <row r="46" spans="2:37" ht="11.45" customHeight="1">
      <c r="AK46" s="189">
        <v>11</v>
      </c>
    </row>
    <row r="47" spans="2:37" ht="11.45" customHeight="1">
      <c r="AK47" s="189">
        <v>11</v>
      </c>
    </row>
    <row r="48" spans="2:37" ht="11.45" customHeight="1">
      <c r="AK48" s="189">
        <v>11</v>
      </c>
    </row>
    <row r="49" spans="37:37" ht="11.45" customHeight="1">
      <c r="AK49" s="189">
        <v>11</v>
      </c>
    </row>
    <row r="50" spans="37:37" ht="11.45" customHeight="1">
      <c r="AK50" s="189">
        <v>11</v>
      </c>
    </row>
    <row r="51" spans="37:37" ht="11.45" customHeight="1">
      <c r="AK51" s="189">
        <v>11</v>
      </c>
    </row>
    <row r="52" spans="37:37" ht="11.45" customHeight="1">
      <c r="AK52" s="189">
        <v>11</v>
      </c>
    </row>
    <row r="53" spans="37:37" ht="11.45" customHeight="1">
      <c r="AK53" s="189">
        <v>11</v>
      </c>
    </row>
    <row r="54" spans="37:37" ht="11.45" customHeight="1">
      <c r="AK54" s="189">
        <v>11</v>
      </c>
    </row>
    <row r="55" spans="37:37" ht="11.45" customHeight="1">
      <c r="AK55" s="189">
        <v>11</v>
      </c>
    </row>
    <row r="56" spans="37:37" ht="11.45" customHeight="1">
      <c r="AK56" s="189">
        <v>11</v>
      </c>
    </row>
    <row r="57" spans="37:37" ht="11.45" customHeight="1">
      <c r="AK57" s="189">
        <v>11</v>
      </c>
    </row>
    <row r="58" spans="37:37" ht="11.45" customHeight="1">
      <c r="AK58" s="189">
        <v>11</v>
      </c>
    </row>
    <row r="59" spans="37:37" ht="11.45" customHeight="1">
      <c r="AK59" s="189">
        <v>11</v>
      </c>
    </row>
    <row r="60" spans="37:37" ht="11.45" customHeight="1">
      <c r="AK60" s="189">
        <v>11</v>
      </c>
    </row>
    <row r="61" spans="37:37" ht="11.45" customHeight="1">
      <c r="AK61" s="189">
        <v>11</v>
      </c>
    </row>
    <row r="62" spans="37:37" ht="11.45" customHeight="1">
      <c r="AK62" s="189">
        <v>11</v>
      </c>
    </row>
    <row r="63" spans="37:37" ht="11.45" customHeight="1">
      <c r="AK63" s="189">
        <v>11</v>
      </c>
    </row>
    <row r="64" spans="37:37" ht="11.45" customHeight="1">
      <c r="AK64" s="189">
        <v>11</v>
      </c>
    </row>
    <row r="65" spans="37:37" ht="11.45" customHeight="1">
      <c r="AK65" s="189">
        <v>11</v>
      </c>
    </row>
    <row r="66" spans="37:37" ht="11.45" customHeight="1">
      <c r="AK66" s="189">
        <v>11</v>
      </c>
    </row>
    <row r="67" spans="37:37" ht="11.45" customHeight="1">
      <c r="AK67" s="189">
        <v>11</v>
      </c>
    </row>
    <row r="68" spans="37:37" ht="11.45" customHeight="1">
      <c r="AK68" s="189">
        <v>11</v>
      </c>
    </row>
    <row r="69" spans="37:37" ht="11.45" customHeight="1">
      <c r="AK69" s="189">
        <v>11</v>
      </c>
    </row>
    <row r="70" spans="37:37" ht="11.45" customHeight="1">
      <c r="AK70" s="189">
        <v>11</v>
      </c>
    </row>
    <row r="71" spans="37:37" ht="11.45" customHeight="1">
      <c r="AK71" s="189">
        <v>11</v>
      </c>
    </row>
    <row r="72" spans="37:37" ht="11.45" customHeight="1">
      <c r="AK72" s="189">
        <v>11</v>
      </c>
    </row>
    <row r="73" spans="37:37" ht="11.45" customHeight="1">
      <c r="AK73" s="189">
        <v>11</v>
      </c>
    </row>
    <row r="74" spans="37:37" ht="11.45" customHeight="1">
      <c r="AK74" s="189">
        <v>11</v>
      </c>
    </row>
    <row r="75" spans="37:37" ht="11.45" customHeight="1">
      <c r="AK75" s="189">
        <v>11</v>
      </c>
    </row>
    <row r="76" spans="37:37" ht="11.45" customHeight="1">
      <c r="AK76" s="189">
        <v>11</v>
      </c>
    </row>
    <row r="77" spans="37:37" ht="11.45" customHeight="1">
      <c r="AK77" s="189">
        <v>11</v>
      </c>
    </row>
    <row r="78" spans="37:37" ht="11.45" customHeight="1">
      <c r="AK78" s="189">
        <v>11</v>
      </c>
    </row>
    <row r="79" spans="37:37" ht="11.45" customHeight="1">
      <c r="AK79" s="189">
        <v>11</v>
      </c>
    </row>
    <row r="80" spans="37:37" ht="11.45" customHeight="1">
      <c r="AK80" s="189">
        <v>11</v>
      </c>
    </row>
    <row r="81" spans="37:37" ht="11.45" customHeight="1">
      <c r="AK81" s="189">
        <v>11</v>
      </c>
    </row>
    <row r="82" spans="37:37" ht="11.45" customHeight="1">
      <c r="AK82" s="189">
        <v>11</v>
      </c>
    </row>
    <row r="83" spans="37:37" ht="11.45" customHeight="1">
      <c r="AK83" s="189">
        <v>11</v>
      </c>
    </row>
    <row r="84" spans="37:37" ht="11.45" customHeight="1">
      <c r="AK84" s="189">
        <v>11</v>
      </c>
    </row>
    <row r="85" spans="37:37" ht="11.45" customHeight="1">
      <c r="AK85" s="189">
        <v>11</v>
      </c>
    </row>
    <row r="86" spans="37:37" ht="11.45" customHeight="1">
      <c r="AK86" s="189">
        <v>11</v>
      </c>
    </row>
    <row r="87" spans="37:37" ht="11.45" customHeight="1">
      <c r="AK87" s="189">
        <v>11</v>
      </c>
    </row>
    <row r="88" spans="37:37" ht="11.45" customHeight="1">
      <c r="AK88" s="189">
        <v>11</v>
      </c>
    </row>
    <row r="89" spans="37:37" ht="11.45" customHeight="1">
      <c r="AK89" s="189">
        <v>11</v>
      </c>
    </row>
    <row r="90" spans="37:37" ht="11.45" customHeight="1">
      <c r="AK90" s="189">
        <v>11</v>
      </c>
    </row>
    <row r="91" spans="37:37" ht="11.45" customHeight="1">
      <c r="AK91" s="189">
        <v>11</v>
      </c>
    </row>
    <row r="92" spans="37:37" ht="11.45" customHeight="1">
      <c r="AK92" s="189">
        <v>11</v>
      </c>
    </row>
    <row r="93" spans="37:37" ht="11.45" customHeight="1">
      <c r="AK93" s="189">
        <v>11</v>
      </c>
    </row>
    <row r="94" spans="37:37" ht="11.45" customHeight="1">
      <c r="AK94" s="189">
        <v>11</v>
      </c>
    </row>
    <row r="95" spans="37:37" ht="11.45" customHeight="1">
      <c r="AK95" s="189">
        <v>11</v>
      </c>
    </row>
    <row r="96" spans="37:37" ht="11.45" customHeight="1">
      <c r="AK96" s="189">
        <v>11</v>
      </c>
    </row>
    <row r="97" spans="37:37" ht="11.45" customHeight="1">
      <c r="AK97" s="189">
        <v>11</v>
      </c>
    </row>
    <row r="98" spans="37:37" ht="11.45" customHeight="1">
      <c r="AK98" s="189">
        <v>11</v>
      </c>
    </row>
    <row r="99" spans="37:37" ht="11.45" customHeight="1">
      <c r="AK99" s="189">
        <v>11</v>
      </c>
    </row>
    <row r="100" spans="37:37" ht="11.45" customHeight="1">
      <c r="AK100" s="189">
        <v>11</v>
      </c>
    </row>
    <row r="101" spans="37:37" ht="11.45" customHeight="1">
      <c r="AK101" s="189">
        <v>11</v>
      </c>
    </row>
    <row r="102" spans="37:37" ht="11.45" customHeight="1">
      <c r="AK102" s="189">
        <v>11</v>
      </c>
    </row>
    <row r="103" spans="37:37" ht="11.45" customHeight="1">
      <c r="AK103" s="189">
        <v>11</v>
      </c>
    </row>
    <row r="104" spans="37:37" ht="11.45" customHeight="1">
      <c r="AK104" s="189">
        <v>11</v>
      </c>
    </row>
    <row r="105" spans="37:37" ht="11.45" customHeight="1">
      <c r="AK105" s="189">
        <v>11</v>
      </c>
    </row>
    <row r="106" spans="37:37" ht="11.45" customHeight="1">
      <c r="AK106" s="189">
        <v>11</v>
      </c>
    </row>
    <row r="107" spans="37:37" ht="11.45" customHeight="1">
      <c r="AK107" s="189">
        <v>11</v>
      </c>
    </row>
    <row r="108" spans="37:37" ht="11.45" customHeight="1">
      <c r="AK108" s="189">
        <v>11</v>
      </c>
    </row>
    <row r="109" spans="37:37" ht="11.45" customHeight="1">
      <c r="AK109" s="189">
        <v>11</v>
      </c>
    </row>
    <row r="110" spans="37:37" ht="11.45" customHeight="1">
      <c r="AK110" s="189">
        <v>11</v>
      </c>
    </row>
    <row r="111" spans="37:37" ht="11.45" customHeight="1">
      <c r="AK111" s="189">
        <v>11</v>
      </c>
    </row>
    <row r="112" spans="37:37" ht="11.45" customHeight="1">
      <c r="AK112" s="189">
        <v>11</v>
      </c>
    </row>
    <row r="113" spans="37:37" ht="11.45" customHeight="1">
      <c r="AK113" s="189">
        <v>11</v>
      </c>
    </row>
    <row r="114" spans="37:37" ht="11.45" customHeight="1">
      <c r="AK114" s="189">
        <v>11</v>
      </c>
    </row>
    <row r="115" spans="37:37" ht="11.45" customHeight="1">
      <c r="AK115" s="189">
        <v>11</v>
      </c>
    </row>
    <row r="116" spans="37:37" ht="11.45" customHeight="1">
      <c r="AK116" s="189">
        <v>11</v>
      </c>
    </row>
    <row r="117" spans="37:37" ht="11.45" customHeight="1">
      <c r="AK117" s="189">
        <v>11</v>
      </c>
    </row>
    <row r="118" spans="37:37" ht="11.45" customHeight="1">
      <c r="AK118" s="189">
        <v>11</v>
      </c>
    </row>
    <row r="119" spans="37:37" ht="11.45" customHeight="1">
      <c r="AK119" s="189">
        <v>11</v>
      </c>
    </row>
    <row r="120" spans="37:37" ht="11.45" customHeight="1">
      <c r="AK120" s="189">
        <v>11</v>
      </c>
    </row>
    <row r="121" spans="37:37" ht="11.45" customHeight="1">
      <c r="AK121" s="189">
        <v>11</v>
      </c>
    </row>
    <row r="122" spans="37:37" ht="11.45" customHeight="1">
      <c r="AK122" s="189">
        <v>11</v>
      </c>
    </row>
    <row r="123" spans="37:37" ht="11.45" customHeight="1">
      <c r="AK123" s="189">
        <v>11</v>
      </c>
    </row>
    <row r="124" spans="37:37" ht="11.45" customHeight="1">
      <c r="AK124" s="189">
        <v>11</v>
      </c>
    </row>
    <row r="125" spans="37:37" ht="11.45" customHeight="1">
      <c r="AK125" s="189">
        <v>11</v>
      </c>
    </row>
    <row r="126" spans="37:37" ht="11.45" customHeight="1">
      <c r="AK126" s="189">
        <v>11</v>
      </c>
    </row>
    <row r="127" spans="37:37" ht="11.45" customHeight="1">
      <c r="AK127" s="189">
        <v>11</v>
      </c>
    </row>
    <row r="128" spans="37:37" ht="11.45" customHeight="1">
      <c r="AK128" s="189">
        <v>11</v>
      </c>
    </row>
    <row r="129" spans="37:37" ht="11.45" customHeight="1">
      <c r="AK129" s="189">
        <v>11</v>
      </c>
    </row>
    <row r="130" spans="37:37" ht="11.45" customHeight="1">
      <c r="AK130" s="189">
        <v>11</v>
      </c>
    </row>
    <row r="131" spans="37:37" ht="11.45" customHeight="1">
      <c r="AK131" s="189">
        <v>11</v>
      </c>
    </row>
    <row r="132" spans="37:37" ht="11.45" customHeight="1">
      <c r="AK132" s="189">
        <v>11</v>
      </c>
    </row>
    <row r="133" spans="37:37" ht="11.45" customHeight="1">
      <c r="AK133" s="189">
        <v>11</v>
      </c>
    </row>
    <row r="134" spans="37:37" ht="11.45" customHeight="1">
      <c r="AK134" s="189">
        <v>11</v>
      </c>
    </row>
    <row r="135" spans="37:37" ht="11.45" customHeight="1">
      <c r="AK135" s="189">
        <v>11</v>
      </c>
    </row>
    <row r="136" spans="37:37" ht="11.45" customHeight="1">
      <c r="AK136" s="189">
        <v>11</v>
      </c>
    </row>
    <row r="137" spans="37:37" ht="11.45" customHeight="1">
      <c r="AK137" s="189">
        <v>11</v>
      </c>
    </row>
    <row r="138" spans="37:37" ht="11.45" customHeight="1">
      <c r="AK138" s="189">
        <v>11</v>
      </c>
    </row>
    <row r="139" spans="37:37" ht="11.45" customHeight="1">
      <c r="AK139" s="189">
        <v>11</v>
      </c>
    </row>
    <row r="140" spans="37:37" ht="11.45" customHeight="1">
      <c r="AK140" s="189">
        <v>11</v>
      </c>
    </row>
    <row r="141" spans="37:37" ht="11.45" customHeight="1">
      <c r="AK141" s="189">
        <v>11</v>
      </c>
    </row>
    <row r="142" spans="37:37" ht="11.45" customHeight="1">
      <c r="AK142" s="189">
        <v>11</v>
      </c>
    </row>
    <row r="143" spans="37:37" ht="11.45" customHeight="1">
      <c r="AK143" s="189">
        <v>11</v>
      </c>
    </row>
    <row r="144" spans="37:37" ht="11.45" customHeight="1">
      <c r="AK144" s="189">
        <v>11</v>
      </c>
    </row>
    <row r="145" spans="37:37" ht="11.45" customHeight="1">
      <c r="AK145" s="189">
        <v>11</v>
      </c>
    </row>
    <row r="146" spans="37:37" ht="11.45" customHeight="1">
      <c r="AK146" s="189">
        <v>11</v>
      </c>
    </row>
    <row r="147" spans="37:37" ht="11.45" customHeight="1">
      <c r="AK147" s="189">
        <v>11</v>
      </c>
    </row>
    <row r="148" spans="37:37" ht="11.45" customHeight="1">
      <c r="AK148" s="189">
        <v>11</v>
      </c>
    </row>
    <row r="149" spans="37:37" ht="11.45" customHeight="1">
      <c r="AK149" s="189">
        <v>11</v>
      </c>
    </row>
    <row r="150" spans="37:37" ht="11.45" customHeight="1">
      <c r="AK150" s="189">
        <v>11</v>
      </c>
    </row>
    <row r="151" spans="37:37" ht="11.45" customHeight="1">
      <c r="AK151" s="189">
        <v>11</v>
      </c>
    </row>
    <row r="152" spans="37:37" ht="11.45" customHeight="1">
      <c r="AK152" s="189">
        <v>11</v>
      </c>
    </row>
    <row r="153" spans="37:37" ht="11.45" customHeight="1">
      <c r="AK153" s="189">
        <v>11</v>
      </c>
    </row>
    <row r="154" spans="37:37" ht="11.45" customHeight="1">
      <c r="AK154" s="189">
        <v>11</v>
      </c>
    </row>
    <row r="155" spans="37:37" ht="11.45" customHeight="1">
      <c r="AK155" s="189">
        <v>11</v>
      </c>
    </row>
    <row r="156" spans="37:37" ht="11.45" customHeight="1">
      <c r="AK156" s="189">
        <v>11</v>
      </c>
    </row>
    <row r="157" spans="37:37" ht="11.45" customHeight="1">
      <c r="AK157" s="189">
        <v>11</v>
      </c>
    </row>
    <row r="158" spans="37:37" ht="11.45" customHeight="1">
      <c r="AK158" s="189">
        <v>11</v>
      </c>
    </row>
    <row r="159" spans="37:37" ht="11.45" customHeight="1">
      <c r="AK159" s="189">
        <v>11</v>
      </c>
    </row>
    <row r="160" spans="37:37" ht="11.45" customHeight="1">
      <c r="AK160" s="189">
        <v>11</v>
      </c>
    </row>
    <row r="161" spans="37:37" ht="11.45" customHeight="1">
      <c r="AK161" s="189">
        <v>11</v>
      </c>
    </row>
    <row r="162" spans="37:37" ht="11.45" customHeight="1">
      <c r="AK162" s="189">
        <v>11</v>
      </c>
    </row>
    <row r="163" spans="37:37" ht="11.45" customHeight="1">
      <c r="AK163" s="189">
        <v>11</v>
      </c>
    </row>
    <row r="164" spans="37:37" ht="11.45" customHeight="1">
      <c r="AK164" s="189">
        <v>11</v>
      </c>
    </row>
    <row r="165" spans="37:37" ht="11.45" customHeight="1">
      <c r="AK165" s="189">
        <v>11</v>
      </c>
    </row>
    <row r="166" spans="37:37" ht="11.45" customHeight="1">
      <c r="AK166" s="189">
        <v>11</v>
      </c>
    </row>
    <row r="167" spans="37:37" ht="11.45" customHeight="1">
      <c r="AK167" s="189">
        <v>11</v>
      </c>
    </row>
    <row r="168" spans="37:37" ht="11.45" customHeight="1">
      <c r="AK168" s="189">
        <v>11</v>
      </c>
    </row>
    <row r="169" spans="37:37" ht="11.45" customHeight="1">
      <c r="AK169" s="189">
        <v>11</v>
      </c>
    </row>
    <row r="170" spans="37:37" ht="11.45" customHeight="1">
      <c r="AK170" s="189">
        <v>11</v>
      </c>
    </row>
    <row r="171" spans="37:37" ht="11.45" customHeight="1">
      <c r="AK171" s="189">
        <v>11</v>
      </c>
    </row>
    <row r="172" spans="37:37" ht="11.45" customHeight="1">
      <c r="AK172" s="189">
        <v>11</v>
      </c>
    </row>
    <row r="173" spans="37:37" ht="11.45" customHeight="1">
      <c r="AK173" s="189">
        <v>11</v>
      </c>
    </row>
    <row r="174" spans="37:37" ht="11.45" customHeight="1">
      <c r="AK174" s="189">
        <v>11</v>
      </c>
    </row>
    <row r="175" spans="37:37" ht="11.45" customHeight="1">
      <c r="AK175" s="189">
        <v>11</v>
      </c>
    </row>
    <row r="176" spans="37:37" ht="11.45" customHeight="1">
      <c r="AK176" s="189">
        <v>11</v>
      </c>
    </row>
    <row r="177" spans="37:37" ht="11.45" customHeight="1">
      <c r="AK177" s="189">
        <v>11</v>
      </c>
    </row>
    <row r="178" spans="37:37" ht="11.45" customHeight="1">
      <c r="AK178" s="189">
        <v>11</v>
      </c>
    </row>
    <row r="179" spans="37:37" ht="11.45" customHeight="1">
      <c r="AK179" s="189">
        <v>11</v>
      </c>
    </row>
    <row r="180" spans="37:37" ht="11.45" customHeight="1">
      <c r="AK180" s="189">
        <v>11</v>
      </c>
    </row>
    <row r="181" spans="37:37" ht="11.45" customHeight="1">
      <c r="AK181" s="189">
        <v>11</v>
      </c>
    </row>
    <row r="182" spans="37:37" ht="11.45" customHeight="1">
      <c r="AK182" s="189">
        <v>11</v>
      </c>
    </row>
    <row r="183" spans="37:37" ht="11.45" customHeight="1">
      <c r="AK183" s="189">
        <v>11</v>
      </c>
    </row>
    <row r="184" spans="37:37" ht="11.45" customHeight="1">
      <c r="AK184" s="189">
        <v>11</v>
      </c>
    </row>
    <row r="185" spans="37:37" ht="11.45" customHeight="1">
      <c r="AK185" s="189">
        <v>11</v>
      </c>
    </row>
    <row r="186" spans="37:37" ht="11.45" customHeight="1">
      <c r="AK186" s="189">
        <v>11</v>
      </c>
    </row>
    <row r="187" spans="37:37" ht="11.45" customHeight="1">
      <c r="AK187" s="189">
        <v>11</v>
      </c>
    </row>
    <row r="188" spans="37:37" ht="11.45" customHeight="1">
      <c r="AK188" s="189">
        <v>11</v>
      </c>
    </row>
    <row r="189" spans="37:37" ht="11.45" customHeight="1">
      <c r="AK189" s="189">
        <v>11</v>
      </c>
    </row>
    <row r="190" spans="37:37" ht="11.45" customHeight="1">
      <c r="AK190" s="3">
        <v>11</v>
      </c>
    </row>
    <row r="191" spans="37:37" ht="11.45" customHeight="1">
      <c r="AK191" s="3">
        <v>11</v>
      </c>
    </row>
    <row r="192" spans="37:37" ht="11.45" customHeight="1">
      <c r="AK192" s="3">
        <v>11</v>
      </c>
    </row>
    <row r="193" spans="1:37" ht="11.45" customHeight="1">
      <c r="AK193" s="3">
        <v>11</v>
      </c>
    </row>
    <row r="194" spans="1:37" ht="11.45" customHeight="1">
      <c r="AK194" s="3">
        <v>11</v>
      </c>
    </row>
    <row r="195" spans="1:37" ht="11.45" customHeight="1">
      <c r="AK195" s="3">
        <v>11</v>
      </c>
    </row>
    <row r="196" spans="1:37" ht="11.45" customHeight="1">
      <c r="AK196" s="3">
        <v>11</v>
      </c>
    </row>
    <row r="197" spans="1:37" ht="11.45" customHeight="1">
      <c r="AK197" s="3">
        <v>11</v>
      </c>
    </row>
    <row r="198" spans="1:37" ht="11.45" customHeight="1">
      <c r="AK198" s="3">
        <v>11</v>
      </c>
    </row>
    <row r="199" spans="1:37" ht="11.45" customHeight="1">
      <c r="AK199" s="3">
        <v>11</v>
      </c>
    </row>
    <row r="200" spans="1:37" ht="11.45" customHeight="1">
      <c r="AK200" s="3">
        <v>11</v>
      </c>
    </row>
    <row r="201" spans="1:37" ht="11.45" customHeight="1">
      <c r="AK201" s="3">
        <v>11</v>
      </c>
    </row>
    <row r="202" spans="1:37" ht="11.45" customHeight="1">
      <c r="AK202" s="3">
        <v>11</v>
      </c>
    </row>
    <row r="203" spans="1:37" ht="11.45" customHeight="1">
      <c r="AK203" s="3">
        <v>11</v>
      </c>
    </row>
    <row r="204" spans="1:37" ht="12.75" hidden="1" customHeight="1">
      <c r="A204" s="423" t="s">
        <v>18</v>
      </c>
      <c r="B204" s="423" t="s">
        <v>74</v>
      </c>
      <c r="C204" s="423" t="s">
        <v>74</v>
      </c>
      <c r="D204" s="423" t="s">
        <v>74</v>
      </c>
      <c r="E204" s="423" t="s">
        <v>74</v>
      </c>
      <c r="F204" s="3">
        <v>16</v>
      </c>
      <c r="G204" s="24">
        <v>0</v>
      </c>
      <c r="H204" s="3">
        <v>3</v>
      </c>
      <c r="I204" s="3">
        <v>7</v>
      </c>
      <c r="J204" s="3">
        <v>56</v>
      </c>
      <c r="K204" s="3">
        <v>10</v>
      </c>
      <c r="L204" s="3">
        <v>40</v>
      </c>
      <c r="M204" s="3">
        <v>40</v>
      </c>
      <c r="N204" s="11">
        <v>9</v>
      </c>
      <c r="O204" s="3">
        <v>102</v>
      </c>
      <c r="P204" s="11">
        <v>9</v>
      </c>
      <c r="Q204" s="24">
        <v>5</v>
      </c>
      <c r="R204" s="24">
        <v>3</v>
      </c>
      <c r="S204" s="11">
        <v>3</v>
      </c>
      <c r="T204" s="11">
        <v>3</v>
      </c>
      <c r="U204" s="11">
        <v>3</v>
      </c>
      <c r="V204" s="11">
        <v>3</v>
      </c>
      <c r="W204" s="24">
        <v>10</v>
      </c>
      <c r="X204" s="11">
        <v>34</v>
      </c>
      <c r="Y204" s="11">
        <v>9</v>
      </c>
      <c r="Z204" s="424">
        <v>8</v>
      </c>
      <c r="AA204" s="11">
        <v>8</v>
      </c>
      <c r="AB204" s="11">
        <v>8</v>
      </c>
      <c r="AC204" s="11">
        <v>8</v>
      </c>
      <c r="AD204" s="11">
        <v>8</v>
      </c>
      <c r="AE204" s="11">
        <v>8</v>
      </c>
      <c r="AF204" s="2">
        <v>8</v>
      </c>
      <c r="AG204" s="2">
        <v>8</v>
      </c>
      <c r="AH204" s="2">
        <v>8</v>
      </c>
      <c r="AI204" s="2">
        <v>8</v>
      </c>
      <c r="AJ204" s="2">
        <v>8</v>
      </c>
      <c r="AK204" s="3">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hidden="1"/>
    <col min="5" max="7" width="9.140625" hidden="1" customWidth="1"/>
    <col min="8" max="8" width="3" customWidth="1"/>
    <col min="9" max="9" width="6" customWidth="1"/>
    <col min="10" max="10" width="63" customWidth="1"/>
    <col min="11" max="11" width="9" customWidth="1"/>
    <col min="12" max="12" width="39" customWidth="1"/>
    <col min="13" max="13" width="89" customWidth="1"/>
    <col min="14" max="22" width="10" customWidth="1"/>
    <col min="23" max="23" width="10.5703125" hidden="1"/>
  </cols>
  <sheetData>
    <row r="1" spans="1:23" ht="22.5" hidden="1" customHeight="1">
      <c r="W1" s="3" t="s">
        <v>1</v>
      </c>
    </row>
    <row r="2" spans="1:23" ht="22.5" hidden="1" customHeight="1">
      <c r="B2" s="438" t="s">
        <v>610</v>
      </c>
      <c r="C2" s="438" t="s">
        <v>611</v>
      </c>
      <c r="D2" s="439" t="s">
        <v>550</v>
      </c>
      <c r="E2" s="440">
        <f>I2-3</f>
        <v>-3</v>
      </c>
      <c r="F2" s="440">
        <f>J2</f>
        <v>0</v>
      </c>
      <c r="H2" s="457" t="s">
        <v>612</v>
      </c>
      <c r="I2" s="117"/>
      <c r="J2" s="152"/>
      <c r="K2" s="26" t="s">
        <v>229</v>
      </c>
      <c r="L2" s="218"/>
      <c r="M2" s="458"/>
      <c r="W2" s="3">
        <v>0</v>
      </c>
    </row>
    <row r="3" spans="1:23" ht="14.25" hidden="1" customHeight="1">
      <c r="W3" s="3">
        <v>0</v>
      </c>
    </row>
    <row r="4" spans="1:23" ht="6.4" customHeight="1">
      <c r="H4" s="264"/>
      <c r="I4" s="12"/>
      <c r="J4" s="12"/>
      <c r="K4" s="12"/>
      <c r="L4" s="459"/>
      <c r="M4" s="459"/>
      <c r="W4" s="3">
        <v>6</v>
      </c>
    </row>
    <row r="5" spans="1:23" ht="50.25" customHeight="1">
      <c r="H5" s="264"/>
      <c r="I5" s="982" t="s">
        <v>613</v>
      </c>
      <c r="J5" s="982"/>
      <c r="K5" s="982"/>
      <c r="L5" s="982"/>
      <c r="W5" s="3">
        <v>48</v>
      </c>
    </row>
    <row r="6" spans="1:23" ht="18" customHeight="1">
      <c r="H6" s="264"/>
      <c r="I6" s="955" t="e">
        <f>IF(org=0,"Не определено",org)</f>
        <v>#REF!</v>
      </c>
      <c r="J6" s="955"/>
      <c r="K6" s="955"/>
      <c r="L6" s="955"/>
      <c r="W6" s="3">
        <v>17</v>
      </c>
    </row>
    <row r="7" spans="1:23" ht="14.65" customHeight="1">
      <c r="H7" s="264"/>
      <c r="I7" s="12"/>
      <c r="J7" s="8"/>
      <c r="K7" s="8"/>
      <c r="L7" s="115"/>
      <c r="M7" s="460"/>
      <c r="W7" s="3">
        <v>14</v>
      </c>
    </row>
    <row r="8" spans="1:23" ht="14.65" customHeight="1">
      <c r="H8" s="264"/>
      <c r="I8" s="1098" t="s">
        <v>223</v>
      </c>
      <c r="J8" s="1099"/>
      <c r="K8" s="1099"/>
      <c r="L8" s="1100"/>
      <c r="M8" s="1101" t="s">
        <v>224</v>
      </c>
      <c r="W8" s="3">
        <v>14</v>
      </c>
    </row>
    <row r="9" spans="1:23" ht="35.65" customHeight="1">
      <c r="E9" s="441" t="s">
        <v>541</v>
      </c>
      <c r="F9" s="441" t="s">
        <v>547</v>
      </c>
      <c r="H9" s="264"/>
      <c r="I9" s="120" t="s">
        <v>24</v>
      </c>
      <c r="J9" s="65" t="s">
        <v>225</v>
      </c>
      <c r="K9" s="177" t="s">
        <v>489</v>
      </c>
      <c r="L9" s="65" t="s">
        <v>226</v>
      </c>
      <c r="M9" s="1101"/>
      <c r="W9" s="3">
        <v>34</v>
      </c>
    </row>
    <row r="10" spans="1:23" ht="35.65" customHeight="1">
      <c r="B10" s="438" t="s">
        <v>614</v>
      </c>
      <c r="C10" s="438" t="s">
        <v>615</v>
      </c>
      <c r="D10" s="439" t="s">
        <v>550</v>
      </c>
      <c r="E10" s="440" t="s">
        <v>551</v>
      </c>
      <c r="F10" s="440" t="s">
        <v>551</v>
      </c>
      <c r="H10" s="264"/>
      <c r="I10" s="117" t="s">
        <v>31</v>
      </c>
      <c r="J10" s="463" t="s">
        <v>616</v>
      </c>
      <c r="K10" s="26" t="s">
        <v>229</v>
      </c>
      <c r="L10" s="408"/>
      <c r="M10" s="458" t="s">
        <v>617</v>
      </c>
      <c r="W10" s="3">
        <v>34</v>
      </c>
    </row>
    <row r="11" spans="1:23" ht="50.25" customHeight="1">
      <c r="B11" s="438" t="s">
        <v>618</v>
      </c>
      <c r="C11" s="438" t="s">
        <v>619</v>
      </c>
      <c r="D11" s="439" t="s">
        <v>550</v>
      </c>
      <c r="E11" s="440" t="s">
        <v>551</v>
      </c>
      <c r="F11" s="440" t="s">
        <v>551</v>
      </c>
      <c r="H11" s="264"/>
      <c r="I11" s="117" t="s">
        <v>39</v>
      </c>
      <c r="J11" s="463" t="s">
        <v>620</v>
      </c>
      <c r="K11" s="26" t="s">
        <v>229</v>
      </c>
      <c r="L11" s="408"/>
      <c r="M11" s="458" t="s">
        <v>617</v>
      </c>
      <c r="W11" s="3">
        <v>48</v>
      </c>
    </row>
    <row r="12" spans="1:23" ht="48.2" customHeight="1">
      <c r="B12" s="438" t="s">
        <v>621</v>
      </c>
      <c r="C12" s="438" t="s">
        <v>622</v>
      </c>
      <c r="D12" s="439" t="s">
        <v>550</v>
      </c>
      <c r="E12" s="440" t="s">
        <v>551</v>
      </c>
      <c r="F12" s="440" t="s">
        <v>551</v>
      </c>
      <c r="H12" s="151"/>
      <c r="I12" s="117" t="s">
        <v>26</v>
      </c>
      <c r="J12" s="464" t="s">
        <v>623</v>
      </c>
      <c r="K12" s="26" t="s">
        <v>229</v>
      </c>
      <c r="L12" s="408"/>
      <c r="M12" s="458" t="s">
        <v>624</v>
      </c>
      <c r="W12" s="3">
        <v>46</v>
      </c>
    </row>
    <row r="13" spans="1:23" ht="14.65" customHeight="1">
      <c r="H13" s="264"/>
      <c r="I13" s="465"/>
      <c r="J13" s="45" t="s">
        <v>625</v>
      </c>
      <c r="K13" s="63"/>
      <c r="L13" s="466"/>
      <c r="M13" s="458"/>
      <c r="W13" s="3">
        <v>14</v>
      </c>
    </row>
    <row r="14" spans="1:23" ht="14.65" customHeight="1">
      <c r="H14" s="264"/>
      <c r="I14" s="425"/>
      <c r="J14" s="467"/>
      <c r="K14" s="468"/>
      <c r="L14" s="469"/>
      <c r="W14" s="3">
        <v>14</v>
      </c>
    </row>
    <row r="15" spans="1:23" ht="14.65" customHeight="1">
      <c r="J15" s="885"/>
      <c r="K15" s="885"/>
      <c r="L15" s="885"/>
      <c r="M15" s="885"/>
      <c r="W15" s="3">
        <v>14</v>
      </c>
    </row>
    <row r="16" spans="1:23" ht="21" hidden="1" customHeight="1">
      <c r="A16" s="287" t="s">
        <v>18</v>
      </c>
      <c r="B16" s="3">
        <v>9</v>
      </c>
      <c r="C16" s="3">
        <v>9</v>
      </c>
      <c r="D16" s="3">
        <v>9</v>
      </c>
      <c r="E16" s="287" t="s">
        <v>73</v>
      </c>
      <c r="F16" s="287" t="s">
        <v>73</v>
      </c>
      <c r="H16" s="288">
        <v>3</v>
      </c>
      <c r="I16" s="3">
        <v>6</v>
      </c>
      <c r="J16" s="3">
        <v>63</v>
      </c>
      <c r="K16" s="3">
        <v>9</v>
      </c>
      <c r="L16" s="3">
        <v>39</v>
      </c>
      <c r="M16" s="3">
        <v>89</v>
      </c>
      <c r="N16" s="3">
        <v>10</v>
      </c>
      <c r="O16" s="29">
        <v>10</v>
      </c>
      <c r="P16" s="29">
        <v>10</v>
      </c>
      <c r="Q16" s="3">
        <v>10</v>
      </c>
      <c r="R16" s="3">
        <v>10</v>
      </c>
      <c r="S16" s="3">
        <v>10</v>
      </c>
      <c r="T16" s="3">
        <v>10</v>
      </c>
      <c r="U16" s="3">
        <v>10</v>
      </c>
      <c r="V16" s="3">
        <v>10</v>
      </c>
      <c r="W16" s="3">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40625" defaultRowHeight="11.25" customHeight="1"/>
  <cols>
    <col min="1" max="1" width="10.7109375" hidden="1" customWidth="1"/>
    <col min="2" max="2" width="16.85546875" hidden="1" customWidth="1"/>
    <col min="3" max="3" width="5.5703125" hidden="1" customWidth="1"/>
    <col min="4" max="4" width="3" customWidth="1"/>
    <col min="5" max="5" width="7" customWidth="1"/>
    <col min="6" max="6" width="56" customWidth="1"/>
    <col min="7" max="7" width="10" customWidth="1"/>
    <col min="8" max="8" width="40.7109375" hidden="1" customWidth="1"/>
    <col min="9" max="9" width="40" customWidth="1"/>
    <col min="10" max="10" width="102" customWidth="1"/>
    <col min="11" max="11" width="9" customWidth="1"/>
    <col min="12" max="12" width="5" customWidth="1"/>
    <col min="13" max="17" width="3" customWidth="1"/>
    <col min="18" max="18" width="10" customWidth="1"/>
    <col min="19" max="19" width="34" customWidth="1"/>
    <col min="20" max="20" width="9" customWidth="1"/>
    <col min="21" max="31" width="8" customWidth="1"/>
    <col min="32" max="32" width="10.42578125" hidden="1" customWidth="1"/>
  </cols>
  <sheetData>
    <row r="1" spans="5:32" ht="22.5" hidden="1" customHeight="1">
      <c r="H1" s="11">
        <v>4</v>
      </c>
      <c r="I1" s="11">
        <v>4</v>
      </c>
      <c r="AF1" s="11" t="s">
        <v>1</v>
      </c>
    </row>
    <row r="2" spans="5:32" ht="22.5" hidden="1" customHeight="1">
      <c r="E2" s="30"/>
      <c r="F2" s="32"/>
      <c r="G2" s="30" t="s">
        <v>475</v>
      </c>
      <c r="H2" s="243"/>
      <c r="I2" s="243"/>
      <c r="J2" s="376" t="s">
        <v>626</v>
      </c>
      <c r="AF2" s="11">
        <v>0</v>
      </c>
    </row>
    <row r="3" spans="5:32" ht="11.25" hidden="1" customHeight="1">
      <c r="AF3" s="3">
        <v>0</v>
      </c>
    </row>
    <row r="4" spans="5:32" ht="11.25" hidden="1" customHeight="1">
      <c r="J4" s="2">
        <v>4</v>
      </c>
      <c r="AF4" s="2">
        <v>0</v>
      </c>
    </row>
    <row r="5" spans="5:32" ht="11.45" customHeight="1">
      <c r="AF5" s="3">
        <v>11</v>
      </c>
    </row>
    <row r="6" spans="5:32" ht="31.5" customHeight="1">
      <c r="E6" s="934" t="s">
        <v>627</v>
      </c>
      <c r="F6" s="934"/>
      <c r="G6" s="934"/>
      <c r="H6" s="934"/>
      <c r="I6" s="934"/>
      <c r="AF6" s="3">
        <v>30</v>
      </c>
    </row>
    <row r="7" spans="5:32" ht="11.45" customHeight="1">
      <c r="E7" s="955" t="e">
        <f>IF(org=0,"Не определено",org)</f>
        <v>#REF!</v>
      </c>
      <c r="F7" s="955"/>
      <c r="G7" s="955"/>
      <c r="H7" s="955"/>
      <c r="I7" s="955"/>
      <c r="AF7" s="3">
        <v>11</v>
      </c>
    </row>
    <row r="8" spans="5:32" ht="11.45" customHeight="1">
      <c r="AF8" s="3">
        <v>11</v>
      </c>
    </row>
    <row r="9" spans="5:32" ht="4.1500000000000004" customHeight="1">
      <c r="H9" s="379"/>
      <c r="I9" s="379" t="s">
        <v>42</v>
      </c>
      <c r="AF9" s="24">
        <v>4</v>
      </c>
    </row>
    <row r="10" spans="5:32" ht="11.45" customHeight="1">
      <c r="E10" s="380"/>
      <c r="F10" s="1086" t="s">
        <v>37</v>
      </c>
      <c r="G10" s="1087"/>
      <c r="H10" s="383" t="str">
        <f>IF(H9="","",INDEX(DIFFERENTIATION_UNMERGE_VD,MATCH(H9,DIFFERENTIATION_ID_DIFF,0)))</f>
        <v/>
      </c>
      <c r="I10" s="383" t="e">
        <f>IF(I9="","",INDEX(DIFFERENTIATION_UNMERGE_VD,MATCH(I9,DIFFERENTIATION_ID_DIFF,0)))</f>
        <v>#REF!</v>
      </c>
      <c r="J10" s="894"/>
      <c r="AF10" s="3">
        <v>11</v>
      </c>
    </row>
    <row r="11" spans="5:32" ht="11.45" customHeight="1">
      <c r="E11" s="380"/>
      <c r="F11" s="1086" t="s">
        <v>487</v>
      </c>
      <c r="G11" s="1087"/>
      <c r="H11" s="383" t="str">
        <f>IF(H9="","",INDEX(DIFFERENTIATION_UNMERGE_AREA,MATCH(H9,DIFFERENTIATION_ID_DIFF,0)))</f>
        <v/>
      </c>
      <c r="I11" s="383" t="e">
        <f>IF(I9="","",INDEX(DIFFERENTIATION_UNMERGE_AREA,MATCH(I9,DIFFERENTIATION_ID_DIFF,0)))</f>
        <v>#REF!</v>
      </c>
      <c r="J11" s="894"/>
      <c r="AF11" s="3">
        <v>11</v>
      </c>
    </row>
    <row r="12" spans="5:32" ht="1.1499999999999999" customHeight="1">
      <c r="E12" s="443"/>
      <c r="F12" s="1102" t="s">
        <v>488</v>
      </c>
      <c r="G12" s="1103"/>
      <c r="H12" s="470" t="str">
        <f>IF(H9="","",INDEX(DIFFERENTIATION_UNMERGE_SYSTEM,MATCH(H9,DIFFERENTIATION_ID_DIFF,0)))</f>
        <v/>
      </c>
      <c r="I12" s="470" t="e">
        <f>IF(I9="","",INDEX(DIFFERENTIATION_UNMERGE_SYSTEM,MATCH(I9,DIFFERENTIATION_ID_DIFF,0)))</f>
        <v>#REF!</v>
      </c>
      <c r="J12" s="894"/>
      <c r="AF12" s="3">
        <v>1</v>
      </c>
    </row>
    <row r="13" spans="5:32" ht="11.45" customHeight="1">
      <c r="E13" s="1088" t="s">
        <v>223</v>
      </c>
      <c r="F13" s="1089"/>
      <c r="G13" s="1089"/>
      <c r="H13" s="381"/>
      <c r="I13" s="381"/>
      <c r="J13" s="894"/>
      <c r="AF13" s="3">
        <v>11</v>
      </c>
    </row>
    <row r="14" spans="5:32" ht="24" customHeight="1">
      <c r="E14" s="30" t="s">
        <v>24</v>
      </c>
      <c r="F14" s="30" t="s">
        <v>225</v>
      </c>
      <c r="G14" s="30" t="s">
        <v>489</v>
      </c>
      <c r="H14" s="30" t="s">
        <v>226</v>
      </c>
      <c r="I14" s="30" t="s">
        <v>226</v>
      </c>
      <c r="J14" s="894"/>
      <c r="AF14" s="3">
        <v>23</v>
      </c>
    </row>
    <row r="15" spans="5:32" ht="19.899999999999999" customHeight="1">
      <c r="E15" s="445" t="s">
        <v>31</v>
      </c>
      <c r="F15" s="96" t="s">
        <v>628</v>
      </c>
      <c r="G15" s="30" t="s">
        <v>475</v>
      </c>
      <c r="H15" s="384"/>
      <c r="I15" s="384"/>
      <c r="J15" s="227" t="s">
        <v>629</v>
      </c>
      <c r="K15" s="447" t="s">
        <v>553</v>
      </c>
      <c r="AF15" s="3">
        <v>19</v>
      </c>
    </row>
    <row r="16" spans="5:32" ht="35.65" customHeight="1">
      <c r="E16" s="445" t="s">
        <v>39</v>
      </c>
      <c r="F16" s="96" t="s">
        <v>630</v>
      </c>
      <c r="G16" s="30" t="s">
        <v>475</v>
      </c>
      <c r="H16" s="385">
        <f>SUM(H17,H20:H32)</f>
        <v>0</v>
      </c>
      <c r="I16" s="385">
        <f>SUM(I17,I20,I23,I26,I29:I32)</f>
        <v>0</v>
      </c>
      <c r="J16" s="227" t="s">
        <v>631</v>
      </c>
      <c r="K16" s="447" t="s">
        <v>553</v>
      </c>
      <c r="AF16" s="3">
        <v>34</v>
      </c>
    </row>
    <row r="17" spans="5:32" ht="19.899999999999999" customHeight="1">
      <c r="E17" s="452" t="s">
        <v>632</v>
      </c>
      <c r="F17" s="352" t="s">
        <v>633</v>
      </c>
      <c r="G17" s="6" t="s">
        <v>475</v>
      </c>
      <c r="H17" s="384"/>
      <c r="I17" s="384"/>
      <c r="J17" s="227" t="s">
        <v>634</v>
      </c>
      <c r="AF17" s="3">
        <v>19</v>
      </c>
    </row>
    <row r="18" spans="5:32" ht="24" customHeight="1">
      <c r="E18" s="452" t="s">
        <v>635</v>
      </c>
      <c r="F18" s="396" t="s">
        <v>636</v>
      </c>
      <c r="G18" s="6" t="s">
        <v>475</v>
      </c>
      <c r="H18" s="384"/>
      <c r="I18" s="384"/>
      <c r="J18" s="227" t="s">
        <v>637</v>
      </c>
      <c r="AF18" s="3">
        <v>23</v>
      </c>
    </row>
    <row r="19" spans="5:32" ht="35.65" customHeight="1">
      <c r="E19" s="452" t="s">
        <v>638</v>
      </c>
      <c r="F19" s="396" t="s">
        <v>639</v>
      </c>
      <c r="G19" s="6" t="s">
        <v>475</v>
      </c>
      <c r="H19" s="384"/>
      <c r="I19" s="384"/>
      <c r="J19" s="227"/>
      <c r="AF19" s="3">
        <v>34</v>
      </c>
    </row>
    <row r="20" spans="5:32" ht="19.899999999999999" customHeight="1">
      <c r="E20" s="452" t="s">
        <v>230</v>
      </c>
      <c r="F20" s="352" t="s">
        <v>640</v>
      </c>
      <c r="G20" s="6" t="s">
        <v>475</v>
      </c>
      <c r="H20" s="384"/>
      <c r="I20" s="384"/>
      <c r="J20" s="227" t="s">
        <v>641</v>
      </c>
      <c r="AF20" s="3">
        <v>19</v>
      </c>
    </row>
    <row r="21" spans="5:32" ht="19.899999999999999" customHeight="1">
      <c r="E21" s="452" t="s">
        <v>642</v>
      </c>
      <c r="F21" s="396" t="s">
        <v>643</v>
      </c>
      <c r="G21" s="6" t="s">
        <v>475</v>
      </c>
      <c r="H21" s="384"/>
      <c r="I21" s="384"/>
      <c r="J21" s="227"/>
      <c r="AF21" s="3">
        <v>19</v>
      </c>
    </row>
    <row r="22" spans="5:32" ht="19.899999999999999" customHeight="1">
      <c r="E22" s="452" t="s">
        <v>644</v>
      </c>
      <c r="F22" s="396" t="s">
        <v>645</v>
      </c>
      <c r="G22" s="6" t="s">
        <v>475</v>
      </c>
      <c r="H22" s="384"/>
      <c r="I22" s="384"/>
      <c r="J22" s="227"/>
      <c r="AF22" s="3">
        <v>19</v>
      </c>
    </row>
    <row r="23" spans="5:32" ht="24" customHeight="1">
      <c r="E23" s="452" t="s">
        <v>233</v>
      </c>
      <c r="F23" s="352" t="s">
        <v>646</v>
      </c>
      <c r="G23" s="6" t="s">
        <v>475</v>
      </c>
      <c r="H23" s="384"/>
      <c r="I23" s="384"/>
      <c r="J23" s="227" t="s">
        <v>647</v>
      </c>
      <c r="AF23" s="3">
        <v>23</v>
      </c>
    </row>
    <row r="24" spans="5:32" ht="19.899999999999999" customHeight="1">
      <c r="E24" s="452" t="s">
        <v>648</v>
      </c>
      <c r="F24" s="396" t="s">
        <v>649</v>
      </c>
      <c r="G24" s="6" t="s">
        <v>475</v>
      </c>
      <c r="H24" s="384"/>
      <c r="I24" s="384"/>
      <c r="J24" s="227"/>
      <c r="AF24" s="3">
        <v>19</v>
      </c>
    </row>
    <row r="25" spans="5:32" ht="35.65" customHeight="1">
      <c r="E25" s="452" t="s">
        <v>650</v>
      </c>
      <c r="F25" s="396" t="s">
        <v>651</v>
      </c>
      <c r="G25" s="6" t="s">
        <v>475</v>
      </c>
      <c r="H25" s="384"/>
      <c r="I25" s="384"/>
      <c r="J25" s="227"/>
      <c r="AF25" s="3">
        <v>34</v>
      </c>
    </row>
    <row r="26" spans="5:32" ht="24" customHeight="1">
      <c r="E26" s="452" t="s">
        <v>652</v>
      </c>
      <c r="F26" s="352" t="s">
        <v>653</v>
      </c>
      <c r="G26" s="6" t="s">
        <v>475</v>
      </c>
      <c r="H26" s="384"/>
      <c r="I26" s="384"/>
      <c r="J26" s="227" t="s">
        <v>654</v>
      </c>
      <c r="AF26" s="3">
        <v>23</v>
      </c>
    </row>
    <row r="27" spans="5:32" ht="19.899999999999999" customHeight="1">
      <c r="E27" s="454" t="s">
        <v>655</v>
      </c>
      <c r="F27" s="396" t="s">
        <v>656</v>
      </c>
      <c r="G27" s="6" t="s">
        <v>475</v>
      </c>
      <c r="H27" s="450"/>
      <c r="I27" s="450"/>
      <c r="J27" s="227"/>
      <c r="AF27" s="3">
        <v>19</v>
      </c>
    </row>
    <row r="28" spans="5:32" ht="19.899999999999999" customHeight="1">
      <c r="E28" s="454" t="s">
        <v>657</v>
      </c>
      <c r="F28" s="396" t="s">
        <v>658</v>
      </c>
      <c r="G28" s="6" t="s">
        <v>475</v>
      </c>
      <c r="H28" s="450"/>
      <c r="I28" s="450"/>
      <c r="J28" s="227"/>
      <c r="AF28" s="3">
        <v>19</v>
      </c>
    </row>
    <row r="29" spans="5:32" ht="19.899999999999999" customHeight="1">
      <c r="E29" s="454" t="s">
        <v>659</v>
      </c>
      <c r="F29" s="352" t="s">
        <v>660</v>
      </c>
      <c r="G29" s="6" t="s">
        <v>475</v>
      </c>
      <c r="H29" s="450"/>
      <c r="I29" s="450"/>
      <c r="J29" s="227"/>
      <c r="AF29" s="3">
        <v>19</v>
      </c>
    </row>
    <row r="30" spans="5:32" ht="19.899999999999999" customHeight="1">
      <c r="E30" s="454" t="s">
        <v>661</v>
      </c>
      <c r="F30" s="352" t="s">
        <v>662</v>
      </c>
      <c r="G30" s="6" t="s">
        <v>475</v>
      </c>
      <c r="H30" s="450"/>
      <c r="I30" s="450"/>
      <c r="J30" s="227"/>
      <c r="AF30" s="3">
        <v>19</v>
      </c>
    </row>
    <row r="31" spans="5:32" ht="19.899999999999999" customHeight="1">
      <c r="E31" s="454" t="s">
        <v>663</v>
      </c>
      <c r="F31" s="352" t="s">
        <v>664</v>
      </c>
      <c r="G31" s="6" t="s">
        <v>475</v>
      </c>
      <c r="H31" s="450"/>
      <c r="I31" s="450"/>
      <c r="J31" s="227"/>
      <c r="AF31" s="3">
        <v>19</v>
      </c>
    </row>
    <row r="32" spans="5:32" ht="35.65" customHeight="1">
      <c r="E32" s="454" t="s">
        <v>665</v>
      </c>
      <c r="F32" s="352" t="s">
        <v>666</v>
      </c>
      <c r="G32" s="92" t="s">
        <v>475</v>
      </c>
      <c r="H32" s="400">
        <f>SUM(H33:H34)</f>
        <v>0</v>
      </c>
      <c r="I32" s="400">
        <f>SUM(I33:I34)</f>
        <v>0</v>
      </c>
      <c r="J32" s="227" t="s">
        <v>667</v>
      </c>
      <c r="AF32" s="11">
        <v>34</v>
      </c>
    </row>
    <row r="33" spans="1:32" ht="1.1499999999999999" customHeight="1">
      <c r="E33" s="31" t="str">
        <f>E32&amp;".0"</f>
        <v>2.8.0</v>
      </c>
      <c r="F33" s="401"/>
      <c r="G33" s="31"/>
      <c r="H33" s="402"/>
      <c r="I33" s="402"/>
      <c r="J33" s="403"/>
      <c r="AF33" s="24">
        <v>1</v>
      </c>
    </row>
    <row r="34" spans="1:32" ht="19.899999999999999" customHeight="1">
      <c r="E34" s="393"/>
      <c r="F34" s="471" t="s">
        <v>500</v>
      </c>
      <c r="G34" s="394"/>
      <c r="H34" s="395"/>
      <c r="I34" s="395"/>
      <c r="J34" s="272" t="s">
        <v>668</v>
      </c>
      <c r="AF34" s="11">
        <v>19</v>
      </c>
    </row>
    <row r="35" spans="1:32" ht="60" customHeight="1">
      <c r="E35" s="454" t="s">
        <v>669</v>
      </c>
      <c r="F35" s="352" t="s">
        <v>670</v>
      </c>
      <c r="G35" s="6" t="s">
        <v>475</v>
      </c>
      <c r="H35" s="450"/>
      <c r="I35" s="450"/>
      <c r="J35" s="227" t="s">
        <v>671</v>
      </c>
      <c r="AF35" s="3">
        <v>57</v>
      </c>
    </row>
    <row r="36" spans="1:32" ht="24" customHeight="1">
      <c r="A36" s="397" t="s">
        <v>501</v>
      </c>
      <c r="E36" s="452" t="s">
        <v>26</v>
      </c>
      <c r="F36" s="96" t="s">
        <v>672</v>
      </c>
      <c r="G36" s="6" t="s">
        <v>475</v>
      </c>
      <c r="H36" s="384"/>
      <c r="I36" s="384"/>
      <c r="J36" s="227" t="s">
        <v>673</v>
      </c>
      <c r="AF36" s="11">
        <v>23</v>
      </c>
    </row>
    <row r="37" spans="1:32" ht="35.65" customHeight="1">
      <c r="A37" s="397"/>
      <c r="E37" s="452" t="s">
        <v>247</v>
      </c>
      <c r="F37" s="352" t="s">
        <v>674</v>
      </c>
      <c r="G37" s="6"/>
      <c r="H37" s="384"/>
      <c r="I37" s="384"/>
      <c r="J37" s="227"/>
      <c r="AF37" s="11">
        <v>34</v>
      </c>
    </row>
    <row r="38" spans="1:32" ht="19.899999999999999" customHeight="1">
      <c r="E38" s="452" t="s">
        <v>27</v>
      </c>
      <c r="F38" s="96" t="s">
        <v>675</v>
      </c>
      <c r="G38" s="6" t="s">
        <v>475</v>
      </c>
      <c r="H38" s="384"/>
      <c r="I38" s="384"/>
      <c r="J38" s="227" t="s">
        <v>676</v>
      </c>
      <c r="AF38" s="11">
        <v>19</v>
      </c>
    </row>
    <row r="39" spans="1:32" ht="24" customHeight="1">
      <c r="E39" s="452" t="s">
        <v>677</v>
      </c>
      <c r="F39" s="352" t="s">
        <v>678</v>
      </c>
      <c r="G39" s="6" t="s">
        <v>475</v>
      </c>
      <c r="H39" s="384"/>
      <c r="I39" s="384"/>
      <c r="J39" s="227" t="s">
        <v>679</v>
      </c>
      <c r="AF39" s="11">
        <v>23</v>
      </c>
    </row>
    <row r="40" spans="1:32" ht="24" customHeight="1">
      <c r="E40" s="452" t="s">
        <v>680</v>
      </c>
      <c r="F40" s="396" t="s">
        <v>681</v>
      </c>
      <c r="G40" s="6" t="s">
        <v>475</v>
      </c>
      <c r="H40" s="384"/>
      <c r="I40" s="384"/>
      <c r="J40" s="227" t="s">
        <v>682</v>
      </c>
      <c r="AF40" s="11">
        <v>23</v>
      </c>
    </row>
    <row r="41" spans="1:32" ht="24" customHeight="1">
      <c r="E41" s="452" t="s">
        <v>683</v>
      </c>
      <c r="F41" s="396" t="s">
        <v>684</v>
      </c>
      <c r="G41" s="6" t="s">
        <v>475</v>
      </c>
      <c r="H41" s="384"/>
      <c r="I41" s="384"/>
      <c r="J41" s="227" t="s">
        <v>685</v>
      </c>
      <c r="AF41" s="11">
        <v>23</v>
      </c>
    </row>
    <row r="42" spans="1:32" ht="24" customHeight="1">
      <c r="E42" s="452" t="s">
        <v>686</v>
      </c>
      <c r="F42" s="396" t="s">
        <v>687</v>
      </c>
      <c r="G42" s="6" t="s">
        <v>475</v>
      </c>
      <c r="H42" s="384"/>
      <c r="I42" s="384"/>
      <c r="J42" s="227" t="s">
        <v>688</v>
      </c>
      <c r="AF42" s="11">
        <v>23</v>
      </c>
    </row>
    <row r="43" spans="1:32" ht="35.65" customHeight="1">
      <c r="C43" s="24" t="s">
        <v>511</v>
      </c>
      <c r="E43" s="452" t="s">
        <v>40</v>
      </c>
      <c r="F43" s="96" t="s">
        <v>552</v>
      </c>
      <c r="G43" s="30" t="s">
        <v>689</v>
      </c>
      <c r="H43" s="408"/>
      <c r="I43" s="408"/>
      <c r="J43" s="227" t="s">
        <v>690</v>
      </c>
      <c r="AF43" s="11">
        <v>34</v>
      </c>
    </row>
    <row r="44" spans="1:32" ht="35.65" customHeight="1">
      <c r="E44" s="452" t="s">
        <v>28</v>
      </c>
      <c r="F44" s="96" t="s">
        <v>691</v>
      </c>
      <c r="G44" s="6" t="s">
        <v>692</v>
      </c>
      <c r="H44" s="377"/>
      <c r="I44" s="377"/>
      <c r="J44" s="227" t="s">
        <v>693</v>
      </c>
      <c r="AF44" s="11">
        <v>34</v>
      </c>
    </row>
    <row r="45" spans="1:32" ht="24" customHeight="1">
      <c r="E45" s="452" t="s">
        <v>29</v>
      </c>
      <c r="F45" s="96" t="s">
        <v>694</v>
      </c>
      <c r="G45" s="6" t="s">
        <v>695</v>
      </c>
      <c r="H45" s="377"/>
      <c r="I45" s="377"/>
      <c r="J45" s="227" t="s">
        <v>696</v>
      </c>
      <c r="AF45" s="11">
        <v>23</v>
      </c>
    </row>
    <row r="46" spans="1:32" ht="19.899999999999999" customHeight="1">
      <c r="E46" s="452" t="s">
        <v>41</v>
      </c>
      <c r="F46" s="96" t="s">
        <v>697</v>
      </c>
      <c r="G46" s="6" t="s">
        <v>513</v>
      </c>
      <c r="H46" s="398"/>
      <c r="I46" s="398"/>
      <c r="J46" s="227"/>
      <c r="AF46" s="11">
        <v>19</v>
      </c>
    </row>
    <row r="47" spans="1:32" ht="11.45" customHeight="1">
      <c r="AF47" s="3">
        <v>11</v>
      </c>
    </row>
    <row r="48" spans="1:32" ht="11.45" customHeight="1">
      <c r="AF48" s="189">
        <v>11</v>
      </c>
    </row>
    <row r="49" spans="32:32" ht="11.45" customHeight="1">
      <c r="AF49" s="189">
        <v>11</v>
      </c>
    </row>
    <row r="50" spans="32:32" ht="11.45" customHeight="1">
      <c r="AF50" s="189">
        <v>11</v>
      </c>
    </row>
    <row r="51" spans="32:32" ht="11.45" customHeight="1">
      <c r="AF51" s="189">
        <v>11</v>
      </c>
    </row>
    <row r="52" spans="32:32" ht="11.45" customHeight="1">
      <c r="AF52" s="189">
        <v>11</v>
      </c>
    </row>
    <row r="53" spans="32:32" ht="11.45" customHeight="1">
      <c r="AF53" s="189">
        <v>11</v>
      </c>
    </row>
    <row r="54" spans="32:32" ht="11.45" customHeight="1">
      <c r="AF54" s="189">
        <v>11</v>
      </c>
    </row>
    <row r="55" spans="32:32" ht="11.45" customHeight="1">
      <c r="AF55" s="189">
        <v>11</v>
      </c>
    </row>
    <row r="56" spans="32:32" ht="11.45" customHeight="1">
      <c r="AF56" s="189">
        <v>11</v>
      </c>
    </row>
    <row r="57" spans="32:32" ht="11.45" customHeight="1">
      <c r="AF57" s="189">
        <v>11</v>
      </c>
    </row>
    <row r="58" spans="32:32" ht="11.45" customHeight="1">
      <c r="AF58" s="189">
        <v>11</v>
      </c>
    </row>
    <row r="59" spans="32:32" ht="11.45" customHeight="1">
      <c r="AF59" s="189">
        <v>11</v>
      </c>
    </row>
    <row r="60" spans="32:32" ht="11.45" customHeight="1">
      <c r="AF60" s="189">
        <v>11</v>
      </c>
    </row>
    <row r="61" spans="32:32" ht="11.45" customHeight="1">
      <c r="AF61" s="189">
        <v>11</v>
      </c>
    </row>
    <row r="62" spans="32:32" ht="11.45" customHeight="1">
      <c r="AF62" s="189">
        <v>11</v>
      </c>
    </row>
    <row r="63" spans="32:32" ht="11.45" customHeight="1">
      <c r="AF63" s="189">
        <v>11</v>
      </c>
    </row>
    <row r="64" spans="32:32" ht="11.45" customHeight="1">
      <c r="AF64" s="189">
        <v>11</v>
      </c>
    </row>
    <row r="65" spans="32:32" ht="11.45" customHeight="1">
      <c r="AF65" s="189">
        <v>11</v>
      </c>
    </row>
    <row r="66" spans="32:32" ht="11.45" customHeight="1">
      <c r="AF66" s="189">
        <v>11</v>
      </c>
    </row>
    <row r="67" spans="32:32" ht="11.45" customHeight="1">
      <c r="AF67" s="189">
        <v>11</v>
      </c>
    </row>
    <row r="68" spans="32:32" ht="11.45" customHeight="1">
      <c r="AF68" s="189">
        <v>11</v>
      </c>
    </row>
    <row r="69" spans="32:32" ht="11.45" customHeight="1">
      <c r="AF69" s="189">
        <v>11</v>
      </c>
    </row>
    <row r="70" spans="32:32" ht="11.45" customHeight="1">
      <c r="AF70" s="189">
        <v>11</v>
      </c>
    </row>
    <row r="71" spans="32:32" ht="11.45" customHeight="1">
      <c r="AF71" s="189">
        <v>11</v>
      </c>
    </row>
    <row r="72" spans="32:32" ht="11.45" customHeight="1">
      <c r="AF72" s="189">
        <v>11</v>
      </c>
    </row>
    <row r="73" spans="32:32" ht="11.45" customHeight="1">
      <c r="AF73" s="189">
        <v>11</v>
      </c>
    </row>
    <row r="74" spans="32:32" ht="11.45" customHeight="1">
      <c r="AF74" s="189">
        <v>11</v>
      </c>
    </row>
    <row r="75" spans="32:32" ht="11.45" customHeight="1">
      <c r="AF75" s="189">
        <v>11</v>
      </c>
    </row>
    <row r="76" spans="32:32" ht="11.45" customHeight="1">
      <c r="AF76" s="189">
        <v>11</v>
      </c>
    </row>
    <row r="77" spans="32:32" ht="11.45" customHeight="1">
      <c r="AF77" s="189">
        <v>11</v>
      </c>
    </row>
    <row r="78" spans="32:32" ht="11.45" customHeight="1">
      <c r="AF78" s="189">
        <v>11</v>
      </c>
    </row>
    <row r="79" spans="32:32" ht="11.45" customHeight="1">
      <c r="AF79" s="189">
        <v>11</v>
      </c>
    </row>
    <row r="80" spans="32:32" ht="11.45" customHeight="1">
      <c r="AF80" s="189">
        <v>11</v>
      </c>
    </row>
    <row r="81" spans="32:32" ht="11.45" customHeight="1">
      <c r="AF81" s="189">
        <v>11</v>
      </c>
    </row>
    <row r="82" spans="32:32" ht="11.45" customHeight="1">
      <c r="AF82" s="189">
        <v>11</v>
      </c>
    </row>
    <row r="83" spans="32:32" ht="11.45" customHeight="1">
      <c r="AF83" s="189">
        <v>11</v>
      </c>
    </row>
    <row r="84" spans="32:32" ht="11.45" customHeight="1">
      <c r="AF84" s="189">
        <v>11</v>
      </c>
    </row>
    <row r="85" spans="32:32" ht="11.45" customHeight="1">
      <c r="AF85" s="189">
        <v>11</v>
      </c>
    </row>
    <row r="86" spans="32:32" ht="11.45" customHeight="1">
      <c r="AF86" s="189">
        <v>11</v>
      </c>
    </row>
    <row r="87" spans="32:32" ht="11.45" customHeight="1">
      <c r="AF87" s="189">
        <v>11</v>
      </c>
    </row>
    <row r="88" spans="32:32" ht="11.45" customHeight="1">
      <c r="AF88" s="189">
        <v>11</v>
      </c>
    </row>
    <row r="89" spans="32:32" ht="11.45" customHeight="1">
      <c r="AF89" s="189">
        <v>11</v>
      </c>
    </row>
    <row r="90" spans="32:32" ht="11.45" customHeight="1">
      <c r="AF90" s="189">
        <v>11</v>
      </c>
    </row>
    <row r="91" spans="32:32" ht="11.45" customHeight="1">
      <c r="AF91" s="189">
        <v>11</v>
      </c>
    </row>
    <row r="92" spans="32:32" ht="11.45" customHeight="1">
      <c r="AF92" s="189">
        <v>11</v>
      </c>
    </row>
    <row r="93" spans="32:32" ht="11.45" customHeight="1">
      <c r="AF93" s="189">
        <v>11</v>
      </c>
    </row>
    <row r="94" spans="32:32" ht="11.45" customHeight="1">
      <c r="AF94" s="189">
        <v>11</v>
      </c>
    </row>
    <row r="95" spans="32:32" ht="11.45" customHeight="1">
      <c r="AF95" s="189">
        <v>11</v>
      </c>
    </row>
    <row r="96" spans="32:32" ht="11.45" customHeight="1">
      <c r="AF96" s="189">
        <v>11</v>
      </c>
    </row>
    <row r="97" spans="32:32" ht="11.45" customHeight="1">
      <c r="AF97" s="189">
        <v>11</v>
      </c>
    </row>
    <row r="98" spans="32:32" ht="11.45" customHeight="1">
      <c r="AF98" s="189">
        <v>11</v>
      </c>
    </row>
    <row r="99" spans="32:32" ht="11.45" customHeight="1">
      <c r="AF99" s="189">
        <v>11</v>
      </c>
    </row>
    <row r="100" spans="32:32" ht="11.45" customHeight="1">
      <c r="AF100" s="189">
        <v>11</v>
      </c>
    </row>
    <row r="101" spans="32:32" ht="11.45" customHeight="1">
      <c r="AF101" s="189">
        <v>11</v>
      </c>
    </row>
    <row r="102" spans="32:32" ht="11.45" customHeight="1">
      <c r="AF102" s="189">
        <v>11</v>
      </c>
    </row>
    <row r="103" spans="32:32" ht="11.45" customHeight="1">
      <c r="AF103" s="189">
        <v>11</v>
      </c>
    </row>
    <row r="104" spans="32:32" ht="11.45" customHeight="1">
      <c r="AF104" s="189">
        <v>11</v>
      </c>
    </row>
    <row r="105" spans="32:32" ht="11.45" customHeight="1">
      <c r="AF105" s="189">
        <v>11</v>
      </c>
    </row>
    <row r="106" spans="32:32" ht="11.45" customHeight="1">
      <c r="AF106" s="189">
        <v>11</v>
      </c>
    </row>
    <row r="107" spans="32:32" ht="11.45" customHeight="1">
      <c r="AF107" s="189">
        <v>11</v>
      </c>
    </row>
    <row r="108" spans="32:32" ht="11.45" customHeight="1">
      <c r="AF108" s="189">
        <v>11</v>
      </c>
    </row>
    <row r="109" spans="32:32" ht="11.45" customHeight="1">
      <c r="AF109" s="189">
        <v>11</v>
      </c>
    </row>
    <row r="110" spans="32:32" ht="11.45" customHeight="1">
      <c r="AF110" s="189">
        <v>11</v>
      </c>
    </row>
    <row r="111" spans="32:32" ht="11.45" customHeight="1">
      <c r="AF111" s="189">
        <v>11</v>
      </c>
    </row>
    <row r="112" spans="32:32" ht="11.45" customHeight="1">
      <c r="AF112" s="189">
        <v>11</v>
      </c>
    </row>
    <row r="113" spans="32:32" ht="11.45" customHeight="1">
      <c r="AF113" s="189">
        <v>11</v>
      </c>
    </row>
    <row r="114" spans="32:32" ht="11.45" customHeight="1">
      <c r="AF114" s="189">
        <v>11</v>
      </c>
    </row>
    <row r="115" spans="32:32" ht="11.45" customHeight="1">
      <c r="AF115" s="189">
        <v>11</v>
      </c>
    </row>
    <row r="116" spans="32:32" ht="11.45" customHeight="1">
      <c r="AF116" s="189">
        <v>11</v>
      </c>
    </row>
    <row r="117" spans="32:32" ht="11.45" customHeight="1">
      <c r="AF117" s="189">
        <v>11</v>
      </c>
    </row>
    <row r="118" spans="32:32" ht="11.45" customHeight="1">
      <c r="AF118" s="189">
        <v>11</v>
      </c>
    </row>
    <row r="119" spans="32:32" ht="11.45" customHeight="1">
      <c r="AF119" s="189">
        <v>11</v>
      </c>
    </row>
    <row r="120" spans="32:32" ht="11.45" customHeight="1">
      <c r="AF120" s="189">
        <v>11</v>
      </c>
    </row>
    <row r="121" spans="32:32" ht="11.45" customHeight="1">
      <c r="AF121" s="189">
        <v>11</v>
      </c>
    </row>
    <row r="122" spans="32:32" ht="11.45" customHeight="1">
      <c r="AF122" s="189">
        <v>11</v>
      </c>
    </row>
    <row r="123" spans="32:32" ht="11.45" customHeight="1">
      <c r="AF123" s="189">
        <v>11</v>
      </c>
    </row>
    <row r="124" spans="32:32" ht="11.45" customHeight="1">
      <c r="AF124" s="189">
        <v>11</v>
      </c>
    </row>
    <row r="125" spans="32:32" ht="11.45" customHeight="1">
      <c r="AF125" s="189">
        <v>11</v>
      </c>
    </row>
    <row r="126" spans="32:32" ht="11.45" customHeight="1">
      <c r="AF126" s="189">
        <v>11</v>
      </c>
    </row>
    <row r="127" spans="32:32" ht="11.45" customHeight="1">
      <c r="AF127" s="189">
        <v>11</v>
      </c>
    </row>
    <row r="128" spans="32:32" ht="11.45" customHeight="1">
      <c r="AF128" s="189">
        <v>11</v>
      </c>
    </row>
    <row r="129" spans="32:32" ht="11.45" customHeight="1">
      <c r="AF129" s="189">
        <v>11</v>
      </c>
    </row>
    <row r="130" spans="32:32" ht="11.45" customHeight="1">
      <c r="AF130" s="189">
        <v>11</v>
      </c>
    </row>
    <row r="131" spans="32:32" ht="11.45" customHeight="1">
      <c r="AF131" s="189">
        <v>11</v>
      </c>
    </row>
    <row r="132" spans="32:32" ht="11.45" customHeight="1">
      <c r="AF132" s="189">
        <v>11</v>
      </c>
    </row>
    <row r="133" spans="32:32" ht="11.45" customHeight="1">
      <c r="AF133" s="189">
        <v>11</v>
      </c>
    </row>
    <row r="134" spans="32:32" ht="11.45" customHeight="1">
      <c r="AF134" s="189">
        <v>11</v>
      </c>
    </row>
    <row r="135" spans="32:32" ht="11.45" customHeight="1">
      <c r="AF135" s="189">
        <v>11</v>
      </c>
    </row>
    <row r="136" spans="32:32" ht="11.45" customHeight="1">
      <c r="AF136" s="189">
        <v>11</v>
      </c>
    </row>
    <row r="137" spans="32:32" ht="11.45" customHeight="1">
      <c r="AF137" s="189">
        <v>11</v>
      </c>
    </row>
    <row r="138" spans="32:32" ht="11.45" customHeight="1">
      <c r="AF138" s="189">
        <v>11</v>
      </c>
    </row>
    <row r="139" spans="32:32" ht="11.45" customHeight="1">
      <c r="AF139" s="189">
        <v>11</v>
      </c>
    </row>
    <row r="140" spans="32:32" ht="11.45" customHeight="1">
      <c r="AF140" s="189">
        <v>11</v>
      </c>
    </row>
    <row r="141" spans="32:32" ht="11.45" customHeight="1">
      <c r="AF141" s="189">
        <v>11</v>
      </c>
    </row>
    <row r="142" spans="32:32" ht="11.45" customHeight="1">
      <c r="AF142" s="189">
        <v>11</v>
      </c>
    </row>
    <row r="143" spans="32:32" ht="11.45" customHeight="1">
      <c r="AF143" s="189">
        <v>11</v>
      </c>
    </row>
    <row r="144" spans="32:32" ht="11.45" customHeight="1">
      <c r="AF144" s="189">
        <v>11</v>
      </c>
    </row>
    <row r="145" spans="32:32" ht="11.45" customHeight="1">
      <c r="AF145" s="189">
        <v>11</v>
      </c>
    </row>
    <row r="146" spans="32:32" ht="11.45" customHeight="1">
      <c r="AF146" s="189">
        <v>11</v>
      </c>
    </row>
    <row r="147" spans="32:32" ht="11.45" customHeight="1">
      <c r="AF147" s="189">
        <v>11</v>
      </c>
    </row>
    <row r="148" spans="32:32" ht="11.45" customHeight="1">
      <c r="AF148" s="189">
        <v>11</v>
      </c>
    </row>
    <row r="149" spans="32:32" ht="11.45" customHeight="1">
      <c r="AF149" s="189">
        <v>11</v>
      </c>
    </row>
    <row r="150" spans="32:32" ht="11.45" customHeight="1">
      <c r="AF150" s="189">
        <v>11</v>
      </c>
    </row>
    <row r="151" spans="32:32" ht="11.45" customHeight="1">
      <c r="AF151" s="189">
        <v>11</v>
      </c>
    </row>
    <row r="152" spans="32:32" ht="11.45" customHeight="1">
      <c r="AF152" s="189">
        <v>11</v>
      </c>
    </row>
    <row r="153" spans="32:32" ht="11.45" customHeight="1">
      <c r="AF153" s="189">
        <v>11</v>
      </c>
    </row>
    <row r="154" spans="32:32" ht="11.45" customHeight="1">
      <c r="AF154" s="189">
        <v>11</v>
      </c>
    </row>
    <row r="155" spans="32:32" ht="11.45" customHeight="1">
      <c r="AF155" s="189">
        <v>11</v>
      </c>
    </row>
    <row r="156" spans="32:32" ht="11.45" customHeight="1">
      <c r="AF156" s="189">
        <v>11</v>
      </c>
    </row>
    <row r="157" spans="32:32" ht="11.45" customHeight="1">
      <c r="AF157" s="189">
        <v>11</v>
      </c>
    </row>
    <row r="158" spans="32:32" ht="11.45" customHeight="1">
      <c r="AF158" s="189">
        <v>11</v>
      </c>
    </row>
    <row r="159" spans="32:32" ht="11.45" customHeight="1">
      <c r="AF159" s="189">
        <v>11</v>
      </c>
    </row>
    <row r="160" spans="32:32" ht="11.45" customHeight="1">
      <c r="AF160" s="189">
        <v>11</v>
      </c>
    </row>
    <row r="161" spans="32:32" ht="11.45" customHeight="1">
      <c r="AF161" s="189">
        <v>11</v>
      </c>
    </row>
    <row r="162" spans="32:32" ht="11.45" customHeight="1">
      <c r="AF162" s="189">
        <v>11</v>
      </c>
    </row>
    <row r="163" spans="32:32" ht="11.45" customHeight="1">
      <c r="AF163" s="189">
        <v>11</v>
      </c>
    </row>
    <row r="164" spans="32:32" ht="11.45" customHeight="1">
      <c r="AF164" s="189">
        <v>11</v>
      </c>
    </row>
    <row r="165" spans="32:32" ht="11.45" customHeight="1">
      <c r="AF165" s="189">
        <v>11</v>
      </c>
    </row>
    <row r="166" spans="32:32" ht="11.45" customHeight="1">
      <c r="AF166" s="189">
        <v>11</v>
      </c>
    </row>
    <row r="167" spans="32:32" ht="11.45" customHeight="1">
      <c r="AF167" s="189">
        <v>11</v>
      </c>
    </row>
    <row r="168" spans="32:32" ht="11.45" customHeight="1">
      <c r="AF168" s="189">
        <v>11</v>
      </c>
    </row>
    <row r="169" spans="32:32" ht="11.45" customHeight="1">
      <c r="AF169" s="189">
        <v>11</v>
      </c>
    </row>
    <row r="170" spans="32:32" ht="11.45" customHeight="1">
      <c r="AF170" s="189">
        <v>11</v>
      </c>
    </row>
    <row r="171" spans="32:32" ht="11.45" customHeight="1">
      <c r="AF171" s="189">
        <v>11</v>
      </c>
    </row>
    <row r="172" spans="32:32" ht="11.45" customHeight="1">
      <c r="AF172" s="189">
        <v>11</v>
      </c>
    </row>
    <row r="173" spans="32:32" ht="11.45" customHeight="1">
      <c r="AF173" s="189">
        <v>11</v>
      </c>
    </row>
    <row r="174" spans="32:32" ht="11.45" customHeight="1">
      <c r="AF174" s="189">
        <v>11</v>
      </c>
    </row>
    <row r="175" spans="32:32" ht="11.45" customHeight="1">
      <c r="AF175" s="189">
        <v>11</v>
      </c>
    </row>
    <row r="176" spans="32:32" ht="11.45" customHeight="1">
      <c r="AF176" s="189">
        <v>11</v>
      </c>
    </row>
    <row r="177" spans="32:32" ht="11.45" customHeight="1">
      <c r="AF177" s="189">
        <v>11</v>
      </c>
    </row>
    <row r="178" spans="32:32" ht="11.45" customHeight="1">
      <c r="AF178" s="189">
        <v>11</v>
      </c>
    </row>
    <row r="179" spans="32:32" ht="11.45" customHeight="1">
      <c r="AF179" s="189">
        <v>11</v>
      </c>
    </row>
    <row r="180" spans="32:32" ht="11.45" customHeight="1">
      <c r="AF180" s="189">
        <v>11</v>
      </c>
    </row>
    <row r="181" spans="32:32" ht="11.45" customHeight="1">
      <c r="AF181" s="189">
        <v>11</v>
      </c>
    </row>
    <row r="182" spans="32:32" ht="11.45" customHeight="1">
      <c r="AF182" s="189">
        <v>11</v>
      </c>
    </row>
    <row r="183" spans="32:32" ht="11.45" customHeight="1">
      <c r="AF183" s="189">
        <v>11</v>
      </c>
    </row>
    <row r="184" spans="32:32" ht="11.45" customHeight="1">
      <c r="AF184" s="189">
        <v>11</v>
      </c>
    </row>
    <row r="185" spans="32:32" ht="11.45" customHeight="1">
      <c r="AF185" s="189">
        <v>11</v>
      </c>
    </row>
    <row r="186" spans="32:32" ht="11.45" customHeight="1">
      <c r="AF186" s="189">
        <v>11</v>
      </c>
    </row>
    <row r="187" spans="32:32" ht="11.45" customHeight="1">
      <c r="AF187" s="189">
        <v>11</v>
      </c>
    </row>
    <row r="188" spans="32:32" ht="11.45" customHeight="1">
      <c r="AF188" s="189">
        <v>11</v>
      </c>
    </row>
    <row r="189" spans="32:32" ht="11.45" customHeight="1">
      <c r="AF189" s="189">
        <v>11</v>
      </c>
    </row>
    <row r="190" spans="32:32" ht="11.45" customHeight="1">
      <c r="AF190" s="189">
        <v>11</v>
      </c>
    </row>
    <row r="191" spans="32:32" ht="11.45" customHeight="1">
      <c r="AF191" s="189">
        <v>11</v>
      </c>
    </row>
    <row r="192" spans="32:32" ht="11.45" customHeight="1">
      <c r="AF192" s="189">
        <v>11</v>
      </c>
    </row>
    <row r="193" spans="32:32" ht="11.45" customHeight="1">
      <c r="AF193" s="189">
        <v>11</v>
      </c>
    </row>
    <row r="194" spans="32:32" ht="11.45" customHeight="1">
      <c r="AF194" s="189">
        <v>11</v>
      </c>
    </row>
    <row r="195" spans="32:32" ht="11.45" customHeight="1">
      <c r="AF195" s="189">
        <v>11</v>
      </c>
    </row>
    <row r="196" spans="32:32" ht="11.45" customHeight="1">
      <c r="AF196" s="189">
        <v>11</v>
      </c>
    </row>
    <row r="197" spans="32:32" ht="11.45" customHeight="1">
      <c r="AF197" s="189">
        <v>11</v>
      </c>
    </row>
    <row r="198" spans="32:32" ht="11.45" customHeight="1">
      <c r="AF198" s="189">
        <v>11</v>
      </c>
    </row>
    <row r="199" spans="32:32" ht="11.45" customHeight="1">
      <c r="AF199" s="189">
        <v>11</v>
      </c>
    </row>
    <row r="200" spans="32:32" ht="11.45" customHeight="1">
      <c r="AF200" s="189">
        <v>11</v>
      </c>
    </row>
    <row r="201" spans="32:32" ht="11.45" customHeight="1">
      <c r="AF201" s="189">
        <v>11</v>
      </c>
    </row>
    <row r="202" spans="32:32" ht="11.45" customHeight="1">
      <c r="AF202" s="189">
        <v>11</v>
      </c>
    </row>
    <row r="203" spans="32:32" ht="11.45" customHeight="1">
      <c r="AF203" s="3">
        <v>11</v>
      </c>
    </row>
    <row r="204" spans="32:32" ht="11.45" customHeight="1">
      <c r="AF204" s="3">
        <v>11</v>
      </c>
    </row>
    <row r="205" spans="32:32" ht="11.45" customHeight="1">
      <c r="AF205" s="3">
        <v>11</v>
      </c>
    </row>
    <row r="206" spans="32:32" ht="11.45" customHeight="1">
      <c r="AF206" s="3">
        <v>11</v>
      </c>
    </row>
    <row r="207" spans="32:32" ht="11.45" customHeight="1">
      <c r="AF207" s="3">
        <v>11</v>
      </c>
    </row>
    <row r="208" spans="32:32" ht="11.45" customHeight="1">
      <c r="AF208" s="3">
        <v>11</v>
      </c>
    </row>
    <row r="209" spans="1:32" ht="11.45" customHeight="1">
      <c r="AF209" s="3">
        <v>11</v>
      </c>
    </row>
    <row r="210" spans="1:32" ht="11.45" customHeight="1">
      <c r="AF210" s="3">
        <v>11</v>
      </c>
    </row>
    <row r="211" spans="1:32" ht="11.45" customHeight="1">
      <c r="AF211" s="3">
        <v>11</v>
      </c>
    </row>
    <row r="212" spans="1:32" ht="11.45" customHeight="1">
      <c r="AF212" s="3">
        <v>11</v>
      </c>
    </row>
    <row r="213" spans="1:32" ht="11.45" customHeight="1">
      <c r="AF213" s="3">
        <v>11</v>
      </c>
    </row>
    <row r="214" spans="1:32" ht="11.45" customHeight="1">
      <c r="AF214" s="3">
        <v>11</v>
      </c>
    </row>
    <row r="215" spans="1:32" ht="11.45" customHeight="1">
      <c r="AF215" s="3">
        <v>11</v>
      </c>
    </row>
    <row r="216" spans="1:32" ht="11.45" customHeight="1">
      <c r="AF216" s="3">
        <v>11</v>
      </c>
    </row>
    <row r="217" spans="1:32" ht="11.25" hidden="1" customHeight="1">
      <c r="A217" s="423" t="s">
        <v>18</v>
      </c>
      <c r="B217" s="11">
        <v>0</v>
      </c>
      <c r="C217" s="24">
        <v>0</v>
      </c>
      <c r="D217" s="3">
        <v>3</v>
      </c>
      <c r="E217" s="3">
        <v>7</v>
      </c>
      <c r="F217" s="3">
        <v>56</v>
      </c>
      <c r="G217" s="3">
        <v>10</v>
      </c>
      <c r="H217" s="3">
        <v>0</v>
      </c>
      <c r="I217" s="3">
        <v>40</v>
      </c>
      <c r="J217" s="3">
        <v>102</v>
      </c>
      <c r="K217" s="11">
        <v>9</v>
      </c>
      <c r="L217" s="24">
        <v>5</v>
      </c>
      <c r="M217" s="24">
        <v>3</v>
      </c>
      <c r="N217" s="11">
        <v>3</v>
      </c>
      <c r="O217" s="11">
        <v>3</v>
      </c>
      <c r="P217" s="11">
        <v>3</v>
      </c>
      <c r="Q217" s="11">
        <v>3</v>
      </c>
      <c r="R217" s="24">
        <v>10</v>
      </c>
      <c r="S217" s="11">
        <v>34</v>
      </c>
      <c r="T217" s="11">
        <v>9</v>
      </c>
      <c r="U217" s="424">
        <v>8</v>
      </c>
      <c r="V217" s="11">
        <v>8</v>
      </c>
      <c r="W217" s="11">
        <v>8</v>
      </c>
      <c r="X217" s="11">
        <v>8</v>
      </c>
      <c r="Y217" s="11">
        <v>8</v>
      </c>
      <c r="Z217" s="11">
        <v>8</v>
      </c>
      <c r="AA217" s="2">
        <v>8</v>
      </c>
      <c r="AB217" s="2">
        <v>8</v>
      </c>
      <c r="AC217" s="2">
        <v>8</v>
      </c>
      <c r="AD217" s="2">
        <v>8</v>
      </c>
      <c r="AE217" s="2">
        <v>8</v>
      </c>
      <c r="AF217" s="3">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40625" defaultRowHeight="11.25" customHeight="1"/>
  <cols>
    <col min="1" max="1" width="10.7109375" hidden="1" customWidth="1"/>
    <col min="2" max="2" width="16.85546875" hidden="1" customWidth="1"/>
    <col min="3" max="3" width="5.5703125" hidden="1" customWidth="1"/>
    <col min="4" max="4" width="3" customWidth="1"/>
    <col min="5" max="5" width="7" customWidth="1"/>
    <col min="6" max="6" width="54" customWidth="1"/>
    <col min="7" max="7" width="10" customWidth="1"/>
    <col min="8" max="8" width="40.7109375" hidden="1" customWidth="1"/>
    <col min="9" max="9" width="40" customWidth="1"/>
    <col min="10" max="10" width="102" customWidth="1"/>
    <col min="11" max="11" width="9" customWidth="1"/>
    <col min="12" max="12" width="5" customWidth="1"/>
    <col min="13" max="17" width="3" customWidth="1"/>
    <col min="18" max="18" width="10" customWidth="1"/>
    <col min="19" max="19" width="34" customWidth="1"/>
    <col min="20" max="20" width="9" customWidth="1"/>
    <col min="21" max="31" width="8" customWidth="1"/>
    <col min="32" max="32" width="9.140625" hidden="1"/>
  </cols>
  <sheetData>
    <row r="1" spans="5:32" ht="22.5" hidden="1" customHeight="1">
      <c r="H1" s="11">
        <v>4</v>
      </c>
      <c r="I1" s="11">
        <v>4</v>
      </c>
      <c r="AF1" s="11" t="s">
        <v>1</v>
      </c>
    </row>
    <row r="2" spans="5:32" ht="22.5" hidden="1" customHeight="1">
      <c r="E2" s="30"/>
      <c r="F2" s="32"/>
      <c r="G2" s="30" t="s">
        <v>475</v>
      </c>
      <c r="H2" s="243"/>
      <c r="I2" s="243"/>
      <c r="J2" s="376" t="s">
        <v>478</v>
      </c>
      <c r="AF2" s="11">
        <v>0</v>
      </c>
    </row>
    <row r="3" spans="5:32" ht="11.25" hidden="1" customHeight="1">
      <c r="AF3" s="3">
        <v>0</v>
      </c>
    </row>
    <row r="4" spans="5:32" ht="11.25" hidden="1" customHeight="1">
      <c r="J4" s="2">
        <v>4</v>
      </c>
      <c r="AF4" s="2">
        <v>0</v>
      </c>
    </row>
    <row r="5" spans="5:32" ht="11.45" customHeight="1">
      <c r="AF5" s="3">
        <v>11</v>
      </c>
    </row>
    <row r="6" spans="5:32" ht="33.75" customHeight="1">
      <c r="E6" s="982" t="s">
        <v>698</v>
      </c>
      <c r="F6" s="982"/>
      <c r="G6" s="982"/>
      <c r="H6" s="982"/>
      <c r="I6" s="982"/>
      <c r="AF6" s="3">
        <v>32</v>
      </c>
    </row>
    <row r="7" spans="5:32" ht="25.15" customHeight="1">
      <c r="E7" s="955" t="e">
        <f>IF(org=0,"Не определено",org)</f>
        <v>#REF!</v>
      </c>
      <c r="F7" s="955"/>
      <c r="G7" s="955"/>
      <c r="H7" s="955"/>
      <c r="I7" s="955"/>
      <c r="AF7" s="3">
        <v>24</v>
      </c>
    </row>
    <row r="8" spans="5:32" ht="11.45" customHeight="1">
      <c r="AF8" s="3">
        <v>11</v>
      </c>
    </row>
    <row r="9" spans="5:32" ht="1.1499999999999999" customHeight="1">
      <c r="H9" s="379"/>
      <c r="I9" s="379" t="s">
        <v>42</v>
      </c>
      <c r="AF9" s="24">
        <v>1</v>
      </c>
    </row>
    <row r="10" spans="5:32" ht="11.45" customHeight="1">
      <c r="E10" s="380"/>
      <c r="F10" s="1086" t="s">
        <v>37</v>
      </c>
      <c r="G10" s="1087"/>
      <c r="H10" s="383" t="str">
        <f>IF(H9="","",INDEX(DIFFERENTIATION_UNMERGE_VD,MATCH(H9,DIFFERENTIATION_ID_DIFF,0)))</f>
        <v/>
      </c>
      <c r="I10" s="383" t="e">
        <f>IF(I9="","",INDEX(DIFFERENTIATION_UNMERGE_VD,MATCH(I9,DIFFERENTIATION_ID_DIFF,0)))</f>
        <v>#REF!</v>
      </c>
      <c r="J10" s="894"/>
      <c r="AF10" s="3">
        <v>11</v>
      </c>
    </row>
    <row r="11" spans="5:32" ht="11.45" customHeight="1">
      <c r="E11" s="380"/>
      <c r="F11" s="1086" t="s">
        <v>487</v>
      </c>
      <c r="G11" s="1087"/>
      <c r="H11" s="383" t="str">
        <f>IF(H9="","",INDEX(DIFFERENTIATION_UNMERGE_AREA,MATCH(H9,DIFFERENTIATION_ID_DIFF,0)))</f>
        <v/>
      </c>
      <c r="I11" s="383" t="e">
        <f>IF(I9="","",INDEX(DIFFERENTIATION_UNMERGE_AREA,MATCH(I9,DIFFERENTIATION_ID_DIFF,0)))</f>
        <v>#REF!</v>
      </c>
      <c r="J11" s="894"/>
      <c r="AF11" s="3">
        <v>11</v>
      </c>
    </row>
    <row r="12" spans="5:32" ht="11.25" hidden="1" customHeight="1">
      <c r="E12" s="443"/>
      <c r="F12" s="1102" t="s">
        <v>488</v>
      </c>
      <c r="G12" s="1103"/>
      <c r="H12" s="470" t="str">
        <f>IF(H9="","",INDEX(DIFFERENTIATION_UNMERGE_SYSTEM,MATCH(H9,DIFFERENTIATION_ID_DIFF,0)))</f>
        <v/>
      </c>
      <c r="I12" s="470" t="e">
        <f>IF(I9="","",INDEX(DIFFERENTIATION_UNMERGE_SYSTEM,MATCH(I9,DIFFERENTIATION_ID_DIFF,0)))</f>
        <v>#REF!</v>
      </c>
      <c r="J12" s="894"/>
      <c r="AF12" s="3">
        <v>0</v>
      </c>
    </row>
    <row r="13" spans="5:32" ht="11.45" customHeight="1">
      <c r="E13" s="1088" t="s">
        <v>223</v>
      </c>
      <c r="F13" s="1089"/>
      <c r="G13" s="1089"/>
      <c r="H13" s="381"/>
      <c r="I13" s="381"/>
      <c r="J13" s="894"/>
      <c r="AF13" s="3">
        <v>11</v>
      </c>
    </row>
    <row r="14" spans="5:32" ht="24" customHeight="1">
      <c r="E14" s="30" t="s">
        <v>24</v>
      </c>
      <c r="F14" s="30" t="s">
        <v>225</v>
      </c>
      <c r="G14" s="30" t="s">
        <v>489</v>
      </c>
      <c r="H14" s="30" t="s">
        <v>226</v>
      </c>
      <c r="I14" s="30" t="s">
        <v>226</v>
      </c>
      <c r="J14" s="894"/>
      <c r="AF14" s="3">
        <v>23</v>
      </c>
    </row>
    <row r="15" spans="5:32" ht="19.899999999999999" customHeight="1">
      <c r="E15" s="445" t="s">
        <v>31</v>
      </c>
      <c r="F15" s="96" t="s">
        <v>699</v>
      </c>
      <c r="G15" s="30" t="s">
        <v>475</v>
      </c>
      <c r="H15" s="384"/>
      <c r="I15" s="384"/>
      <c r="J15" s="227" t="s">
        <v>700</v>
      </c>
      <c r="K15" s="447" t="s">
        <v>553</v>
      </c>
      <c r="AF15" s="3">
        <v>19</v>
      </c>
    </row>
    <row r="16" spans="5:32" ht="24" customHeight="1">
      <c r="E16" s="445" t="s">
        <v>39</v>
      </c>
      <c r="F16" s="105" t="s">
        <v>701</v>
      </c>
      <c r="G16" s="30" t="s">
        <v>475</v>
      </c>
      <c r="H16" s="385">
        <f>SUM(H17,H20:H27)</f>
        <v>0</v>
      </c>
      <c r="I16" s="385">
        <f>SUM(I17,I20:I27)</f>
        <v>0</v>
      </c>
      <c r="J16" s="227" t="s">
        <v>702</v>
      </c>
      <c r="K16" s="447" t="s">
        <v>553</v>
      </c>
      <c r="AF16" s="3">
        <v>23</v>
      </c>
    </row>
    <row r="17" spans="5:32" ht="35.65" customHeight="1">
      <c r="E17" s="452" t="s">
        <v>632</v>
      </c>
      <c r="F17" s="150" t="s">
        <v>703</v>
      </c>
      <c r="G17" s="6" t="s">
        <v>475</v>
      </c>
      <c r="H17" s="384"/>
      <c r="I17" s="384"/>
      <c r="J17" s="227" t="s">
        <v>704</v>
      </c>
      <c r="AF17" s="3">
        <v>34</v>
      </c>
    </row>
    <row r="18" spans="5:32" ht="19.899999999999999" customHeight="1">
      <c r="E18" s="452" t="s">
        <v>635</v>
      </c>
      <c r="F18" s="472" t="s">
        <v>705</v>
      </c>
      <c r="G18" s="6" t="s">
        <v>475</v>
      </c>
      <c r="H18" s="384"/>
      <c r="I18" s="384"/>
      <c r="J18" s="227"/>
      <c r="AF18" s="3">
        <v>19</v>
      </c>
    </row>
    <row r="19" spans="5:32" ht="24" customHeight="1">
      <c r="E19" s="452" t="s">
        <v>638</v>
      </c>
      <c r="F19" s="472" t="s">
        <v>706</v>
      </c>
      <c r="G19" s="6" t="s">
        <v>475</v>
      </c>
      <c r="H19" s="384"/>
      <c r="I19" s="384"/>
      <c r="J19" s="227"/>
      <c r="AF19" s="3">
        <v>23</v>
      </c>
    </row>
    <row r="20" spans="5:32" ht="35.65" customHeight="1">
      <c r="E20" s="452" t="s">
        <v>230</v>
      </c>
      <c r="F20" s="150" t="s">
        <v>707</v>
      </c>
      <c r="G20" s="6" t="s">
        <v>475</v>
      </c>
      <c r="H20" s="384"/>
      <c r="I20" s="384"/>
      <c r="J20" s="227"/>
      <c r="AF20" s="3">
        <v>34</v>
      </c>
    </row>
    <row r="21" spans="5:32" ht="48.2" customHeight="1">
      <c r="E21" s="452" t="s">
        <v>233</v>
      </c>
      <c r="F21" s="150" t="s">
        <v>708</v>
      </c>
      <c r="G21" s="6" t="s">
        <v>475</v>
      </c>
      <c r="H21" s="384"/>
      <c r="I21" s="384"/>
      <c r="J21" s="227"/>
      <c r="AF21" s="3">
        <v>46</v>
      </c>
    </row>
    <row r="22" spans="5:32" ht="60" customHeight="1">
      <c r="E22" s="452" t="s">
        <v>652</v>
      </c>
      <c r="F22" s="150" t="s">
        <v>709</v>
      </c>
      <c r="G22" s="6" t="s">
        <v>475</v>
      </c>
      <c r="H22" s="384"/>
      <c r="I22" s="384"/>
      <c r="J22" s="227"/>
      <c r="AF22" s="3">
        <v>57</v>
      </c>
    </row>
    <row r="23" spans="5:32" ht="35.65" customHeight="1">
      <c r="E23" s="452" t="s">
        <v>659</v>
      </c>
      <c r="F23" s="150" t="s">
        <v>710</v>
      </c>
      <c r="G23" s="6" t="s">
        <v>475</v>
      </c>
      <c r="H23" s="384"/>
      <c r="I23" s="384"/>
      <c r="J23" s="227"/>
      <c r="AF23" s="3">
        <v>34</v>
      </c>
    </row>
    <row r="24" spans="5:32" ht="35.65" customHeight="1">
      <c r="E24" s="452" t="s">
        <v>661</v>
      </c>
      <c r="F24" s="150" t="s">
        <v>711</v>
      </c>
      <c r="G24" s="6" t="s">
        <v>475</v>
      </c>
      <c r="H24" s="384"/>
      <c r="I24" s="384"/>
      <c r="J24" s="227"/>
      <c r="AF24" s="3">
        <v>34</v>
      </c>
    </row>
    <row r="25" spans="5:32" ht="24" customHeight="1">
      <c r="E25" s="452" t="s">
        <v>663</v>
      </c>
      <c r="F25" s="150" t="s">
        <v>712</v>
      </c>
      <c r="G25" s="6" t="s">
        <v>475</v>
      </c>
      <c r="H25" s="384"/>
      <c r="I25" s="384"/>
      <c r="J25" s="227"/>
      <c r="AF25" s="3">
        <v>23</v>
      </c>
    </row>
    <row r="26" spans="5:32" ht="76.5" customHeight="1">
      <c r="E26" s="452" t="s">
        <v>665</v>
      </c>
      <c r="F26" s="150" t="s">
        <v>713</v>
      </c>
      <c r="G26" s="6" t="s">
        <v>475</v>
      </c>
      <c r="H26" s="384"/>
      <c r="I26" s="384"/>
      <c r="J26" s="227"/>
      <c r="AF26" s="3">
        <v>73</v>
      </c>
    </row>
    <row r="27" spans="5:32" ht="35.65" customHeight="1">
      <c r="E27" s="448" t="s">
        <v>669</v>
      </c>
      <c r="F27" s="51" t="s">
        <v>714</v>
      </c>
      <c r="G27" s="92" t="s">
        <v>475</v>
      </c>
      <c r="H27" s="400">
        <f>SUM(H28:H29)</f>
        <v>0</v>
      </c>
      <c r="I27" s="400">
        <f>SUM(I28:I29)</f>
        <v>0</v>
      </c>
      <c r="J27" s="227" t="s">
        <v>667</v>
      </c>
      <c r="AF27" s="11">
        <v>34</v>
      </c>
    </row>
    <row r="28" spans="5:32" ht="1.1499999999999999" customHeight="1">
      <c r="E28" s="31" t="str">
        <f>E27&amp;".0"</f>
        <v>2.9.0</v>
      </c>
      <c r="F28" s="401"/>
      <c r="G28" s="31"/>
      <c r="H28" s="402"/>
      <c r="I28" s="402"/>
      <c r="J28" s="403"/>
      <c r="AF28" s="24">
        <v>1</v>
      </c>
    </row>
    <row r="29" spans="5:32" ht="19.899999999999999" customHeight="1">
      <c r="E29" s="393"/>
      <c r="F29" s="471" t="s">
        <v>500</v>
      </c>
      <c r="G29" s="394"/>
      <c r="H29" s="395"/>
      <c r="I29" s="395"/>
      <c r="J29" s="272" t="s">
        <v>668</v>
      </c>
      <c r="AF29" s="11">
        <v>19</v>
      </c>
    </row>
    <row r="30" spans="5:32" ht="24" customHeight="1">
      <c r="E30" s="452" t="s">
        <v>26</v>
      </c>
      <c r="F30" s="473" t="s">
        <v>715</v>
      </c>
      <c r="G30" s="6" t="s">
        <v>475</v>
      </c>
      <c r="H30" s="384"/>
      <c r="I30" s="384"/>
      <c r="J30" s="227"/>
      <c r="AF30" s="11">
        <v>23</v>
      </c>
    </row>
    <row r="31" spans="5:32" ht="35.65" customHeight="1">
      <c r="E31" s="452" t="s">
        <v>27</v>
      </c>
      <c r="F31" s="473" t="s">
        <v>716</v>
      </c>
      <c r="G31" s="6" t="s">
        <v>475</v>
      </c>
      <c r="H31" s="384"/>
      <c r="I31" s="384"/>
      <c r="J31" s="227" t="s">
        <v>717</v>
      </c>
      <c r="AF31" s="11">
        <v>34</v>
      </c>
    </row>
    <row r="32" spans="5:32" ht="24" customHeight="1">
      <c r="E32" s="452" t="s">
        <v>677</v>
      </c>
      <c r="F32" s="150" t="s">
        <v>681</v>
      </c>
      <c r="G32" s="6" t="s">
        <v>475</v>
      </c>
      <c r="H32" s="384"/>
      <c r="I32" s="384"/>
      <c r="J32" s="227" t="s">
        <v>718</v>
      </c>
      <c r="AF32" s="11">
        <v>23</v>
      </c>
    </row>
    <row r="33" spans="3:32" ht="24" customHeight="1">
      <c r="E33" s="452" t="s">
        <v>719</v>
      </c>
      <c r="F33" s="150" t="s">
        <v>720</v>
      </c>
      <c r="G33" s="6" t="s">
        <v>475</v>
      </c>
      <c r="H33" s="384"/>
      <c r="I33" s="384"/>
      <c r="J33" s="227" t="s">
        <v>721</v>
      </c>
      <c r="AF33" s="11">
        <v>23</v>
      </c>
    </row>
    <row r="34" spans="3:32" ht="24" customHeight="1">
      <c r="E34" s="452" t="s">
        <v>722</v>
      </c>
      <c r="F34" s="150" t="s">
        <v>687</v>
      </c>
      <c r="G34" s="6" t="s">
        <v>475</v>
      </c>
      <c r="H34" s="384"/>
      <c r="I34" s="384"/>
      <c r="J34" s="227" t="s">
        <v>723</v>
      </c>
      <c r="AF34" s="11">
        <v>23</v>
      </c>
    </row>
    <row r="35" spans="3:32" ht="35.65" customHeight="1">
      <c r="C35" s="24" t="s">
        <v>511</v>
      </c>
      <c r="E35" s="452" t="s">
        <v>40</v>
      </c>
      <c r="F35" s="473" t="s">
        <v>552</v>
      </c>
      <c r="G35" s="30" t="s">
        <v>229</v>
      </c>
      <c r="H35" s="408"/>
      <c r="I35" s="408"/>
      <c r="J35" s="227" t="s">
        <v>724</v>
      </c>
      <c r="AF35" s="11">
        <v>34</v>
      </c>
    </row>
    <row r="36" spans="3:32" ht="35.65" customHeight="1">
      <c r="E36" s="452" t="s">
        <v>28</v>
      </c>
      <c r="F36" s="473" t="s">
        <v>725</v>
      </c>
      <c r="G36" s="6" t="s">
        <v>692</v>
      </c>
      <c r="H36" s="377"/>
      <c r="I36" s="377"/>
      <c r="J36" s="227" t="s">
        <v>693</v>
      </c>
      <c r="AF36" s="11">
        <v>34</v>
      </c>
    </row>
    <row r="37" spans="3:32" ht="24" customHeight="1">
      <c r="E37" s="452" t="s">
        <v>29</v>
      </c>
      <c r="F37" s="473" t="s">
        <v>726</v>
      </c>
      <c r="G37" s="6" t="s">
        <v>695</v>
      </c>
      <c r="H37" s="377"/>
      <c r="I37" s="377"/>
      <c r="J37" s="227" t="s">
        <v>696</v>
      </c>
      <c r="AF37" s="11">
        <v>23</v>
      </c>
    </row>
    <row r="38" spans="3:32" ht="11.45" customHeight="1">
      <c r="AF38" s="3">
        <v>11</v>
      </c>
    </row>
    <row r="39" spans="3:32" ht="27.4" customHeight="1">
      <c r="E39" s="474" t="s">
        <v>727</v>
      </c>
      <c r="F39" s="1104" t="s">
        <v>728</v>
      </c>
      <c r="G39" s="885"/>
      <c r="AF39" s="3">
        <v>26</v>
      </c>
    </row>
    <row r="40" spans="3:32" ht="39.75" customHeight="1">
      <c r="F40" s="1104" t="s">
        <v>729</v>
      </c>
      <c r="G40" s="885"/>
      <c r="AF40" s="189">
        <v>38</v>
      </c>
    </row>
    <row r="41" spans="3:32" ht="11.45" customHeight="1">
      <c r="AF41" s="189">
        <v>11</v>
      </c>
    </row>
    <row r="42" spans="3:32" ht="11.45" customHeight="1">
      <c r="AF42" s="189">
        <v>11</v>
      </c>
    </row>
    <row r="43" spans="3:32" ht="11.45" customHeight="1">
      <c r="AF43" s="189">
        <v>11</v>
      </c>
    </row>
    <row r="44" spans="3:32" ht="11.45" customHeight="1">
      <c r="AF44" s="189">
        <v>11</v>
      </c>
    </row>
    <row r="45" spans="3:32" ht="11.45" customHeight="1">
      <c r="AF45" s="189">
        <v>11</v>
      </c>
    </row>
    <row r="46" spans="3:32" ht="11.45" customHeight="1">
      <c r="AF46" s="189">
        <v>11</v>
      </c>
    </row>
    <row r="47" spans="3:32" ht="11.45" customHeight="1">
      <c r="AF47" s="189">
        <v>11</v>
      </c>
    </row>
    <row r="48" spans="3:32" ht="11.45" customHeight="1">
      <c r="AF48" s="189">
        <v>11</v>
      </c>
    </row>
    <row r="49" spans="32:32" ht="11.45" customHeight="1">
      <c r="AF49" s="189">
        <v>11</v>
      </c>
    </row>
    <row r="50" spans="32:32" ht="11.45" customHeight="1">
      <c r="AF50" s="189">
        <v>11</v>
      </c>
    </row>
    <row r="51" spans="32:32" ht="11.45" customHeight="1">
      <c r="AF51" s="189">
        <v>11</v>
      </c>
    </row>
    <row r="52" spans="32:32" ht="11.45" customHeight="1">
      <c r="AF52" s="189">
        <v>11</v>
      </c>
    </row>
    <row r="53" spans="32:32" ht="11.45" customHeight="1">
      <c r="AF53" s="189">
        <v>11</v>
      </c>
    </row>
    <row r="54" spans="32:32" ht="11.45" customHeight="1">
      <c r="AF54" s="189">
        <v>11</v>
      </c>
    </row>
    <row r="55" spans="32:32" ht="11.45" customHeight="1">
      <c r="AF55" s="189">
        <v>11</v>
      </c>
    </row>
    <row r="56" spans="32:32" ht="11.45" customHeight="1">
      <c r="AF56" s="189">
        <v>11</v>
      </c>
    </row>
    <row r="57" spans="32:32" ht="11.45" customHeight="1">
      <c r="AF57" s="189">
        <v>11</v>
      </c>
    </row>
    <row r="58" spans="32:32" ht="11.45" customHeight="1">
      <c r="AF58" s="189">
        <v>11</v>
      </c>
    </row>
    <row r="59" spans="32:32" ht="11.45" customHeight="1">
      <c r="AF59" s="189">
        <v>11</v>
      </c>
    </row>
    <row r="60" spans="32:32" ht="11.45" customHeight="1">
      <c r="AF60" s="189">
        <v>11</v>
      </c>
    </row>
    <row r="61" spans="32:32" ht="11.45" customHeight="1">
      <c r="AF61" s="189">
        <v>11</v>
      </c>
    </row>
    <row r="62" spans="32:32" ht="11.45" customHeight="1">
      <c r="AF62" s="189">
        <v>11</v>
      </c>
    </row>
    <row r="63" spans="32:32" ht="11.45" customHeight="1">
      <c r="AF63" s="189">
        <v>11</v>
      </c>
    </row>
    <row r="64" spans="32:32" ht="11.45" customHeight="1">
      <c r="AF64" s="189">
        <v>11</v>
      </c>
    </row>
    <row r="65" spans="32:32" ht="11.45" customHeight="1">
      <c r="AF65" s="189">
        <v>11</v>
      </c>
    </row>
    <row r="66" spans="32:32" ht="11.45" customHeight="1">
      <c r="AF66" s="189">
        <v>11</v>
      </c>
    </row>
    <row r="67" spans="32:32" ht="11.45" customHeight="1">
      <c r="AF67" s="189">
        <v>11</v>
      </c>
    </row>
    <row r="68" spans="32:32" ht="11.45" customHeight="1">
      <c r="AF68" s="189">
        <v>11</v>
      </c>
    </row>
    <row r="69" spans="32:32" ht="11.45" customHeight="1">
      <c r="AF69" s="189">
        <v>11</v>
      </c>
    </row>
    <row r="70" spans="32:32" ht="11.45" customHeight="1">
      <c r="AF70" s="189">
        <v>11</v>
      </c>
    </row>
    <row r="71" spans="32:32" ht="11.45" customHeight="1">
      <c r="AF71" s="189">
        <v>11</v>
      </c>
    </row>
    <row r="72" spans="32:32" ht="11.45" customHeight="1">
      <c r="AF72" s="189">
        <v>11</v>
      </c>
    </row>
    <row r="73" spans="32:32" ht="11.45" customHeight="1">
      <c r="AF73" s="189">
        <v>11</v>
      </c>
    </row>
    <row r="74" spans="32:32" ht="11.45" customHeight="1">
      <c r="AF74" s="189">
        <v>11</v>
      </c>
    </row>
    <row r="75" spans="32:32" ht="11.45" customHeight="1">
      <c r="AF75" s="189">
        <v>11</v>
      </c>
    </row>
    <row r="76" spans="32:32" ht="11.45" customHeight="1">
      <c r="AF76" s="189">
        <v>11</v>
      </c>
    </row>
    <row r="77" spans="32:32" ht="11.45" customHeight="1">
      <c r="AF77" s="189">
        <v>11</v>
      </c>
    </row>
    <row r="78" spans="32:32" ht="11.45" customHeight="1">
      <c r="AF78" s="189">
        <v>11</v>
      </c>
    </row>
    <row r="79" spans="32:32" ht="11.45" customHeight="1">
      <c r="AF79" s="189">
        <v>11</v>
      </c>
    </row>
    <row r="80" spans="32:32" ht="11.45" customHeight="1">
      <c r="AF80" s="189">
        <v>11</v>
      </c>
    </row>
    <row r="81" spans="32:32" ht="11.45" customHeight="1">
      <c r="AF81" s="189">
        <v>11</v>
      </c>
    </row>
    <row r="82" spans="32:32" ht="11.45" customHeight="1">
      <c r="AF82" s="189">
        <v>11</v>
      </c>
    </row>
    <row r="83" spans="32:32" ht="11.45" customHeight="1">
      <c r="AF83" s="189">
        <v>11</v>
      </c>
    </row>
    <row r="84" spans="32:32" ht="11.45" customHeight="1">
      <c r="AF84" s="189">
        <v>11</v>
      </c>
    </row>
    <row r="85" spans="32:32" ht="11.45" customHeight="1">
      <c r="AF85" s="189">
        <v>11</v>
      </c>
    </row>
    <row r="86" spans="32:32" ht="11.45" customHeight="1">
      <c r="AF86" s="189">
        <v>11</v>
      </c>
    </row>
    <row r="87" spans="32:32" ht="11.45" customHeight="1">
      <c r="AF87" s="189">
        <v>11</v>
      </c>
    </row>
    <row r="88" spans="32:32" ht="11.45" customHeight="1">
      <c r="AF88" s="189">
        <v>11</v>
      </c>
    </row>
    <row r="89" spans="32:32" ht="11.45" customHeight="1">
      <c r="AF89" s="189">
        <v>11</v>
      </c>
    </row>
    <row r="90" spans="32:32" ht="11.45" customHeight="1">
      <c r="AF90" s="189">
        <v>11</v>
      </c>
    </row>
    <row r="91" spans="32:32" ht="11.45" customHeight="1">
      <c r="AF91" s="189">
        <v>11</v>
      </c>
    </row>
    <row r="92" spans="32:32" ht="11.45" customHeight="1">
      <c r="AF92" s="189">
        <v>11</v>
      </c>
    </row>
    <row r="93" spans="32:32" ht="11.45" customHeight="1">
      <c r="AF93" s="189">
        <v>11</v>
      </c>
    </row>
    <row r="94" spans="32:32" ht="11.45" customHeight="1">
      <c r="AF94" s="189">
        <v>11</v>
      </c>
    </row>
    <row r="95" spans="32:32" ht="11.45" customHeight="1">
      <c r="AF95" s="189">
        <v>11</v>
      </c>
    </row>
    <row r="96" spans="32:32" ht="11.45" customHeight="1">
      <c r="AF96" s="189">
        <v>11</v>
      </c>
    </row>
    <row r="97" spans="32:32" ht="11.45" customHeight="1">
      <c r="AF97" s="189">
        <v>11</v>
      </c>
    </row>
    <row r="98" spans="32:32" ht="11.45" customHeight="1">
      <c r="AF98" s="189">
        <v>11</v>
      </c>
    </row>
    <row r="99" spans="32:32" ht="11.45" customHeight="1">
      <c r="AF99" s="189">
        <v>11</v>
      </c>
    </row>
    <row r="100" spans="32:32" ht="11.45" customHeight="1">
      <c r="AF100" s="189">
        <v>11</v>
      </c>
    </row>
    <row r="101" spans="32:32" ht="11.45" customHeight="1">
      <c r="AF101" s="189">
        <v>11</v>
      </c>
    </row>
    <row r="102" spans="32:32" ht="11.45" customHeight="1">
      <c r="AF102" s="189">
        <v>11</v>
      </c>
    </row>
    <row r="103" spans="32:32" ht="11.45" customHeight="1">
      <c r="AF103" s="189">
        <v>11</v>
      </c>
    </row>
    <row r="104" spans="32:32" ht="11.45" customHeight="1">
      <c r="AF104" s="189">
        <v>11</v>
      </c>
    </row>
    <row r="105" spans="32:32" ht="11.45" customHeight="1">
      <c r="AF105" s="189">
        <v>11</v>
      </c>
    </row>
    <row r="106" spans="32:32" ht="11.45" customHeight="1">
      <c r="AF106" s="189">
        <v>11</v>
      </c>
    </row>
    <row r="107" spans="32:32" ht="11.45" customHeight="1">
      <c r="AF107" s="189">
        <v>11</v>
      </c>
    </row>
    <row r="108" spans="32:32" ht="11.45" customHeight="1">
      <c r="AF108" s="189">
        <v>11</v>
      </c>
    </row>
    <row r="109" spans="32:32" ht="11.45" customHeight="1">
      <c r="AF109" s="189">
        <v>11</v>
      </c>
    </row>
    <row r="110" spans="32:32" ht="11.45" customHeight="1">
      <c r="AF110" s="189">
        <v>11</v>
      </c>
    </row>
    <row r="111" spans="32:32" ht="11.45" customHeight="1">
      <c r="AF111" s="189">
        <v>11</v>
      </c>
    </row>
    <row r="112" spans="32:32" ht="11.45" customHeight="1">
      <c r="AF112" s="189">
        <v>11</v>
      </c>
    </row>
    <row r="113" spans="32:32" ht="11.45" customHeight="1">
      <c r="AF113" s="189">
        <v>11</v>
      </c>
    </row>
    <row r="114" spans="32:32" ht="11.45" customHeight="1">
      <c r="AF114" s="189">
        <v>11</v>
      </c>
    </row>
    <row r="115" spans="32:32" ht="11.45" customHeight="1">
      <c r="AF115" s="189">
        <v>11</v>
      </c>
    </row>
    <row r="116" spans="32:32" ht="11.45" customHeight="1">
      <c r="AF116" s="189">
        <v>11</v>
      </c>
    </row>
    <row r="117" spans="32:32" ht="11.45" customHeight="1">
      <c r="AF117" s="189">
        <v>11</v>
      </c>
    </row>
    <row r="118" spans="32:32" ht="11.45" customHeight="1">
      <c r="AF118" s="189">
        <v>11</v>
      </c>
    </row>
    <row r="119" spans="32:32" ht="11.45" customHeight="1">
      <c r="AF119" s="189">
        <v>11</v>
      </c>
    </row>
    <row r="120" spans="32:32" ht="11.45" customHeight="1">
      <c r="AF120" s="189">
        <v>11</v>
      </c>
    </row>
    <row r="121" spans="32:32" ht="11.45" customHeight="1">
      <c r="AF121" s="189">
        <v>11</v>
      </c>
    </row>
    <row r="122" spans="32:32" ht="11.45" customHeight="1">
      <c r="AF122" s="189">
        <v>11</v>
      </c>
    </row>
    <row r="123" spans="32:32" ht="11.45" customHeight="1">
      <c r="AF123" s="189">
        <v>11</v>
      </c>
    </row>
    <row r="124" spans="32:32" ht="11.45" customHeight="1">
      <c r="AF124" s="189">
        <v>11</v>
      </c>
    </row>
    <row r="125" spans="32:32" ht="11.45" customHeight="1">
      <c r="AF125" s="189">
        <v>11</v>
      </c>
    </row>
    <row r="126" spans="32:32" ht="11.45" customHeight="1">
      <c r="AF126" s="189">
        <v>11</v>
      </c>
    </row>
    <row r="127" spans="32:32" ht="11.45" customHeight="1">
      <c r="AF127" s="189">
        <v>11</v>
      </c>
    </row>
    <row r="128" spans="32:32" ht="11.45" customHeight="1">
      <c r="AF128" s="189">
        <v>11</v>
      </c>
    </row>
    <row r="129" spans="32:32" ht="11.45" customHeight="1">
      <c r="AF129" s="189">
        <v>11</v>
      </c>
    </row>
    <row r="130" spans="32:32" ht="11.45" customHeight="1">
      <c r="AF130" s="189">
        <v>11</v>
      </c>
    </row>
    <row r="131" spans="32:32" ht="11.45" customHeight="1">
      <c r="AF131" s="189">
        <v>11</v>
      </c>
    </row>
    <row r="132" spans="32:32" ht="11.45" customHeight="1">
      <c r="AF132" s="189">
        <v>11</v>
      </c>
    </row>
    <row r="133" spans="32:32" ht="11.45" customHeight="1">
      <c r="AF133" s="189">
        <v>11</v>
      </c>
    </row>
    <row r="134" spans="32:32" ht="11.45" customHeight="1">
      <c r="AF134" s="189">
        <v>11</v>
      </c>
    </row>
    <row r="135" spans="32:32" ht="11.45" customHeight="1">
      <c r="AF135" s="189">
        <v>11</v>
      </c>
    </row>
    <row r="136" spans="32:32" ht="11.45" customHeight="1">
      <c r="AF136" s="189">
        <v>11</v>
      </c>
    </row>
    <row r="137" spans="32:32" ht="11.45" customHeight="1">
      <c r="AF137" s="189">
        <v>11</v>
      </c>
    </row>
    <row r="138" spans="32:32" ht="11.45" customHeight="1">
      <c r="AF138" s="189">
        <v>11</v>
      </c>
    </row>
    <row r="139" spans="32:32" ht="11.45" customHeight="1">
      <c r="AF139" s="189">
        <v>11</v>
      </c>
    </row>
    <row r="140" spans="32:32" ht="11.45" customHeight="1">
      <c r="AF140" s="189">
        <v>11</v>
      </c>
    </row>
    <row r="141" spans="32:32" ht="11.45" customHeight="1">
      <c r="AF141" s="189">
        <v>11</v>
      </c>
    </row>
    <row r="142" spans="32:32" ht="11.45" customHeight="1">
      <c r="AF142" s="189">
        <v>11</v>
      </c>
    </row>
    <row r="143" spans="32:32" ht="11.45" customHeight="1">
      <c r="AF143" s="189">
        <v>11</v>
      </c>
    </row>
    <row r="144" spans="32:32" ht="11.45" customHeight="1">
      <c r="AF144" s="189">
        <v>11</v>
      </c>
    </row>
    <row r="145" spans="32:32" ht="11.45" customHeight="1">
      <c r="AF145" s="189">
        <v>11</v>
      </c>
    </row>
    <row r="146" spans="32:32" ht="11.45" customHeight="1">
      <c r="AF146" s="189">
        <v>11</v>
      </c>
    </row>
    <row r="147" spans="32:32" ht="11.45" customHeight="1">
      <c r="AF147" s="189">
        <v>11</v>
      </c>
    </row>
    <row r="148" spans="32:32" ht="11.45" customHeight="1">
      <c r="AF148" s="189">
        <v>11</v>
      </c>
    </row>
    <row r="149" spans="32:32" ht="11.45" customHeight="1">
      <c r="AF149" s="189">
        <v>11</v>
      </c>
    </row>
    <row r="150" spans="32:32" ht="11.45" customHeight="1">
      <c r="AF150" s="189">
        <v>11</v>
      </c>
    </row>
    <row r="151" spans="32:32" ht="11.45" customHeight="1">
      <c r="AF151" s="189">
        <v>11</v>
      </c>
    </row>
    <row r="152" spans="32:32" ht="11.45" customHeight="1">
      <c r="AF152" s="189">
        <v>11</v>
      </c>
    </row>
    <row r="153" spans="32:32" ht="11.45" customHeight="1">
      <c r="AF153" s="189">
        <v>11</v>
      </c>
    </row>
    <row r="154" spans="32:32" ht="11.45" customHeight="1">
      <c r="AF154" s="189">
        <v>11</v>
      </c>
    </row>
    <row r="155" spans="32:32" ht="11.45" customHeight="1">
      <c r="AF155" s="189">
        <v>11</v>
      </c>
    </row>
    <row r="156" spans="32:32" ht="11.45" customHeight="1">
      <c r="AF156" s="189">
        <v>11</v>
      </c>
    </row>
    <row r="157" spans="32:32" ht="11.45" customHeight="1">
      <c r="AF157" s="189">
        <v>11</v>
      </c>
    </row>
    <row r="158" spans="32:32" ht="11.45" customHeight="1">
      <c r="AF158" s="189">
        <v>11</v>
      </c>
    </row>
    <row r="159" spans="32:32" ht="11.45" customHeight="1">
      <c r="AF159" s="189">
        <v>11</v>
      </c>
    </row>
    <row r="160" spans="32:32" ht="11.45" customHeight="1">
      <c r="AF160" s="189">
        <v>11</v>
      </c>
    </row>
    <row r="161" spans="32:32" ht="11.45" customHeight="1">
      <c r="AF161" s="189">
        <v>11</v>
      </c>
    </row>
    <row r="162" spans="32:32" ht="11.45" customHeight="1">
      <c r="AF162" s="189">
        <v>11</v>
      </c>
    </row>
    <row r="163" spans="32:32" ht="11.45" customHeight="1">
      <c r="AF163" s="189">
        <v>11</v>
      </c>
    </row>
    <row r="164" spans="32:32" ht="11.45" customHeight="1">
      <c r="AF164" s="189">
        <v>11</v>
      </c>
    </row>
    <row r="165" spans="32:32" ht="11.45" customHeight="1">
      <c r="AF165" s="189">
        <v>11</v>
      </c>
    </row>
    <row r="166" spans="32:32" ht="11.45" customHeight="1">
      <c r="AF166" s="189">
        <v>11</v>
      </c>
    </row>
    <row r="167" spans="32:32" ht="11.45" customHeight="1">
      <c r="AF167" s="189">
        <v>11</v>
      </c>
    </row>
    <row r="168" spans="32:32" ht="11.45" customHeight="1">
      <c r="AF168" s="189">
        <v>11</v>
      </c>
    </row>
    <row r="169" spans="32:32" ht="11.45" customHeight="1">
      <c r="AF169" s="189">
        <v>11</v>
      </c>
    </row>
    <row r="170" spans="32:32" ht="11.45" customHeight="1">
      <c r="AF170" s="189">
        <v>11</v>
      </c>
    </row>
    <row r="171" spans="32:32" ht="11.45" customHeight="1">
      <c r="AF171" s="189">
        <v>11</v>
      </c>
    </row>
    <row r="172" spans="32:32" ht="11.45" customHeight="1">
      <c r="AF172" s="189">
        <v>11</v>
      </c>
    </row>
    <row r="173" spans="32:32" ht="11.45" customHeight="1">
      <c r="AF173" s="189">
        <v>11</v>
      </c>
    </row>
    <row r="174" spans="32:32" ht="11.45" customHeight="1">
      <c r="AF174" s="189">
        <v>11</v>
      </c>
    </row>
    <row r="175" spans="32:32" ht="11.45" customHeight="1">
      <c r="AF175" s="189">
        <v>11</v>
      </c>
    </row>
    <row r="176" spans="32:32" ht="11.45" customHeight="1">
      <c r="AF176" s="189">
        <v>11</v>
      </c>
    </row>
    <row r="177" spans="32:32" ht="11.45" customHeight="1">
      <c r="AF177" s="189">
        <v>11</v>
      </c>
    </row>
    <row r="178" spans="32:32" ht="11.45" customHeight="1">
      <c r="AF178" s="189">
        <v>11</v>
      </c>
    </row>
    <row r="179" spans="32:32" ht="11.45" customHeight="1">
      <c r="AF179" s="189">
        <v>11</v>
      </c>
    </row>
    <row r="180" spans="32:32" ht="11.45" customHeight="1">
      <c r="AF180" s="189">
        <v>11</v>
      </c>
    </row>
    <row r="181" spans="32:32" ht="11.45" customHeight="1">
      <c r="AF181" s="189">
        <v>11</v>
      </c>
    </row>
    <row r="182" spans="32:32" ht="11.45" customHeight="1">
      <c r="AF182" s="189">
        <v>11</v>
      </c>
    </row>
    <row r="183" spans="32:32" ht="11.45" customHeight="1">
      <c r="AF183" s="189">
        <v>11</v>
      </c>
    </row>
    <row r="184" spans="32:32" ht="11.45" customHeight="1">
      <c r="AF184" s="189">
        <v>11</v>
      </c>
    </row>
    <row r="185" spans="32:32" ht="11.45" customHeight="1">
      <c r="AF185" s="189">
        <v>11</v>
      </c>
    </row>
    <row r="186" spans="32:32" ht="11.45" customHeight="1">
      <c r="AF186" s="189">
        <v>11</v>
      </c>
    </row>
    <row r="187" spans="32:32" ht="11.45" customHeight="1">
      <c r="AF187" s="189">
        <v>11</v>
      </c>
    </row>
    <row r="188" spans="32:32" ht="11.45" customHeight="1">
      <c r="AF188" s="189">
        <v>11</v>
      </c>
    </row>
    <row r="189" spans="32:32" ht="11.45" customHeight="1">
      <c r="AF189" s="189">
        <v>11</v>
      </c>
    </row>
    <row r="190" spans="32:32" ht="11.45" customHeight="1">
      <c r="AF190" s="189">
        <v>11</v>
      </c>
    </row>
    <row r="191" spans="32:32" ht="11.45" customHeight="1">
      <c r="AF191" s="189">
        <v>11</v>
      </c>
    </row>
    <row r="192" spans="32:32" ht="11.45" customHeight="1">
      <c r="AF192" s="189">
        <v>11</v>
      </c>
    </row>
    <row r="193" spans="32:32" ht="11.45" customHeight="1">
      <c r="AF193" s="189">
        <v>11</v>
      </c>
    </row>
    <row r="194" spans="32:32" ht="11.45" customHeight="1">
      <c r="AF194" s="189">
        <v>11</v>
      </c>
    </row>
    <row r="195" spans="32:32" ht="11.45" customHeight="1">
      <c r="AF195" s="189">
        <v>11</v>
      </c>
    </row>
    <row r="196" spans="32:32" ht="11.45" customHeight="1">
      <c r="AF196" s="3">
        <v>11</v>
      </c>
    </row>
    <row r="197" spans="32:32" ht="11.45" customHeight="1">
      <c r="AF197" s="3">
        <v>11</v>
      </c>
    </row>
    <row r="198" spans="32:32" ht="11.45" customHeight="1">
      <c r="AF198" s="3">
        <v>11</v>
      </c>
    </row>
    <row r="199" spans="32:32" ht="11.45" customHeight="1">
      <c r="AF199" s="3">
        <v>11</v>
      </c>
    </row>
    <row r="200" spans="32:32" ht="11.45" customHeight="1">
      <c r="AF200" s="3">
        <v>11</v>
      </c>
    </row>
    <row r="201" spans="32:32" ht="11.45" customHeight="1">
      <c r="AF201" s="3">
        <v>11</v>
      </c>
    </row>
    <row r="202" spans="32:32" ht="11.45" customHeight="1">
      <c r="AF202" s="3">
        <v>11</v>
      </c>
    </row>
    <row r="203" spans="32:32" ht="11.45" customHeight="1">
      <c r="AF203" s="3">
        <v>11</v>
      </c>
    </row>
    <row r="204" spans="32:32" ht="11.45" customHeight="1">
      <c r="AF204" s="3">
        <v>11</v>
      </c>
    </row>
    <row r="205" spans="32:32" ht="11.45" customHeight="1">
      <c r="AF205" s="3">
        <v>11</v>
      </c>
    </row>
    <row r="206" spans="32:32" ht="11.45" customHeight="1">
      <c r="AF206" s="3">
        <v>11</v>
      </c>
    </row>
    <row r="207" spans="32:32" ht="11.45" customHeight="1">
      <c r="AF207" s="3">
        <v>11</v>
      </c>
    </row>
    <row r="208" spans="32:32" ht="11.45" customHeight="1">
      <c r="AF208" s="3">
        <v>11</v>
      </c>
    </row>
    <row r="209" spans="1:32" ht="11.45" customHeight="1">
      <c r="AF209" s="3">
        <v>11</v>
      </c>
    </row>
    <row r="210" spans="1:32" ht="11.25" hidden="1" customHeight="1">
      <c r="A210" s="423" t="s">
        <v>18</v>
      </c>
      <c r="B210" s="11">
        <v>0</v>
      </c>
      <c r="C210" s="24">
        <v>0</v>
      </c>
      <c r="D210" s="3">
        <v>3</v>
      </c>
      <c r="E210" s="3">
        <v>7</v>
      </c>
      <c r="F210" s="3">
        <v>54</v>
      </c>
      <c r="G210" s="3">
        <v>10</v>
      </c>
      <c r="H210" s="3">
        <v>0</v>
      </c>
      <c r="I210" s="3">
        <v>40</v>
      </c>
      <c r="J210" s="3">
        <v>102</v>
      </c>
      <c r="K210" s="11">
        <v>9</v>
      </c>
      <c r="L210" s="24">
        <v>5</v>
      </c>
      <c r="M210" s="24">
        <v>3</v>
      </c>
      <c r="N210" s="11">
        <v>3</v>
      </c>
      <c r="O210" s="11">
        <v>3</v>
      </c>
      <c r="P210" s="11">
        <v>3</v>
      </c>
      <c r="Q210" s="11">
        <v>3</v>
      </c>
      <c r="R210" s="24">
        <v>10</v>
      </c>
      <c r="S210" s="11">
        <v>34</v>
      </c>
      <c r="T210" s="11">
        <v>9</v>
      </c>
      <c r="U210" s="424">
        <v>8</v>
      </c>
      <c r="V210" s="11">
        <v>8</v>
      </c>
      <c r="W210" s="11">
        <v>8</v>
      </c>
      <c r="X210" s="11">
        <v>8</v>
      </c>
      <c r="Y210" s="11">
        <v>8</v>
      </c>
      <c r="Z210" s="11">
        <v>8</v>
      </c>
      <c r="AA210" s="2">
        <v>8</v>
      </c>
      <c r="AB210" s="2">
        <v>8</v>
      </c>
      <c r="AC210" s="2">
        <v>8</v>
      </c>
      <c r="AD210" s="2">
        <v>8</v>
      </c>
      <c r="AE210" s="2">
        <v>8</v>
      </c>
      <c r="AF210" s="3">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703125" defaultRowHeight="11.25" customHeight="1"/>
  <cols>
    <col min="1" max="1" width="9.140625" hidden="1" customWidth="1"/>
    <col min="2" max="2" width="3.5703125" hidden="1" customWidth="1"/>
    <col min="3" max="3" width="3" customWidth="1"/>
    <col min="4" max="4" width="7" customWidth="1"/>
    <col min="5" max="5" width="69" customWidth="1"/>
    <col min="6" max="6" width="10" customWidth="1"/>
    <col min="7" max="8" width="44" hidden="1" customWidth="1"/>
    <col min="9" max="9" width="44" customWidth="1"/>
    <col min="10" max="10" width="43" customWidth="1"/>
    <col min="11" max="11" width="73" customWidth="1"/>
    <col min="12" max="12" width="3" customWidth="1"/>
    <col min="13" max="23" width="10" customWidth="1"/>
    <col min="24" max="24" width="10.5703125" hidden="1"/>
  </cols>
  <sheetData>
    <row r="1" spans="1:24" ht="22.5" hidden="1" customHeight="1">
      <c r="G1" s="11">
        <v>4</v>
      </c>
      <c r="I1" s="11">
        <v>4</v>
      </c>
      <c r="K1" s="11">
        <v>5</v>
      </c>
      <c r="X1" s="11" t="s">
        <v>1</v>
      </c>
    </row>
    <row r="2" spans="1:24" ht="3" customHeight="1">
      <c r="X2" s="3">
        <v>3</v>
      </c>
    </row>
    <row r="3" spans="1:24" ht="78.75" customHeight="1">
      <c r="D3" s="89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892"/>
      <c r="F3" s="893"/>
      <c r="X3" s="3">
        <v>75</v>
      </c>
    </row>
    <row r="4" spans="1:24" ht="21" customHeight="1">
      <c r="D4" s="976" t="e">
        <f>IF(org=0,"Не определено",org)</f>
        <v>#REF!</v>
      </c>
      <c r="E4" s="977"/>
      <c r="F4" s="978"/>
      <c r="X4" s="3">
        <v>20</v>
      </c>
    </row>
    <row r="5" spans="1:24" ht="11.45" customHeight="1">
      <c r="H5" s="115"/>
      <c r="J5" s="115"/>
      <c r="X5" s="3">
        <v>11</v>
      </c>
    </row>
    <row r="6" spans="1:24" ht="1.1499999999999999" customHeight="1">
      <c r="G6" s="476"/>
      <c r="H6" s="476"/>
      <c r="I6" s="476" t="s">
        <v>42</v>
      </c>
      <c r="J6" s="476"/>
      <c r="X6" s="3">
        <v>1</v>
      </c>
    </row>
    <row r="7" spans="1:24" ht="11.45" customHeight="1">
      <c r="D7" s="380"/>
      <c r="E7" s="1086" t="s">
        <v>37</v>
      </c>
      <c r="F7" s="1087"/>
      <c r="G7" s="1105" t="str">
        <f>IF(G6="","",INDEX(DIFFERENTIATION_UNMERGE_VD,MATCH(G6,DIFFERENTIATION_ID_DIFF,0)))</f>
        <v/>
      </c>
      <c r="H7" s="1106"/>
      <c r="I7" s="1105" t="e">
        <f>IF(I6="","",INDEX(DIFFERENTIATION_UNMERGE_VD,MATCH(I6,DIFFERENTIATION_ID_DIFF,0)))</f>
        <v>#REF!</v>
      </c>
      <c r="J7" s="1106"/>
      <c r="K7" s="935"/>
      <c r="X7" s="3">
        <v>11</v>
      </c>
    </row>
    <row r="8" spans="1:24" ht="11.45" customHeight="1">
      <c r="D8" s="380"/>
      <c r="E8" s="1086" t="s">
        <v>487</v>
      </c>
      <c r="F8" s="1087"/>
      <c r="G8" s="1105" t="str">
        <f>IF(G6="","",INDEX(DIFFERENTIATION_UNMERGE_AREA,MATCH(G6,DIFFERENTIATION_ID_DIFF,0)))</f>
        <v/>
      </c>
      <c r="H8" s="1106"/>
      <c r="I8" s="1105" t="e">
        <f>IF(I6="","",INDEX(DIFFERENTIATION_UNMERGE_AREA,MATCH(I6,DIFFERENTIATION_ID_DIFF,0)))</f>
        <v>#REF!</v>
      </c>
      <c r="J8" s="1106"/>
      <c r="K8" s="940"/>
      <c r="X8" s="3">
        <v>11</v>
      </c>
    </row>
    <row r="9" spans="1:24" ht="11.45" customHeight="1">
      <c r="D9" s="380"/>
      <c r="E9" s="1086" t="s">
        <v>488</v>
      </c>
      <c r="F9" s="1087"/>
      <c r="G9" s="1105" t="str">
        <f>IF(G6="","",INDEX(DIFFERENTIATION_UNMERGE_SYSTEM,MATCH(G6,DIFFERENTIATION_ID_DIFF,0)))</f>
        <v/>
      </c>
      <c r="H9" s="1106"/>
      <c r="I9" s="1105" t="e">
        <f>IF(I6="","",INDEX(DIFFERENTIATION_UNMERGE_SYSTEM,MATCH(I6,DIFFERENTIATION_ID_DIFF,0)))</f>
        <v>#REF!</v>
      </c>
      <c r="J9" s="1106"/>
      <c r="K9" s="940"/>
      <c r="X9" s="3">
        <v>11</v>
      </c>
    </row>
    <row r="10" spans="1:24" ht="11.45" customHeight="1">
      <c r="D10" s="887" t="s">
        <v>223</v>
      </c>
      <c r="E10" s="890"/>
      <c r="F10" s="890"/>
      <c r="G10" s="890"/>
      <c r="H10" s="890"/>
      <c r="I10" s="890"/>
      <c r="J10" s="886"/>
      <c r="K10" s="940"/>
      <c r="X10" s="3">
        <v>11</v>
      </c>
    </row>
    <row r="11" spans="1:24" ht="24" customHeight="1">
      <c r="A11" s="885"/>
      <c r="B11" s="885"/>
      <c r="D11" s="30" t="s">
        <v>24</v>
      </c>
      <c r="E11" s="30" t="s">
        <v>730</v>
      </c>
      <c r="F11" s="30" t="s">
        <v>489</v>
      </c>
      <c r="G11" s="30" t="s">
        <v>226</v>
      </c>
      <c r="H11" s="30" t="s">
        <v>313</v>
      </c>
      <c r="I11" s="30" t="s">
        <v>226</v>
      </c>
      <c r="J11" s="7" t="s">
        <v>313</v>
      </c>
      <c r="K11" s="987"/>
      <c r="X11" s="3">
        <v>23</v>
      </c>
    </row>
    <row r="12" spans="1:24" ht="10.5" customHeight="1">
      <c r="D12" s="342" t="s">
        <v>31</v>
      </c>
      <c r="E12" s="342" t="s">
        <v>39</v>
      </c>
      <c r="F12" s="342" t="s">
        <v>26</v>
      </c>
      <c r="G12" s="22" t="str">
        <f>G1&amp;".1"</f>
        <v>4.1</v>
      </c>
      <c r="H12" s="22" t="str">
        <f>G1&amp;".2"</f>
        <v>4.2</v>
      </c>
      <c r="I12" s="22" t="str">
        <f>I1&amp;".1"</f>
        <v>4.1</v>
      </c>
      <c r="J12" s="22" t="str">
        <f>I1&amp;".2"</f>
        <v>4.2</v>
      </c>
      <c r="X12" s="24">
        <v>10</v>
      </c>
    </row>
    <row r="13" spans="1:24" ht="22.5" hidden="1" customHeight="1">
      <c r="A13" s="1107" t="s">
        <v>731</v>
      </c>
      <c r="D13" s="55" t="s">
        <v>31</v>
      </c>
      <c r="E13" s="96" t="s">
        <v>732</v>
      </c>
      <c r="F13" s="27" t="s">
        <v>733</v>
      </c>
      <c r="G13" s="384"/>
      <c r="H13" s="446"/>
      <c r="I13" s="384"/>
      <c r="J13" s="446"/>
      <c r="K13" s="227" t="s">
        <v>734</v>
      </c>
      <c r="L13" s="477"/>
      <c r="X13" s="3">
        <v>0</v>
      </c>
    </row>
    <row r="14" spans="1:24" ht="22.5" hidden="1" customHeight="1">
      <c r="A14" s="1107"/>
      <c r="D14" s="55" t="s">
        <v>39</v>
      </c>
      <c r="E14" s="96" t="s">
        <v>735</v>
      </c>
      <c r="F14" s="27" t="s">
        <v>736</v>
      </c>
      <c r="G14" s="384"/>
      <c r="H14" s="446"/>
      <c r="I14" s="384"/>
      <c r="J14" s="446"/>
      <c r="K14" s="227" t="s">
        <v>737</v>
      </c>
      <c r="L14" s="477"/>
      <c r="X14" s="3">
        <v>0</v>
      </c>
    </row>
    <row r="15" spans="1:24" ht="78.75" hidden="1" customHeight="1">
      <c r="A15" s="1107"/>
      <c r="D15" s="55" t="s">
        <v>26</v>
      </c>
      <c r="E15" s="96" t="s">
        <v>738</v>
      </c>
      <c r="F15" s="30" t="s">
        <v>229</v>
      </c>
      <c r="G15" s="30" t="s">
        <v>229</v>
      </c>
      <c r="H15" s="156"/>
      <c r="I15" s="30" t="s">
        <v>229</v>
      </c>
      <c r="J15" s="156"/>
      <c r="K15" s="227" t="s">
        <v>739</v>
      </c>
      <c r="L15" s="477"/>
      <c r="X15" s="3">
        <v>0</v>
      </c>
    </row>
    <row r="16" spans="1:24" ht="22.5" hidden="1" customHeight="1">
      <c r="A16" s="1107"/>
      <c r="D16" s="55" t="s">
        <v>247</v>
      </c>
      <c r="E16" s="352" t="s">
        <v>740</v>
      </c>
      <c r="F16" s="30" t="s">
        <v>741</v>
      </c>
      <c r="G16" s="478"/>
      <c r="H16" s="156"/>
      <c r="I16" s="478"/>
      <c r="J16" s="156"/>
      <c r="K16" s="227"/>
      <c r="L16" s="477"/>
      <c r="X16" s="3">
        <v>0</v>
      </c>
    </row>
    <row r="17" spans="1:24" ht="22.5" hidden="1" customHeight="1">
      <c r="A17" s="1107"/>
      <c r="D17" s="55" t="s">
        <v>255</v>
      </c>
      <c r="E17" s="352" t="s">
        <v>742</v>
      </c>
      <c r="F17" s="30" t="s">
        <v>743</v>
      </c>
      <c r="G17" s="478"/>
      <c r="H17" s="156"/>
      <c r="I17" s="478"/>
      <c r="J17" s="156"/>
      <c r="K17" s="227"/>
      <c r="L17" s="477"/>
      <c r="X17" s="3">
        <v>0</v>
      </c>
    </row>
    <row r="18" spans="1:24" ht="33.75" hidden="1" customHeight="1">
      <c r="A18" s="1107"/>
      <c r="D18" s="55" t="s">
        <v>257</v>
      </c>
      <c r="E18" s="352" t="s">
        <v>744</v>
      </c>
      <c r="F18" s="30" t="s">
        <v>494</v>
      </c>
      <c r="G18" s="479"/>
      <c r="H18" s="156"/>
      <c r="I18" s="479"/>
      <c r="J18" s="156"/>
      <c r="K18" s="227"/>
      <c r="L18" s="477"/>
      <c r="X18" s="3">
        <v>0</v>
      </c>
    </row>
    <row r="19" spans="1:24" ht="101.25" hidden="1" customHeight="1">
      <c r="A19" s="1107"/>
      <c r="D19" s="55" t="s">
        <v>27</v>
      </c>
      <c r="E19" s="96" t="s">
        <v>745</v>
      </c>
      <c r="F19" s="27" t="s">
        <v>469</v>
      </c>
      <c r="G19" s="204"/>
      <c r="H19" s="446"/>
      <c r="I19" s="204"/>
      <c r="J19" s="446"/>
      <c r="K19" s="227" t="s">
        <v>746</v>
      </c>
      <c r="L19" s="477"/>
      <c r="X19" s="3">
        <v>0</v>
      </c>
    </row>
    <row r="20" spans="1:24" ht="18.75" hidden="1" customHeight="1">
      <c r="A20" s="1107"/>
      <c r="D20" s="55" t="s">
        <v>677</v>
      </c>
      <c r="E20" s="352" t="s">
        <v>747</v>
      </c>
      <c r="F20" s="30" t="s">
        <v>229</v>
      </c>
      <c r="G20" s="30" t="s">
        <v>229</v>
      </c>
      <c r="H20" s="92" t="s">
        <v>229</v>
      </c>
      <c r="I20" s="30" t="s">
        <v>229</v>
      </c>
      <c r="J20" s="92" t="s">
        <v>229</v>
      </c>
      <c r="K20" s="7"/>
      <c r="L20" s="477"/>
      <c r="X20" s="3">
        <v>0</v>
      </c>
    </row>
    <row r="21" spans="1:24" ht="33.75" hidden="1" customHeight="1">
      <c r="A21" s="1107"/>
      <c r="D21" s="55" t="s">
        <v>680</v>
      </c>
      <c r="E21" s="396" t="s">
        <v>748</v>
      </c>
      <c r="F21" s="30" t="s">
        <v>749</v>
      </c>
      <c r="G21" s="479"/>
      <c r="H21" s="156"/>
      <c r="I21" s="479"/>
      <c r="J21" s="156"/>
      <c r="K21" s="7"/>
      <c r="L21" s="477"/>
      <c r="X21" s="3">
        <v>0</v>
      </c>
    </row>
    <row r="22" spans="1:24" ht="33.75" hidden="1" customHeight="1">
      <c r="A22" s="1107"/>
      <c r="D22" s="55" t="s">
        <v>683</v>
      </c>
      <c r="E22" s="396" t="s">
        <v>750</v>
      </c>
      <c r="F22" s="30" t="s">
        <v>751</v>
      </c>
      <c r="G22" s="479"/>
      <c r="H22" s="156"/>
      <c r="I22" s="479"/>
      <c r="J22" s="156"/>
      <c r="K22" s="7"/>
      <c r="L22" s="477"/>
      <c r="X22" s="3">
        <v>0</v>
      </c>
    </row>
    <row r="23" spans="1:24" ht="22.5" hidden="1" customHeight="1">
      <c r="A23" s="1107"/>
      <c r="D23" s="55" t="s">
        <v>719</v>
      </c>
      <c r="E23" s="352" t="s">
        <v>752</v>
      </c>
      <c r="F23" s="30" t="s">
        <v>229</v>
      </c>
      <c r="G23" s="30" t="s">
        <v>229</v>
      </c>
      <c r="H23" s="92" t="s">
        <v>229</v>
      </c>
      <c r="I23" s="30" t="s">
        <v>229</v>
      </c>
      <c r="J23" s="92" t="s">
        <v>229</v>
      </c>
      <c r="K23" s="7"/>
      <c r="L23" s="477"/>
      <c r="X23" s="3">
        <v>0</v>
      </c>
    </row>
    <row r="24" spans="1:24" ht="22.5" hidden="1" customHeight="1">
      <c r="A24" s="1107"/>
      <c r="D24" s="55" t="s">
        <v>753</v>
      </c>
      <c r="E24" s="396" t="s">
        <v>754</v>
      </c>
      <c r="F24" s="30" t="s">
        <v>755</v>
      </c>
      <c r="G24" s="479"/>
      <c r="H24" s="356"/>
      <c r="I24" s="479"/>
      <c r="J24" s="356"/>
      <c r="K24" s="7"/>
      <c r="L24" s="477"/>
      <c r="X24" s="3">
        <v>0</v>
      </c>
    </row>
    <row r="25" spans="1:24" ht="22.5" hidden="1" customHeight="1">
      <c r="A25" s="1107"/>
      <c r="D25" s="55" t="s">
        <v>756</v>
      </c>
      <c r="E25" s="396" t="s">
        <v>757</v>
      </c>
      <c r="F25" s="30" t="s">
        <v>229</v>
      </c>
      <c r="G25" s="30" t="s">
        <v>229</v>
      </c>
      <c r="H25" s="92" t="s">
        <v>229</v>
      </c>
      <c r="I25" s="30" t="s">
        <v>229</v>
      </c>
      <c r="J25" s="92" t="s">
        <v>229</v>
      </c>
      <c r="K25" s="7"/>
      <c r="L25" s="477"/>
      <c r="X25" s="3">
        <v>0</v>
      </c>
    </row>
    <row r="26" spans="1:24" ht="18.75" hidden="1" customHeight="1">
      <c r="A26" s="1107"/>
      <c r="D26" s="55" t="s">
        <v>758</v>
      </c>
      <c r="E26" s="373" t="s">
        <v>759</v>
      </c>
      <c r="F26" s="30" t="s">
        <v>760</v>
      </c>
      <c r="G26" s="479"/>
      <c r="H26" s="356"/>
      <c r="I26" s="479"/>
      <c r="J26" s="356"/>
      <c r="K26" s="7"/>
      <c r="L26" s="477"/>
      <c r="X26" s="3">
        <v>0</v>
      </c>
    </row>
    <row r="27" spans="1:24" ht="18.75" hidden="1" customHeight="1">
      <c r="A27" s="1107"/>
      <c r="D27" s="55" t="s">
        <v>761</v>
      </c>
      <c r="E27" s="373" t="s">
        <v>762</v>
      </c>
      <c r="F27" s="30" t="s">
        <v>763</v>
      </c>
      <c r="G27" s="479"/>
      <c r="H27" s="356"/>
      <c r="I27" s="479"/>
      <c r="J27" s="356"/>
      <c r="K27" s="7"/>
      <c r="L27" s="477"/>
      <c r="X27" s="3">
        <v>0</v>
      </c>
    </row>
    <row r="28" spans="1:24" ht="18.75" hidden="1" customHeight="1">
      <c r="A28" s="1107"/>
      <c r="D28" s="55" t="s">
        <v>764</v>
      </c>
      <c r="E28" s="396" t="s">
        <v>765</v>
      </c>
      <c r="F28" s="30" t="s">
        <v>229</v>
      </c>
      <c r="G28" s="30" t="s">
        <v>229</v>
      </c>
      <c r="H28" s="92" t="s">
        <v>229</v>
      </c>
      <c r="I28" s="30" t="s">
        <v>229</v>
      </c>
      <c r="J28" s="92" t="s">
        <v>229</v>
      </c>
      <c r="K28" s="7"/>
      <c r="L28" s="477"/>
      <c r="X28" s="3">
        <v>0</v>
      </c>
    </row>
    <row r="29" spans="1:24" ht="18.75" hidden="1" customHeight="1">
      <c r="A29" s="1107"/>
      <c r="D29" s="55" t="s">
        <v>766</v>
      </c>
      <c r="E29" s="373" t="s">
        <v>759</v>
      </c>
      <c r="F29" s="30" t="s">
        <v>767</v>
      </c>
      <c r="G29" s="479"/>
      <c r="H29" s="356"/>
      <c r="I29" s="479"/>
      <c r="J29" s="356"/>
      <c r="K29" s="7"/>
      <c r="L29" s="477"/>
      <c r="X29" s="3">
        <v>0</v>
      </c>
    </row>
    <row r="30" spans="1:24" ht="18.75" hidden="1" customHeight="1">
      <c r="A30" s="1107"/>
      <c r="D30" s="55" t="s">
        <v>768</v>
      </c>
      <c r="E30" s="373" t="s">
        <v>769</v>
      </c>
      <c r="F30" s="30" t="s">
        <v>770</v>
      </c>
      <c r="G30" s="479"/>
      <c r="H30" s="356"/>
      <c r="I30" s="479"/>
      <c r="J30" s="356"/>
      <c r="K30" s="7"/>
      <c r="L30" s="477"/>
      <c r="X30" s="3">
        <v>0</v>
      </c>
    </row>
    <row r="31" spans="1:24" ht="126.75" hidden="1" customHeight="1">
      <c r="A31" s="1107"/>
      <c r="D31" s="55" t="s">
        <v>40</v>
      </c>
      <c r="E31" s="96" t="s">
        <v>771</v>
      </c>
      <c r="F31" s="27" t="s">
        <v>481</v>
      </c>
      <c r="G31" s="384"/>
      <c r="H31" s="446"/>
      <c r="I31" s="384"/>
      <c r="J31" s="446"/>
      <c r="K31" s="227" t="s">
        <v>772</v>
      </c>
      <c r="L31" s="477"/>
      <c r="X31" s="3">
        <v>0</v>
      </c>
    </row>
    <row r="32" spans="1:24" ht="56.25" hidden="1" customHeight="1">
      <c r="A32" s="1107"/>
      <c r="D32" s="55" t="s">
        <v>28</v>
      </c>
      <c r="E32" s="96" t="s">
        <v>773</v>
      </c>
      <c r="F32" s="55" t="s">
        <v>743</v>
      </c>
      <c r="G32" s="384"/>
      <c r="H32" s="446"/>
      <c r="I32" s="384"/>
      <c r="J32" s="446"/>
      <c r="K32" s="227" t="s">
        <v>774</v>
      </c>
      <c r="L32" s="477"/>
      <c r="X32" s="3">
        <v>0</v>
      </c>
    </row>
    <row r="33" spans="1:24" ht="11.25" hidden="1" customHeight="1">
      <c r="A33" s="1107"/>
      <c r="X33" s="3">
        <v>0</v>
      </c>
    </row>
    <row r="34" spans="1:24" ht="12.75" hidden="1" customHeight="1">
      <c r="A34" s="1107"/>
      <c r="D34" s="480">
        <v>1</v>
      </c>
      <c r="E34" s="481" t="s">
        <v>775</v>
      </c>
      <c r="X34" s="3">
        <v>0</v>
      </c>
    </row>
    <row r="35" spans="1:24" ht="11.25" hidden="1" customHeight="1">
      <c r="A35" s="1107"/>
      <c r="E35" s="481" t="s">
        <v>776</v>
      </c>
      <c r="X35" s="3">
        <v>0</v>
      </c>
    </row>
    <row r="36" spans="1:24" ht="11.45" customHeight="1">
      <c r="X36" s="3">
        <v>11</v>
      </c>
    </row>
    <row r="37" spans="1:24" ht="22.5" hidden="1" customHeight="1">
      <c r="A37" s="1107" t="s">
        <v>777</v>
      </c>
      <c r="D37" s="55">
        <v>1</v>
      </c>
      <c r="E37" s="96" t="s">
        <v>778</v>
      </c>
      <c r="F37" s="27" t="s">
        <v>733</v>
      </c>
      <c r="G37" s="384"/>
      <c r="H37" s="482"/>
      <c r="I37" s="384"/>
      <c r="J37" s="482"/>
      <c r="K37" s="227" t="s">
        <v>779</v>
      </c>
      <c r="X37" s="3">
        <v>0</v>
      </c>
    </row>
    <row r="38" spans="1:24" ht="22.5" hidden="1" customHeight="1">
      <c r="A38" s="1107"/>
      <c r="D38" s="483" t="s">
        <v>39</v>
      </c>
      <c r="E38" s="484" t="s">
        <v>780</v>
      </c>
      <c r="F38" s="485" t="s">
        <v>469</v>
      </c>
      <c r="G38" s="485" t="s">
        <v>469</v>
      </c>
      <c r="H38" s="486"/>
      <c r="I38" s="485" t="s">
        <v>469</v>
      </c>
      <c r="J38" s="486"/>
      <c r="K38" s="274"/>
      <c r="X38" s="3">
        <v>0</v>
      </c>
    </row>
    <row r="39" spans="1:24" ht="33.75" hidden="1" customHeight="1">
      <c r="A39" s="1107"/>
      <c r="D39" s="487" t="s">
        <v>635</v>
      </c>
      <c r="E39" s="488" t="s">
        <v>781</v>
      </c>
      <c r="F39" s="27" t="s">
        <v>782</v>
      </c>
      <c r="G39" s="489"/>
      <c r="H39" s="490"/>
      <c r="I39" s="489"/>
      <c r="J39" s="490"/>
      <c r="K39" s="227" t="s">
        <v>783</v>
      </c>
      <c r="X39" s="3">
        <v>0</v>
      </c>
    </row>
    <row r="40" spans="1:24" ht="33.75" hidden="1" customHeight="1">
      <c r="A40" s="1107"/>
      <c r="D40" s="487" t="s">
        <v>638</v>
      </c>
      <c r="E40" s="488" t="s">
        <v>784</v>
      </c>
      <c r="F40" s="491" t="s">
        <v>785</v>
      </c>
      <c r="G40" s="492"/>
      <c r="H40" s="490"/>
      <c r="I40" s="492"/>
      <c r="J40" s="490"/>
      <c r="K40" s="227" t="s">
        <v>786</v>
      </c>
      <c r="X40" s="3">
        <v>0</v>
      </c>
    </row>
    <row r="41" spans="1:24" ht="22.5" hidden="1" customHeight="1">
      <c r="A41" s="1107"/>
      <c r="D41" s="487" t="s">
        <v>26</v>
      </c>
      <c r="E41" s="493" t="s">
        <v>787</v>
      </c>
      <c r="F41" s="27" t="s">
        <v>469</v>
      </c>
      <c r="G41" s="27" t="s">
        <v>469</v>
      </c>
      <c r="H41" s="494"/>
      <c r="I41" s="27" t="s">
        <v>469</v>
      </c>
      <c r="J41" s="494"/>
      <c r="K41" s="275"/>
      <c r="X41" s="3">
        <v>0</v>
      </c>
    </row>
    <row r="42" spans="1:24" ht="45" hidden="1" customHeight="1">
      <c r="A42" s="1107"/>
      <c r="D42" s="487" t="s">
        <v>247</v>
      </c>
      <c r="E42" s="488" t="s">
        <v>788</v>
      </c>
      <c r="F42" s="27" t="s">
        <v>481</v>
      </c>
      <c r="G42" s="384"/>
      <c r="H42" s="494"/>
      <c r="I42" s="384"/>
      <c r="J42" s="494"/>
      <c r="K42" s="275" t="s">
        <v>789</v>
      </c>
      <c r="X42" s="3">
        <v>0</v>
      </c>
    </row>
    <row r="43" spans="1:24" ht="45" hidden="1" customHeight="1">
      <c r="A43" s="1107"/>
      <c r="D43" s="487" t="s">
        <v>255</v>
      </c>
      <c r="E43" s="495" t="s">
        <v>790</v>
      </c>
      <c r="F43" s="496" t="s">
        <v>481</v>
      </c>
      <c r="G43" s="413"/>
      <c r="H43" s="490"/>
      <c r="I43" s="413"/>
      <c r="J43" s="490"/>
      <c r="K43" s="275" t="s">
        <v>791</v>
      </c>
      <c r="X43" s="3">
        <v>0</v>
      </c>
    </row>
    <row r="44" spans="1:24" ht="11.25" hidden="1" customHeight="1">
      <c r="A44" s="1107"/>
      <c r="D44" s="487" t="s">
        <v>27</v>
      </c>
      <c r="E44" s="497" t="s">
        <v>792</v>
      </c>
      <c r="F44" s="27" t="s">
        <v>782</v>
      </c>
      <c r="G44" s="489"/>
      <c r="H44" s="490"/>
      <c r="I44" s="489"/>
      <c r="J44" s="490"/>
      <c r="K44" s="227"/>
      <c r="X44" s="3">
        <v>0</v>
      </c>
    </row>
    <row r="45" spans="1:24" ht="11.25" hidden="1" customHeight="1">
      <c r="A45" s="1107"/>
      <c r="D45" s="487" t="s">
        <v>677</v>
      </c>
      <c r="E45" s="495" t="s">
        <v>793</v>
      </c>
      <c r="F45" s="27" t="s">
        <v>782</v>
      </c>
      <c r="G45" s="489"/>
      <c r="H45" s="490"/>
      <c r="I45" s="489"/>
      <c r="J45" s="490"/>
      <c r="K45" s="227"/>
      <c r="X45" s="3">
        <v>0</v>
      </c>
    </row>
    <row r="46" spans="1:24" ht="11.25" hidden="1" customHeight="1">
      <c r="A46" s="1107"/>
      <c r="D46" s="487" t="s">
        <v>719</v>
      </c>
      <c r="E46" s="495" t="s">
        <v>794</v>
      </c>
      <c r="F46" s="27" t="s">
        <v>782</v>
      </c>
      <c r="G46" s="489"/>
      <c r="H46" s="490"/>
      <c r="I46" s="489"/>
      <c r="J46" s="490"/>
      <c r="K46" s="227"/>
      <c r="X46" s="3">
        <v>0</v>
      </c>
    </row>
    <row r="47" spans="1:24" ht="11.25" hidden="1" customHeight="1">
      <c r="A47" s="1107"/>
      <c r="D47" s="487" t="s">
        <v>722</v>
      </c>
      <c r="E47" s="495" t="s">
        <v>795</v>
      </c>
      <c r="F47" s="27" t="s">
        <v>782</v>
      </c>
      <c r="G47" s="489"/>
      <c r="H47" s="490"/>
      <c r="I47" s="489"/>
      <c r="J47" s="490"/>
      <c r="K47" s="227"/>
      <c r="X47" s="3">
        <v>0</v>
      </c>
    </row>
    <row r="48" spans="1:24" ht="11.25" hidden="1" customHeight="1">
      <c r="A48" s="1107"/>
      <c r="D48" s="487" t="s">
        <v>796</v>
      </c>
      <c r="E48" s="498" t="s">
        <v>797</v>
      </c>
      <c r="F48" s="27" t="s">
        <v>782</v>
      </c>
      <c r="G48" s="489"/>
      <c r="H48" s="490"/>
      <c r="I48" s="489"/>
      <c r="J48" s="490"/>
      <c r="K48" s="227"/>
      <c r="X48" s="3">
        <v>0</v>
      </c>
    </row>
    <row r="49" spans="1:24" ht="11.25" hidden="1" customHeight="1">
      <c r="A49" s="1107"/>
      <c r="D49" s="487" t="s">
        <v>798</v>
      </c>
      <c r="E49" s="498" t="s">
        <v>799</v>
      </c>
      <c r="F49" s="27" t="s">
        <v>782</v>
      </c>
      <c r="G49" s="489"/>
      <c r="H49" s="490"/>
      <c r="I49" s="489"/>
      <c r="J49" s="490"/>
      <c r="K49" s="227"/>
      <c r="X49" s="3">
        <v>0</v>
      </c>
    </row>
    <row r="50" spans="1:24" ht="11.25" hidden="1" customHeight="1">
      <c r="A50" s="1107"/>
      <c r="D50" s="487" t="s">
        <v>800</v>
      </c>
      <c r="E50" s="495" t="s">
        <v>801</v>
      </c>
      <c r="F50" s="27" t="s">
        <v>782</v>
      </c>
      <c r="G50" s="489"/>
      <c r="H50" s="490"/>
      <c r="I50" s="489"/>
      <c r="J50" s="490"/>
      <c r="K50" s="227"/>
      <c r="X50" s="3">
        <v>0</v>
      </c>
    </row>
    <row r="51" spans="1:24" ht="11.25" hidden="1" customHeight="1">
      <c r="A51" s="1107"/>
      <c r="D51" s="487" t="s">
        <v>802</v>
      </c>
      <c r="E51" s="495" t="s">
        <v>803</v>
      </c>
      <c r="F51" s="27" t="s">
        <v>782</v>
      </c>
      <c r="G51" s="489"/>
      <c r="H51" s="490"/>
      <c r="I51" s="489"/>
      <c r="J51" s="490"/>
      <c r="K51" s="227"/>
      <c r="X51" s="3">
        <v>0</v>
      </c>
    </row>
    <row r="52" spans="1:24" ht="45" hidden="1" customHeight="1">
      <c r="A52" s="1107"/>
      <c r="D52" s="487" t="s">
        <v>40</v>
      </c>
      <c r="E52" s="497" t="s">
        <v>804</v>
      </c>
      <c r="F52" s="27" t="s">
        <v>782</v>
      </c>
      <c r="G52" s="489"/>
      <c r="H52" s="490"/>
      <c r="I52" s="489"/>
      <c r="J52" s="490"/>
      <c r="K52" s="227"/>
      <c r="X52" s="3">
        <v>0</v>
      </c>
    </row>
    <row r="53" spans="1:24" ht="11.25" hidden="1" customHeight="1">
      <c r="A53" s="1107"/>
      <c r="D53" s="487" t="s">
        <v>236</v>
      </c>
      <c r="E53" s="495" t="s">
        <v>793</v>
      </c>
      <c r="F53" s="27" t="s">
        <v>782</v>
      </c>
      <c r="G53" s="489"/>
      <c r="H53" s="490"/>
      <c r="I53" s="489"/>
      <c r="J53" s="490"/>
      <c r="K53" s="227"/>
      <c r="X53" s="3">
        <v>0</v>
      </c>
    </row>
    <row r="54" spans="1:24" ht="11.25" hidden="1" customHeight="1">
      <c r="A54" s="1107"/>
      <c r="D54" s="487" t="s">
        <v>805</v>
      </c>
      <c r="E54" s="495" t="s">
        <v>794</v>
      </c>
      <c r="F54" s="27" t="s">
        <v>782</v>
      </c>
      <c r="G54" s="489"/>
      <c r="H54" s="490"/>
      <c r="I54" s="489"/>
      <c r="J54" s="490"/>
      <c r="K54" s="227"/>
      <c r="X54" s="3">
        <v>0</v>
      </c>
    </row>
    <row r="55" spans="1:24" ht="11.25" hidden="1" customHeight="1">
      <c r="A55" s="1107"/>
      <c r="D55" s="487" t="s">
        <v>806</v>
      </c>
      <c r="E55" s="495" t="s">
        <v>795</v>
      </c>
      <c r="F55" s="27" t="s">
        <v>782</v>
      </c>
      <c r="G55" s="489"/>
      <c r="H55" s="490"/>
      <c r="I55" s="489"/>
      <c r="J55" s="490"/>
      <c r="K55" s="227"/>
      <c r="X55" s="3">
        <v>0</v>
      </c>
    </row>
    <row r="56" spans="1:24" ht="11.25" hidden="1" customHeight="1">
      <c r="A56" s="1107"/>
      <c r="D56" s="487" t="s">
        <v>807</v>
      </c>
      <c r="E56" s="498" t="s">
        <v>797</v>
      </c>
      <c r="F56" s="27" t="s">
        <v>782</v>
      </c>
      <c r="G56" s="489"/>
      <c r="H56" s="490"/>
      <c r="I56" s="489"/>
      <c r="J56" s="490"/>
      <c r="K56" s="227"/>
      <c r="X56" s="3">
        <v>0</v>
      </c>
    </row>
    <row r="57" spans="1:24" ht="11.25" hidden="1" customHeight="1">
      <c r="A57" s="1107"/>
      <c r="D57" s="487" t="s">
        <v>808</v>
      </c>
      <c r="E57" s="498" t="s">
        <v>799</v>
      </c>
      <c r="F57" s="27" t="s">
        <v>782</v>
      </c>
      <c r="G57" s="489"/>
      <c r="H57" s="490"/>
      <c r="I57" s="489"/>
      <c r="J57" s="490"/>
      <c r="K57" s="227"/>
      <c r="X57" s="3">
        <v>0</v>
      </c>
    </row>
    <row r="58" spans="1:24" ht="11.25" hidden="1" customHeight="1">
      <c r="A58" s="1107"/>
      <c r="D58" s="487" t="s">
        <v>809</v>
      </c>
      <c r="E58" s="495" t="s">
        <v>801</v>
      </c>
      <c r="F58" s="27" t="s">
        <v>782</v>
      </c>
      <c r="G58" s="489"/>
      <c r="H58" s="490"/>
      <c r="I58" s="489"/>
      <c r="J58" s="490"/>
      <c r="K58" s="227"/>
      <c r="X58" s="3">
        <v>0</v>
      </c>
    </row>
    <row r="59" spans="1:24" ht="11.25" hidden="1" customHeight="1">
      <c r="A59" s="1107"/>
      <c r="D59" s="487" t="s">
        <v>810</v>
      </c>
      <c r="E59" s="495" t="s">
        <v>803</v>
      </c>
      <c r="F59" s="27" t="s">
        <v>782</v>
      </c>
      <c r="G59" s="489"/>
      <c r="H59" s="490"/>
      <c r="I59" s="489"/>
      <c r="J59" s="490"/>
      <c r="K59" s="227"/>
      <c r="X59" s="3">
        <v>0</v>
      </c>
    </row>
    <row r="60" spans="1:24" ht="33.75" hidden="1" customHeight="1">
      <c r="A60" s="1107"/>
      <c r="D60" s="487" t="s">
        <v>28</v>
      </c>
      <c r="E60" s="497" t="s">
        <v>811</v>
      </c>
      <c r="F60" s="499" t="s">
        <v>481</v>
      </c>
      <c r="G60" s="413"/>
      <c r="H60" s="490"/>
      <c r="I60" s="413"/>
      <c r="J60" s="490"/>
      <c r="K60" s="275" t="s">
        <v>812</v>
      </c>
      <c r="X60" s="3">
        <v>0</v>
      </c>
    </row>
    <row r="61" spans="1:24" ht="33.75" hidden="1" customHeight="1">
      <c r="A61" s="1107"/>
      <c r="D61" s="487" t="s">
        <v>29</v>
      </c>
      <c r="E61" s="497" t="s">
        <v>813</v>
      </c>
      <c r="F61" s="500" t="s">
        <v>743</v>
      </c>
      <c r="G61" s="489"/>
      <c r="H61" s="490"/>
      <c r="I61" s="489"/>
      <c r="J61" s="490"/>
      <c r="K61" s="227"/>
      <c r="X61" s="3">
        <v>0</v>
      </c>
    </row>
    <row r="62" spans="1:24" ht="22.5" hidden="1" customHeight="1">
      <c r="A62" s="1107"/>
      <c r="B62" s="24" t="s">
        <v>511</v>
      </c>
      <c r="D62" s="487" t="s">
        <v>41</v>
      </c>
      <c r="E62" s="497" t="s">
        <v>814</v>
      </c>
      <c r="F62" s="500" t="s">
        <v>229</v>
      </c>
      <c r="G62" s="218"/>
      <c r="H62" s="490"/>
      <c r="I62" s="218"/>
      <c r="J62" s="490"/>
      <c r="K62" s="227" t="s">
        <v>554</v>
      </c>
      <c r="X62" s="3">
        <v>0</v>
      </c>
    </row>
    <row r="63" spans="1:24" ht="45" hidden="1" customHeight="1">
      <c r="A63" s="1107"/>
      <c r="B63" s="24" t="s">
        <v>511</v>
      </c>
      <c r="D63" s="487" t="s">
        <v>815</v>
      </c>
      <c r="E63" s="495" t="s">
        <v>816</v>
      </c>
      <c r="F63" s="499" t="s">
        <v>229</v>
      </c>
      <c r="G63" s="218"/>
      <c r="H63" s="490"/>
      <c r="I63" s="218"/>
      <c r="J63" s="490"/>
      <c r="K63" s="227" t="s">
        <v>554</v>
      </c>
      <c r="X63" s="3">
        <v>0</v>
      </c>
    </row>
    <row r="64" spans="1:24" ht="11.45" customHeight="1">
      <c r="X64" s="3">
        <v>11</v>
      </c>
    </row>
    <row r="65" spans="1:24" ht="22.5" customHeight="1">
      <c r="A65" s="1107" t="s">
        <v>817</v>
      </c>
      <c r="D65" s="487">
        <v>1</v>
      </c>
      <c r="E65" s="501" t="s">
        <v>818</v>
      </c>
      <c r="F65" s="502" t="s">
        <v>733</v>
      </c>
      <c r="G65" s="492"/>
      <c r="H65" s="503"/>
      <c r="I65" s="492"/>
      <c r="J65" s="503"/>
      <c r="K65" s="272" t="s">
        <v>819</v>
      </c>
      <c r="X65" s="3">
        <v>0</v>
      </c>
    </row>
    <row r="66" spans="1:24" ht="56.25" customHeight="1">
      <c r="A66" s="1107"/>
      <c r="D66" s="504" t="s">
        <v>39</v>
      </c>
      <c r="E66" s="96" t="s">
        <v>820</v>
      </c>
      <c r="F66" s="27" t="s">
        <v>469</v>
      </c>
      <c r="G66" s="27" t="s">
        <v>469</v>
      </c>
      <c r="H66" s="482"/>
      <c r="I66" s="27" t="s">
        <v>469</v>
      </c>
      <c r="J66" s="482"/>
      <c r="K66" s="227"/>
      <c r="X66" s="3">
        <v>0</v>
      </c>
    </row>
    <row r="67" spans="1:24" ht="33.75" customHeight="1">
      <c r="A67" s="1107"/>
      <c r="D67" s="504" t="s">
        <v>632</v>
      </c>
      <c r="E67" s="352" t="s">
        <v>821</v>
      </c>
      <c r="F67" s="27" t="s">
        <v>785</v>
      </c>
      <c r="G67" s="453"/>
      <c r="H67" s="482"/>
      <c r="I67" s="453"/>
      <c r="J67" s="482"/>
      <c r="K67" s="227"/>
      <c r="X67" s="3">
        <v>0</v>
      </c>
    </row>
    <row r="68" spans="1:24" ht="22.5" customHeight="1">
      <c r="A68" s="1107"/>
      <c r="D68" s="504" t="s">
        <v>230</v>
      </c>
      <c r="E68" s="352" t="s">
        <v>822</v>
      </c>
      <c r="F68" s="27" t="s">
        <v>785</v>
      </c>
      <c r="G68" s="453"/>
      <c r="H68" s="482"/>
      <c r="I68" s="453"/>
      <c r="J68" s="482"/>
      <c r="K68" s="227"/>
      <c r="X68" s="3">
        <v>0</v>
      </c>
    </row>
    <row r="69" spans="1:24" ht="22.5" customHeight="1">
      <c r="A69" s="1107"/>
      <c r="D69" s="504" t="s">
        <v>233</v>
      </c>
      <c r="E69" s="352" t="s">
        <v>823</v>
      </c>
      <c r="F69" s="499" t="s">
        <v>481</v>
      </c>
      <c r="G69" s="413"/>
      <c r="H69" s="482"/>
      <c r="I69" s="413"/>
      <c r="J69" s="482"/>
      <c r="K69" s="227"/>
      <c r="X69" s="3">
        <v>0</v>
      </c>
    </row>
    <row r="70" spans="1:24" ht="22.5" customHeight="1">
      <c r="A70" s="1107"/>
      <c r="D70" s="504" t="s">
        <v>652</v>
      </c>
      <c r="E70" s="352" t="s">
        <v>824</v>
      </c>
      <c r="F70" s="499" t="s">
        <v>481</v>
      </c>
      <c r="G70" s="413"/>
      <c r="H70" s="482"/>
      <c r="I70" s="413"/>
      <c r="J70" s="482"/>
      <c r="K70" s="227"/>
      <c r="X70" s="3">
        <v>0</v>
      </c>
    </row>
    <row r="71" spans="1:24" ht="22.5" customHeight="1">
      <c r="A71" s="1107"/>
      <c r="D71" s="487" t="s">
        <v>26</v>
      </c>
      <c r="E71" s="497" t="s">
        <v>825</v>
      </c>
      <c r="F71" s="27" t="s">
        <v>785</v>
      </c>
      <c r="G71" s="384"/>
      <c r="H71" s="486"/>
      <c r="I71" s="384"/>
      <c r="J71" s="486"/>
      <c r="K71" s="275"/>
      <c r="X71" s="3">
        <v>0</v>
      </c>
    </row>
    <row r="72" spans="1:24" ht="56.25" customHeight="1">
      <c r="A72" s="1107"/>
      <c r="D72" s="487" t="s">
        <v>27</v>
      </c>
      <c r="E72" s="497" t="s">
        <v>826</v>
      </c>
      <c r="F72" s="499" t="s">
        <v>481</v>
      </c>
      <c r="G72" s="413"/>
      <c r="H72" s="490"/>
      <c r="I72" s="413"/>
      <c r="J72" s="490"/>
      <c r="K72" s="275"/>
      <c r="X72" s="3">
        <v>0</v>
      </c>
    </row>
    <row r="73" spans="1:24" ht="33.75" customHeight="1">
      <c r="A73" s="1107"/>
      <c r="D73" s="487" t="s">
        <v>40</v>
      </c>
      <c r="E73" s="497" t="s">
        <v>827</v>
      </c>
      <c r="F73" s="500" t="s">
        <v>743</v>
      </c>
      <c r="G73" s="489"/>
      <c r="H73" s="490"/>
      <c r="I73" s="489"/>
      <c r="J73" s="490"/>
      <c r="K73" s="227"/>
      <c r="X73" s="3">
        <v>0</v>
      </c>
    </row>
    <row r="74" spans="1:24" ht="22.5" customHeight="1">
      <c r="A74" s="1107"/>
      <c r="B74" s="24" t="s">
        <v>511</v>
      </c>
      <c r="D74" s="487" t="s">
        <v>28</v>
      </c>
      <c r="E74" s="497" t="s">
        <v>828</v>
      </c>
      <c r="F74" s="500" t="s">
        <v>229</v>
      </c>
      <c r="G74" s="218"/>
      <c r="H74" s="490"/>
      <c r="I74" s="218"/>
      <c r="J74" s="490"/>
      <c r="K74" s="227" t="s">
        <v>554</v>
      </c>
      <c r="X74" s="3">
        <v>0</v>
      </c>
    </row>
    <row r="75" spans="1:24" ht="45" customHeight="1">
      <c r="A75" s="1107"/>
      <c r="B75" s="24" t="s">
        <v>511</v>
      </c>
      <c r="D75" s="487" t="s">
        <v>575</v>
      </c>
      <c r="E75" s="495" t="s">
        <v>829</v>
      </c>
      <c r="F75" s="499" t="s">
        <v>229</v>
      </c>
      <c r="G75" s="218"/>
      <c r="H75" s="490"/>
      <c r="I75" s="218"/>
      <c r="J75" s="490"/>
      <c r="K75" s="227" t="s">
        <v>554</v>
      </c>
      <c r="X75" s="3">
        <v>0</v>
      </c>
    </row>
    <row r="76" spans="1:24" ht="11.45" customHeight="1">
      <c r="X76" s="3">
        <v>11</v>
      </c>
    </row>
    <row r="77" spans="1:24" ht="11.25" hidden="1" customHeight="1">
      <c r="A77" s="1107" t="s">
        <v>830</v>
      </c>
      <c r="D77" s="487">
        <v>1</v>
      </c>
      <c r="E77" s="497" t="s">
        <v>831</v>
      </c>
      <c r="F77" s="499" t="s">
        <v>733</v>
      </c>
      <c r="G77" s="505"/>
      <c r="H77" s="490"/>
      <c r="I77" s="505"/>
      <c r="J77" s="490"/>
      <c r="K77" s="227" t="s">
        <v>832</v>
      </c>
      <c r="X77" s="3">
        <v>0</v>
      </c>
    </row>
    <row r="78" spans="1:24" ht="11.25" hidden="1" customHeight="1">
      <c r="A78" s="1107"/>
      <c r="D78" s="487" t="s">
        <v>39</v>
      </c>
      <c r="E78" s="497" t="s">
        <v>833</v>
      </c>
      <c r="F78" s="499" t="s">
        <v>733</v>
      </c>
      <c r="G78" s="505"/>
      <c r="H78" s="490"/>
      <c r="I78" s="505"/>
      <c r="J78" s="490"/>
      <c r="K78" s="227" t="s">
        <v>834</v>
      </c>
      <c r="X78" s="3">
        <v>0</v>
      </c>
    </row>
    <row r="79" spans="1:24" ht="22.5" hidden="1" customHeight="1">
      <c r="A79" s="1107"/>
      <c r="D79" s="487" t="s">
        <v>26</v>
      </c>
      <c r="E79" s="493" t="s">
        <v>835</v>
      </c>
      <c r="F79" s="27" t="s">
        <v>782</v>
      </c>
      <c r="G79" s="505"/>
      <c r="H79" s="490"/>
      <c r="I79" s="505"/>
      <c r="J79" s="490"/>
      <c r="K79" s="227" t="s">
        <v>836</v>
      </c>
      <c r="X79" s="3">
        <v>0</v>
      </c>
    </row>
    <row r="80" spans="1:24" ht="11.25" hidden="1" customHeight="1">
      <c r="A80" s="1107"/>
      <c r="D80" s="487" t="s">
        <v>247</v>
      </c>
      <c r="E80" s="488" t="s">
        <v>837</v>
      </c>
      <c r="F80" s="27" t="s">
        <v>782</v>
      </c>
      <c r="G80" s="505"/>
      <c r="H80" s="490"/>
      <c r="I80" s="505"/>
      <c r="J80" s="490"/>
      <c r="K80" s="227"/>
      <c r="X80" s="3">
        <v>0</v>
      </c>
    </row>
    <row r="81" spans="1:24" ht="11.25" hidden="1" customHeight="1">
      <c r="A81" s="1107"/>
      <c r="D81" s="487" t="s">
        <v>255</v>
      </c>
      <c r="E81" s="488" t="s">
        <v>838</v>
      </c>
      <c r="F81" s="27" t="s">
        <v>782</v>
      </c>
      <c r="G81" s="505"/>
      <c r="H81" s="490"/>
      <c r="I81" s="505"/>
      <c r="J81" s="490"/>
      <c r="K81" s="227"/>
      <c r="X81" s="3">
        <v>0</v>
      </c>
    </row>
    <row r="82" spans="1:24" ht="11.25" hidden="1" customHeight="1">
      <c r="A82" s="1107"/>
      <c r="D82" s="487" t="s">
        <v>257</v>
      </c>
      <c r="E82" s="488" t="s">
        <v>839</v>
      </c>
      <c r="F82" s="27" t="s">
        <v>782</v>
      </c>
      <c r="G82" s="505"/>
      <c r="H82" s="490"/>
      <c r="I82" s="505"/>
      <c r="J82" s="490"/>
      <c r="K82" s="227"/>
      <c r="X82" s="3">
        <v>0</v>
      </c>
    </row>
    <row r="83" spans="1:24" ht="11.25" hidden="1" customHeight="1">
      <c r="A83" s="1107"/>
      <c r="D83" s="487" t="s">
        <v>259</v>
      </c>
      <c r="E83" s="488" t="s">
        <v>840</v>
      </c>
      <c r="F83" s="27" t="s">
        <v>782</v>
      </c>
      <c r="G83" s="505"/>
      <c r="H83" s="490"/>
      <c r="I83" s="505"/>
      <c r="J83" s="490"/>
      <c r="K83" s="227"/>
      <c r="X83" s="3">
        <v>0</v>
      </c>
    </row>
    <row r="84" spans="1:24" ht="11.25" hidden="1" customHeight="1">
      <c r="A84" s="1107"/>
      <c r="D84" s="487" t="s">
        <v>841</v>
      </c>
      <c r="E84" s="488" t="s">
        <v>842</v>
      </c>
      <c r="F84" s="27" t="s">
        <v>782</v>
      </c>
      <c r="G84" s="505"/>
      <c r="H84" s="490"/>
      <c r="I84" s="505"/>
      <c r="J84" s="490"/>
      <c r="K84" s="227"/>
      <c r="X84" s="3">
        <v>0</v>
      </c>
    </row>
    <row r="85" spans="1:24" ht="11.25" hidden="1" customHeight="1">
      <c r="A85" s="1107"/>
      <c r="D85" s="487" t="s">
        <v>843</v>
      </c>
      <c r="E85" s="488" t="s">
        <v>844</v>
      </c>
      <c r="F85" s="27" t="s">
        <v>782</v>
      </c>
      <c r="G85" s="505"/>
      <c r="H85" s="490"/>
      <c r="I85" s="505"/>
      <c r="J85" s="490"/>
      <c r="K85" s="227"/>
      <c r="X85" s="3">
        <v>0</v>
      </c>
    </row>
    <row r="86" spans="1:24" ht="11.25" hidden="1" customHeight="1">
      <c r="A86" s="1107"/>
      <c r="D86" s="487" t="s">
        <v>845</v>
      </c>
      <c r="E86" s="488" t="s">
        <v>846</v>
      </c>
      <c r="F86" s="27" t="s">
        <v>782</v>
      </c>
      <c r="G86" s="505"/>
      <c r="H86" s="490"/>
      <c r="I86" s="505"/>
      <c r="J86" s="490"/>
      <c r="K86" s="227"/>
      <c r="X86" s="3">
        <v>0</v>
      </c>
    </row>
    <row r="87" spans="1:24" ht="45" hidden="1" customHeight="1">
      <c r="A87" s="1107"/>
      <c r="D87" s="487" t="s">
        <v>27</v>
      </c>
      <c r="E87" s="497" t="s">
        <v>847</v>
      </c>
      <c r="F87" s="27" t="s">
        <v>782</v>
      </c>
      <c r="G87" s="505"/>
      <c r="H87" s="490"/>
      <c r="I87" s="505"/>
      <c r="J87" s="490"/>
      <c r="K87" s="227" t="s">
        <v>848</v>
      </c>
      <c r="X87" s="3">
        <v>0</v>
      </c>
    </row>
    <row r="88" spans="1:24" ht="11.25" hidden="1" customHeight="1">
      <c r="A88" s="1107"/>
      <c r="D88" s="487" t="s">
        <v>677</v>
      </c>
      <c r="E88" s="488" t="s">
        <v>837</v>
      </c>
      <c r="F88" s="27" t="s">
        <v>782</v>
      </c>
      <c r="G88" s="505"/>
      <c r="H88" s="490"/>
      <c r="I88" s="505"/>
      <c r="J88" s="490"/>
      <c r="K88" s="227"/>
      <c r="X88" s="3">
        <v>0</v>
      </c>
    </row>
    <row r="89" spans="1:24" ht="11.25" hidden="1" customHeight="1">
      <c r="A89" s="1107"/>
      <c r="D89" s="487" t="s">
        <v>719</v>
      </c>
      <c r="E89" s="488" t="s">
        <v>838</v>
      </c>
      <c r="F89" s="27" t="s">
        <v>782</v>
      </c>
      <c r="G89" s="505"/>
      <c r="H89" s="490"/>
      <c r="I89" s="505"/>
      <c r="J89" s="490"/>
      <c r="K89" s="227"/>
      <c r="X89" s="3">
        <v>0</v>
      </c>
    </row>
    <row r="90" spans="1:24" ht="11.25" hidden="1" customHeight="1">
      <c r="A90" s="1107"/>
      <c r="D90" s="487" t="s">
        <v>722</v>
      </c>
      <c r="E90" s="488" t="s">
        <v>839</v>
      </c>
      <c r="F90" s="27" t="s">
        <v>782</v>
      </c>
      <c r="G90" s="505"/>
      <c r="H90" s="490"/>
      <c r="I90" s="505"/>
      <c r="J90" s="490"/>
      <c r="K90" s="227"/>
      <c r="X90" s="3">
        <v>0</v>
      </c>
    </row>
    <row r="91" spans="1:24" ht="11.25" hidden="1" customHeight="1">
      <c r="A91" s="1107"/>
      <c r="D91" s="487" t="s">
        <v>800</v>
      </c>
      <c r="E91" s="488" t="s">
        <v>840</v>
      </c>
      <c r="F91" s="27" t="s">
        <v>782</v>
      </c>
      <c r="G91" s="505"/>
      <c r="H91" s="490"/>
      <c r="I91" s="505"/>
      <c r="J91" s="490"/>
      <c r="K91" s="227"/>
      <c r="X91" s="3">
        <v>0</v>
      </c>
    </row>
    <row r="92" spans="1:24" ht="11.25" hidden="1" customHeight="1">
      <c r="A92" s="1107"/>
      <c r="D92" s="487" t="s">
        <v>802</v>
      </c>
      <c r="E92" s="488" t="s">
        <v>842</v>
      </c>
      <c r="F92" s="27" t="s">
        <v>782</v>
      </c>
      <c r="G92" s="505"/>
      <c r="H92" s="490"/>
      <c r="I92" s="505"/>
      <c r="J92" s="490"/>
      <c r="K92" s="227"/>
      <c r="X92" s="3">
        <v>0</v>
      </c>
    </row>
    <row r="93" spans="1:24" ht="11.25" hidden="1" customHeight="1">
      <c r="A93" s="1107"/>
      <c r="D93" s="487" t="s">
        <v>849</v>
      </c>
      <c r="E93" s="488" t="s">
        <v>844</v>
      </c>
      <c r="F93" s="27" t="s">
        <v>782</v>
      </c>
      <c r="G93" s="505"/>
      <c r="H93" s="490"/>
      <c r="I93" s="505"/>
      <c r="J93" s="490"/>
      <c r="K93" s="227"/>
      <c r="X93" s="3">
        <v>0</v>
      </c>
    </row>
    <row r="94" spans="1:24" ht="11.25" hidden="1" customHeight="1">
      <c r="A94" s="1107"/>
      <c r="D94" s="487" t="s">
        <v>850</v>
      </c>
      <c r="E94" s="488" t="s">
        <v>846</v>
      </c>
      <c r="F94" s="27" t="s">
        <v>782</v>
      </c>
      <c r="G94" s="505"/>
      <c r="H94" s="490"/>
      <c r="I94" s="505"/>
      <c r="J94" s="490"/>
      <c r="K94" s="227"/>
      <c r="X94" s="3">
        <v>0</v>
      </c>
    </row>
    <row r="95" spans="1:24" ht="24.75" hidden="1" customHeight="1">
      <c r="A95" s="1107"/>
      <c r="D95" s="487" t="s">
        <v>40</v>
      </c>
      <c r="E95" s="497" t="s">
        <v>851</v>
      </c>
      <c r="F95" s="506" t="s">
        <v>481</v>
      </c>
      <c r="G95" s="453"/>
      <c r="H95" s="490"/>
      <c r="I95" s="453"/>
      <c r="J95" s="490"/>
      <c r="K95" s="227" t="s">
        <v>852</v>
      </c>
      <c r="X95" s="3">
        <v>0</v>
      </c>
    </row>
    <row r="96" spans="1:24" ht="33.75" hidden="1" customHeight="1">
      <c r="A96" s="1107"/>
      <c r="D96" s="487" t="s">
        <v>28</v>
      </c>
      <c r="E96" s="497" t="s">
        <v>853</v>
      </c>
      <c r="F96" s="500" t="s">
        <v>743</v>
      </c>
      <c r="G96" s="507"/>
      <c r="H96" s="490"/>
      <c r="I96" s="507"/>
      <c r="J96" s="490"/>
      <c r="K96" s="227"/>
      <c r="X96" s="3">
        <v>0</v>
      </c>
    </row>
    <row r="97" spans="1:24" ht="22.5" hidden="1" customHeight="1">
      <c r="A97" s="1107"/>
      <c r="B97" s="24" t="s">
        <v>511</v>
      </c>
      <c r="D97" s="487" t="s">
        <v>29</v>
      </c>
      <c r="E97" s="497" t="s">
        <v>854</v>
      </c>
      <c r="F97" s="500" t="s">
        <v>229</v>
      </c>
      <c r="G97" s="456"/>
      <c r="H97" s="490"/>
      <c r="I97" s="456"/>
      <c r="J97" s="490"/>
      <c r="K97" s="227" t="s">
        <v>554</v>
      </c>
      <c r="X97" s="3">
        <v>0</v>
      </c>
    </row>
    <row r="98" spans="1:24" ht="45" hidden="1" customHeight="1">
      <c r="A98" s="1107"/>
      <c r="B98" s="24" t="s">
        <v>511</v>
      </c>
      <c r="D98" s="487" t="s">
        <v>855</v>
      </c>
      <c r="E98" s="495" t="s">
        <v>856</v>
      </c>
      <c r="F98" s="499" t="s">
        <v>229</v>
      </c>
      <c r="G98" s="456"/>
      <c r="H98" s="490"/>
      <c r="I98" s="456"/>
      <c r="J98" s="490"/>
      <c r="K98" s="227" t="s">
        <v>554</v>
      </c>
      <c r="X98" s="3">
        <v>0</v>
      </c>
    </row>
    <row r="99" spans="1:24" ht="95.25" hidden="1" customHeight="1">
      <c r="A99" s="1107"/>
      <c r="B99" s="24" t="s">
        <v>511</v>
      </c>
      <c r="D99" s="487" t="s">
        <v>41</v>
      </c>
      <c r="E99" s="497" t="s">
        <v>857</v>
      </c>
      <c r="F99" s="499" t="s">
        <v>229</v>
      </c>
      <c r="G99" s="456"/>
      <c r="H99" s="490"/>
      <c r="I99" s="456"/>
      <c r="J99" s="490"/>
      <c r="K99" s="227" t="s">
        <v>554</v>
      </c>
      <c r="X99" s="3">
        <v>0</v>
      </c>
    </row>
    <row r="100" spans="1:24" ht="22.5" hidden="1" customHeight="1">
      <c r="A100" s="1107"/>
      <c r="B100" s="24" t="s">
        <v>511</v>
      </c>
      <c r="D100" s="487" t="s">
        <v>73</v>
      </c>
      <c r="E100" s="497" t="s">
        <v>858</v>
      </c>
      <c r="F100" s="499" t="s">
        <v>229</v>
      </c>
      <c r="G100" s="456"/>
      <c r="H100" s="490"/>
      <c r="I100" s="456"/>
      <c r="J100" s="490"/>
      <c r="K100" s="227" t="s">
        <v>554</v>
      </c>
      <c r="X100" s="3">
        <v>0</v>
      </c>
    </row>
    <row r="101" spans="1:24" ht="11.45" customHeight="1">
      <c r="X101" s="3">
        <v>11</v>
      </c>
    </row>
    <row r="102" spans="1:24" ht="22.5" hidden="1" customHeight="1">
      <c r="A102" s="20" t="s">
        <v>18</v>
      </c>
      <c r="B102" s="24">
        <v>0</v>
      </c>
      <c r="C102" s="3">
        <v>3</v>
      </c>
      <c r="D102" s="3">
        <v>7</v>
      </c>
      <c r="E102" s="3">
        <v>69</v>
      </c>
      <c r="F102" s="3">
        <v>10</v>
      </c>
      <c r="G102" s="3">
        <v>0</v>
      </c>
      <c r="H102" s="3">
        <v>0</v>
      </c>
      <c r="I102" s="3">
        <v>43</v>
      </c>
      <c r="J102" s="3">
        <v>43</v>
      </c>
      <c r="K102" s="3">
        <v>73</v>
      </c>
      <c r="L102" s="3">
        <v>3</v>
      </c>
      <c r="M102" s="3">
        <v>10</v>
      </c>
      <c r="N102" s="3">
        <v>10</v>
      </c>
      <c r="O102" s="3">
        <v>10</v>
      </c>
      <c r="P102" s="3">
        <v>10</v>
      </c>
      <c r="Q102" s="3">
        <v>10</v>
      </c>
      <c r="R102" s="3">
        <v>10</v>
      </c>
      <c r="S102" s="3">
        <v>10</v>
      </c>
      <c r="T102" s="3">
        <v>10</v>
      </c>
      <c r="U102" s="3">
        <v>10</v>
      </c>
      <c r="V102" s="3">
        <v>10</v>
      </c>
      <c r="W102" s="3">
        <v>10</v>
      </c>
      <c r="X102" s="3">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5703125" defaultRowHeight="15" customHeight="1"/>
  <cols>
    <col min="1" max="2" width="9.140625" hidden="1" customWidth="1"/>
    <col min="3" max="3" width="4" customWidth="1"/>
    <col min="4" max="4" width="6" customWidth="1"/>
    <col min="5" max="5" width="36" customWidth="1"/>
    <col min="6" max="6" width="9" customWidth="1"/>
    <col min="7" max="7" width="25.7109375" hidden="1" customWidth="1"/>
    <col min="8" max="8" width="33.7109375" hidden="1" customWidth="1"/>
    <col min="9" max="9" width="25.7109375" customWidth="1"/>
    <col min="10" max="10" width="33" customWidth="1"/>
    <col min="11" max="11" width="93" customWidth="1"/>
    <col min="12" max="21" width="10" customWidth="1"/>
    <col min="22" max="22" width="10.5703125" hidden="1"/>
  </cols>
  <sheetData>
    <row r="1" spans="2:22" ht="22.5" hidden="1" customHeight="1">
      <c r="G1" s="11">
        <v>4</v>
      </c>
      <c r="I1" s="11">
        <v>4</v>
      </c>
      <c r="V1" s="11" t="s">
        <v>1</v>
      </c>
    </row>
    <row r="2" spans="2:22" ht="15" hidden="1" customHeight="1">
      <c r="V2" s="11">
        <v>0</v>
      </c>
    </row>
    <row r="3" spans="2:22" ht="22.5" hidden="1" customHeight="1">
      <c r="B3" s="885"/>
      <c r="C3" s="1108" t="s">
        <v>612</v>
      </c>
      <c r="D3" s="509" t="str">
        <f>B3&amp;".1"</f>
        <v>.1</v>
      </c>
      <c r="E3" s="150" t="s">
        <v>859</v>
      </c>
      <c r="F3" s="6" t="s">
        <v>229</v>
      </c>
      <c r="G3" s="356"/>
      <c r="H3" s="408"/>
      <c r="I3" s="356"/>
      <c r="J3" s="408"/>
      <c r="K3" s="227" t="s">
        <v>860</v>
      </c>
      <c r="V3" s="3">
        <v>0</v>
      </c>
    </row>
    <row r="4" spans="2:22" ht="15" hidden="1" customHeight="1">
      <c r="B4" s="885"/>
      <c r="C4" s="1108"/>
      <c r="D4" s="509" t="str">
        <f>B3&amp;".2"</f>
        <v>.2</v>
      </c>
      <c r="E4" s="150" t="s">
        <v>861</v>
      </c>
      <c r="F4" s="6" t="s">
        <v>229</v>
      </c>
      <c r="G4" s="510" t="s">
        <v>4</v>
      </c>
      <c r="H4" s="408"/>
      <c r="I4" s="510" t="s">
        <v>4</v>
      </c>
      <c r="J4" s="408"/>
      <c r="K4" s="227" t="s">
        <v>862</v>
      </c>
      <c r="V4" s="3">
        <v>0</v>
      </c>
    </row>
    <row r="5" spans="2:22" ht="15" hidden="1" customHeight="1">
      <c r="V5" s="11">
        <v>0</v>
      </c>
    </row>
    <row r="6" spans="2:22" ht="22.5" hidden="1" customHeight="1">
      <c r="B6" s="885"/>
      <c r="C6" s="1108" t="s">
        <v>612</v>
      </c>
      <c r="D6" s="509" t="str">
        <f>B6&amp;".1"</f>
        <v>.1</v>
      </c>
      <c r="E6" s="150" t="s">
        <v>863</v>
      </c>
      <c r="F6" s="6" t="s">
        <v>229</v>
      </c>
      <c r="G6" s="356"/>
      <c r="H6" s="408"/>
      <c r="I6" s="356"/>
      <c r="J6" s="408"/>
      <c r="K6" s="227" t="s">
        <v>864</v>
      </c>
      <c r="V6" s="3">
        <v>0</v>
      </c>
    </row>
    <row r="7" spans="2:22" ht="15" hidden="1" customHeight="1">
      <c r="B7" s="885"/>
      <c r="C7" s="1108"/>
      <c r="D7" s="509" t="str">
        <f>B6&amp;".2"</f>
        <v>.2</v>
      </c>
      <c r="E7" s="150" t="s">
        <v>861</v>
      </c>
      <c r="F7" s="6" t="s">
        <v>229</v>
      </c>
      <c r="G7" s="510" t="s">
        <v>4</v>
      </c>
      <c r="H7" s="408"/>
      <c r="I7" s="510" t="s">
        <v>4</v>
      </c>
      <c r="J7" s="408"/>
      <c r="K7" s="227" t="s">
        <v>862</v>
      </c>
      <c r="V7" s="3">
        <v>0</v>
      </c>
    </row>
    <row r="8" spans="2:22" ht="15" hidden="1" customHeight="1">
      <c r="V8" s="11">
        <v>0</v>
      </c>
    </row>
    <row r="9" spans="2:22" ht="22.5" hidden="1" customHeight="1">
      <c r="B9" s="885"/>
      <c r="C9" s="1108" t="s">
        <v>612</v>
      </c>
      <c r="D9" s="509" t="str">
        <f>B9&amp;".1"</f>
        <v>.1</v>
      </c>
      <c r="E9" s="150" t="s">
        <v>865</v>
      </c>
      <c r="F9" s="6" t="s">
        <v>229</v>
      </c>
      <c r="G9" s="153" t="s">
        <v>4</v>
      </c>
      <c r="H9" s="408" t="s">
        <v>4</v>
      </c>
      <c r="I9" s="153" t="s">
        <v>4</v>
      </c>
      <c r="J9" s="408" t="s">
        <v>4</v>
      </c>
      <c r="K9" s="227"/>
      <c r="V9" s="3">
        <v>0</v>
      </c>
    </row>
    <row r="10" spans="2:22" ht="15" hidden="1" customHeight="1">
      <c r="B10" s="885"/>
      <c r="C10" s="1108"/>
      <c r="D10" s="509" t="str">
        <f>B9&amp;".2"</f>
        <v>.2</v>
      </c>
      <c r="E10" s="150" t="s">
        <v>866</v>
      </c>
      <c r="F10" s="6" t="s">
        <v>229</v>
      </c>
      <c r="G10" s="10" t="s">
        <v>4</v>
      </c>
      <c r="H10" s="408" t="s">
        <v>4</v>
      </c>
      <c r="I10" s="10" t="s">
        <v>4</v>
      </c>
      <c r="J10" s="408" t="s">
        <v>4</v>
      </c>
      <c r="K10" s="227" t="s">
        <v>867</v>
      </c>
      <c r="V10" s="3">
        <v>0</v>
      </c>
    </row>
    <row r="11" spans="2:22" ht="15" hidden="1" customHeight="1">
      <c r="B11" s="885"/>
      <c r="C11" s="1108"/>
      <c r="D11" s="509" t="str">
        <f>B9&amp;".3"</f>
        <v>.3</v>
      </c>
      <c r="E11" s="150" t="s">
        <v>868</v>
      </c>
      <c r="F11" s="6" t="s">
        <v>229</v>
      </c>
      <c r="G11" s="10" t="s">
        <v>4</v>
      </c>
      <c r="H11" s="408" t="s">
        <v>4</v>
      </c>
      <c r="I11" s="10" t="s">
        <v>4</v>
      </c>
      <c r="J11" s="408" t="s">
        <v>4</v>
      </c>
      <c r="K11" s="227" t="s">
        <v>869</v>
      </c>
      <c r="V11" s="3">
        <v>0</v>
      </c>
    </row>
    <row r="12" spans="2:22" ht="15" hidden="1" customHeight="1">
      <c r="V12" s="11">
        <v>0</v>
      </c>
    </row>
    <row r="13" spans="2:22" ht="33.75" hidden="1" customHeight="1">
      <c r="B13" s="885"/>
      <c r="C13" s="1108" t="s">
        <v>612</v>
      </c>
      <c r="D13" s="509" t="str">
        <f>B13&amp;".1"</f>
        <v>.1</v>
      </c>
      <c r="E13" s="150" t="s">
        <v>870</v>
      </c>
      <c r="F13" s="6" t="s">
        <v>229</v>
      </c>
      <c r="G13" s="153" t="s">
        <v>4</v>
      </c>
      <c r="H13" s="408" t="s">
        <v>4</v>
      </c>
      <c r="I13" s="153" t="s">
        <v>4</v>
      </c>
      <c r="J13" s="408" t="s">
        <v>4</v>
      </c>
      <c r="K13" s="227" t="s">
        <v>871</v>
      </c>
      <c r="V13" s="3">
        <v>0</v>
      </c>
    </row>
    <row r="14" spans="2:22" ht="15" hidden="1" customHeight="1">
      <c r="B14" s="885"/>
      <c r="C14" s="1108"/>
      <c r="D14" s="509" t="str">
        <f>B13&amp;".2"</f>
        <v>.2</v>
      </c>
      <c r="E14" s="150" t="s">
        <v>872</v>
      </c>
      <c r="F14" s="6" t="s">
        <v>229</v>
      </c>
      <c r="G14" s="10" t="s">
        <v>4</v>
      </c>
      <c r="H14" s="408" t="s">
        <v>4</v>
      </c>
      <c r="I14" s="10" t="s">
        <v>4</v>
      </c>
      <c r="J14" s="408" t="s">
        <v>4</v>
      </c>
      <c r="K14" s="227" t="s">
        <v>873</v>
      </c>
      <c r="V14" s="3">
        <v>0</v>
      </c>
    </row>
    <row r="15" spans="2:22" ht="15" hidden="1" customHeight="1">
      <c r="V15" s="11">
        <v>0</v>
      </c>
    </row>
    <row r="16" spans="2:22" ht="15" hidden="1" customHeight="1">
      <c r="V16" s="11">
        <v>0</v>
      </c>
    </row>
    <row r="17" spans="2:22" ht="15" hidden="1" customHeight="1">
      <c r="V17" s="11">
        <v>0</v>
      </c>
    </row>
    <row r="18" spans="2:22" ht="15" hidden="1" customHeight="1">
      <c r="V18" s="11">
        <v>0</v>
      </c>
    </row>
    <row r="19" spans="2:22" ht="15" hidden="1" customHeight="1">
      <c r="V19" s="11">
        <v>0</v>
      </c>
    </row>
    <row r="20" spans="2:22" ht="15" hidden="1" customHeight="1">
      <c r="V20" s="11">
        <v>0</v>
      </c>
    </row>
    <row r="21" spans="2:22" ht="15.75" customHeight="1">
      <c r="V21" s="3">
        <v>15</v>
      </c>
    </row>
    <row r="22" spans="2:22" ht="23.25" customHeight="1">
      <c r="D22" s="98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982"/>
      <c r="F22" s="982"/>
      <c r="G22" s="982"/>
      <c r="H22" s="982"/>
      <c r="I22" s="982"/>
      <c r="V22" s="3">
        <v>22</v>
      </c>
    </row>
    <row r="23" spans="2:22" ht="15.75" customHeight="1">
      <c r="D23" s="955" t="e">
        <f>IF(org=0,"Не определено",org)</f>
        <v>#REF!</v>
      </c>
      <c r="E23" s="955"/>
      <c r="F23" s="955"/>
      <c r="G23" s="955"/>
      <c r="H23" s="955"/>
      <c r="I23" s="955"/>
      <c r="V23" s="3">
        <v>15</v>
      </c>
    </row>
    <row r="24" spans="2:22" ht="15.75" customHeight="1">
      <c r="G24" s="11">
        <v>22</v>
      </c>
      <c r="H24" s="115"/>
      <c r="I24" s="11">
        <v>22</v>
      </c>
      <c r="J24" s="115"/>
      <c r="V24" s="3">
        <v>15</v>
      </c>
    </row>
    <row r="25" spans="2:22" ht="1.1499999999999999" customHeight="1">
      <c r="H25" s="115"/>
      <c r="I25" s="11" t="s">
        <v>42</v>
      </c>
      <c r="J25" s="115"/>
      <c r="V25" s="3">
        <v>1</v>
      </c>
    </row>
    <row r="26" spans="2:22" ht="15.75" customHeight="1">
      <c r="D26" s="380"/>
      <c r="E26" s="1086" t="s">
        <v>37</v>
      </c>
      <c r="F26" s="1087"/>
      <c r="G26" s="1109" t="str">
        <f>IF(G25="","",INDEX(DIFFERENTIATION_UNMERGE_VD,MATCH(G25,DIFFERENTIATION_ID_DIFF,0)))</f>
        <v/>
      </c>
      <c r="H26" s="1110"/>
      <c r="I26" s="1109" t="e">
        <f>IF(I25="","",INDEX(DIFFERENTIATION_UNMERGE_VD,MATCH(I25,DIFFERENTIATION_ID_DIFF,0)))</f>
        <v>#REF!</v>
      </c>
      <c r="J26" s="1110"/>
      <c r="K26" s="935" t="s">
        <v>224</v>
      </c>
      <c r="V26" s="3">
        <v>15</v>
      </c>
    </row>
    <row r="27" spans="2:22" ht="15.75" customHeight="1">
      <c r="D27" s="380"/>
      <c r="E27" s="1086" t="s">
        <v>487</v>
      </c>
      <c r="F27" s="1087"/>
      <c r="G27" s="1109" t="str">
        <f>IF(G25="","",INDEX(DIFFERENTIATION_UNMERGE_AREA,MATCH(G25,DIFFERENTIATION_ID_DIFF,0)))</f>
        <v/>
      </c>
      <c r="H27" s="1110"/>
      <c r="I27" s="1109" t="e">
        <f>IF(I25="","",INDEX(DIFFERENTIATION_UNMERGE_AREA,MATCH(I25,DIFFERENTIATION_ID_DIFF,0)))</f>
        <v>#REF!</v>
      </c>
      <c r="J27" s="1110"/>
      <c r="K27" s="939"/>
      <c r="V27" s="3">
        <v>15</v>
      </c>
    </row>
    <row r="28" spans="2:22" ht="15.75" customHeight="1">
      <c r="D28" s="380"/>
      <c r="E28" s="1086" t="s">
        <v>488</v>
      </c>
      <c r="F28" s="1087"/>
      <c r="G28" s="1109" t="str">
        <f>IF(G25="","",INDEX(DIFFERENTIATION_UNMERGE_SYSTEM,MATCH(G25,DIFFERENTIATION_ID_DIFF,0)))</f>
        <v/>
      </c>
      <c r="H28" s="1110"/>
      <c r="I28" s="1109" t="e">
        <f>IF(I25="","",INDEX(DIFFERENTIATION_UNMERGE_SYSTEM,MATCH(I25,DIFFERENTIATION_ID_DIFF,0)))</f>
        <v>#REF!</v>
      </c>
      <c r="J28" s="1110"/>
      <c r="K28" s="939"/>
      <c r="V28" s="3">
        <v>15</v>
      </c>
    </row>
    <row r="29" spans="2:22" ht="15.75" customHeight="1">
      <c r="D29" s="1088" t="s">
        <v>223</v>
      </c>
      <c r="E29" s="1089"/>
      <c r="F29" s="1089"/>
      <c r="G29" s="381"/>
      <c r="H29" s="381"/>
      <c r="I29" s="381"/>
      <c r="J29" s="382"/>
      <c r="K29" s="939"/>
      <c r="V29" s="3">
        <v>15</v>
      </c>
    </row>
    <row r="30" spans="2:22" ht="35.65" customHeight="1">
      <c r="D30" s="30" t="s">
        <v>24</v>
      </c>
      <c r="E30" s="30" t="s">
        <v>225</v>
      </c>
      <c r="F30" s="30" t="s">
        <v>489</v>
      </c>
      <c r="G30" s="7" t="s">
        <v>226</v>
      </c>
      <c r="H30" s="30" t="s">
        <v>313</v>
      </c>
      <c r="I30" s="7" t="s">
        <v>226</v>
      </c>
      <c r="J30" s="30" t="s">
        <v>313</v>
      </c>
      <c r="K30" s="942"/>
      <c r="V30" s="3">
        <v>34</v>
      </c>
    </row>
    <row r="31" spans="2:22" ht="15" hidden="1" customHeight="1">
      <c r="K31" s="227"/>
      <c r="V31" s="3">
        <v>0</v>
      </c>
    </row>
    <row r="32" spans="2:22" ht="24" customHeight="1">
      <c r="B32" s="3" t="s">
        <v>874</v>
      </c>
      <c r="D32" s="512">
        <v>1</v>
      </c>
      <c r="E32" s="473" t="s">
        <v>875</v>
      </c>
      <c r="F32" s="6" t="s">
        <v>229</v>
      </c>
      <c r="G32" s="6" t="s">
        <v>229</v>
      </c>
      <c r="H32" s="6" t="s">
        <v>229</v>
      </c>
      <c r="I32" s="6" t="s">
        <v>229</v>
      </c>
      <c r="J32" s="6" t="s">
        <v>229</v>
      </c>
      <c r="K32" s="227"/>
      <c r="V32" s="3">
        <v>23</v>
      </c>
    </row>
    <row r="33" spans="1:22" ht="11.45" customHeight="1">
      <c r="D33" s="465"/>
      <c r="E33" s="42" t="s">
        <v>509</v>
      </c>
      <c r="F33" s="394"/>
      <c r="G33" s="394"/>
      <c r="H33" s="394"/>
      <c r="I33" s="394"/>
      <c r="J33" s="394"/>
      <c r="K33" s="395"/>
      <c r="V33" s="3">
        <v>11</v>
      </c>
    </row>
    <row r="34" spans="1:22" ht="24" customHeight="1">
      <c r="B34" s="9" t="s">
        <v>559</v>
      </c>
      <c r="D34" s="512">
        <v>2</v>
      </c>
      <c r="E34" s="473" t="s">
        <v>876</v>
      </c>
      <c r="F34" s="6" t="s">
        <v>229</v>
      </c>
      <c r="G34" s="6" t="s">
        <v>229</v>
      </c>
      <c r="H34" s="6" t="s">
        <v>229</v>
      </c>
      <c r="I34" s="6"/>
      <c r="J34" s="6"/>
      <c r="K34" s="227"/>
      <c r="V34" s="3">
        <v>23</v>
      </c>
    </row>
    <row r="35" spans="1:22" ht="11.45" customHeight="1">
      <c r="D35" s="465"/>
      <c r="E35" s="42" t="s">
        <v>877</v>
      </c>
      <c r="F35" s="394"/>
      <c r="G35" s="513"/>
      <c r="H35" s="394"/>
      <c r="I35" s="513"/>
      <c r="J35" s="394"/>
      <c r="K35" s="395"/>
      <c r="V35" s="3">
        <v>11</v>
      </c>
    </row>
    <row r="36" spans="1:22" ht="71.25" customHeight="1">
      <c r="B36" s="3" t="s">
        <v>878</v>
      </c>
      <c r="D36" s="512">
        <v>3</v>
      </c>
      <c r="E36" s="473" t="s">
        <v>879</v>
      </c>
      <c r="F36" s="26" t="s">
        <v>229</v>
      </c>
      <c r="G36" s="56" t="s">
        <v>880</v>
      </c>
      <c r="H36" s="6" t="s">
        <v>229</v>
      </c>
      <c r="I36" s="56" t="s">
        <v>880</v>
      </c>
      <c r="J36" s="6" t="s">
        <v>229</v>
      </c>
      <c r="K36" s="227" t="s">
        <v>881</v>
      </c>
      <c r="V36" s="3">
        <v>68</v>
      </c>
    </row>
    <row r="37" spans="1:22" ht="11.45" customHeight="1">
      <c r="D37" s="465"/>
      <c r="E37" s="42" t="s">
        <v>882</v>
      </c>
      <c r="F37" s="394"/>
      <c r="G37" s="513"/>
      <c r="H37" s="513"/>
      <c r="I37" s="513"/>
      <c r="J37" s="513"/>
      <c r="K37" s="395"/>
      <c r="V37" s="3">
        <v>11</v>
      </c>
    </row>
    <row r="38" spans="1:22" ht="71.25" customHeight="1">
      <c r="B38" s="3" t="s">
        <v>883</v>
      </c>
      <c r="D38" s="512">
        <v>4</v>
      </c>
      <c r="E38" s="473" t="s">
        <v>884</v>
      </c>
      <c r="F38" s="26" t="s">
        <v>229</v>
      </c>
      <c r="G38" s="56" t="s">
        <v>880</v>
      </c>
      <c r="H38" s="30" t="s">
        <v>229</v>
      </c>
      <c r="I38" s="56" t="s">
        <v>880</v>
      </c>
      <c r="J38" s="30" t="s">
        <v>229</v>
      </c>
      <c r="K38" s="514" t="s">
        <v>885</v>
      </c>
      <c r="V38" s="3">
        <v>68</v>
      </c>
    </row>
    <row r="39" spans="1:22" ht="11.45" customHeight="1">
      <c r="D39" s="465"/>
      <c r="E39" s="42" t="s">
        <v>886</v>
      </c>
      <c r="F39" s="394"/>
      <c r="G39" s="394"/>
      <c r="H39" s="515"/>
      <c r="I39" s="394"/>
      <c r="J39" s="515"/>
      <c r="K39" s="395"/>
      <c r="V39" s="3">
        <v>11</v>
      </c>
    </row>
    <row r="40" spans="1:22" ht="22.5" hidden="1" customHeight="1">
      <c r="A40" s="2" t="s">
        <v>18</v>
      </c>
      <c r="B40" s="3">
        <v>0</v>
      </c>
      <c r="C40" s="516">
        <v>4</v>
      </c>
      <c r="D40" s="3">
        <v>6</v>
      </c>
      <c r="E40" s="3">
        <v>36</v>
      </c>
      <c r="F40" s="3">
        <v>9</v>
      </c>
      <c r="G40" s="3">
        <v>0</v>
      </c>
      <c r="H40" s="3">
        <v>0</v>
      </c>
      <c r="I40" s="3">
        <v>25</v>
      </c>
      <c r="J40" s="3">
        <v>33</v>
      </c>
      <c r="K40" s="11">
        <v>93</v>
      </c>
      <c r="L40" s="3">
        <v>10</v>
      </c>
      <c r="M40" s="3">
        <v>10</v>
      </c>
      <c r="N40" s="3">
        <v>10</v>
      </c>
      <c r="O40" s="3">
        <v>10</v>
      </c>
      <c r="P40" s="3">
        <v>10</v>
      </c>
      <c r="Q40" s="3">
        <v>10</v>
      </c>
      <c r="R40" s="3">
        <v>10</v>
      </c>
      <c r="S40" s="3">
        <v>10</v>
      </c>
      <c r="T40" s="3">
        <v>10</v>
      </c>
      <c r="U40" s="517">
        <v>10</v>
      </c>
      <c r="V40" s="3">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4" width="6.7109375" hidden="1" customWidth="1"/>
    <col min="5" max="5" width="3" customWidth="1"/>
    <col min="6" max="6" width="6" customWidth="1"/>
    <col min="7" max="7" width="37" customWidth="1"/>
    <col min="8" max="8" width="16" customWidth="1"/>
    <col min="9" max="10" width="19" customWidth="1"/>
    <col min="11" max="11" width="24" customWidth="1"/>
    <col min="12" max="13" width="25" customWidth="1"/>
    <col min="14" max="16" width="17" customWidth="1"/>
    <col min="17" max="24" width="19" customWidth="1"/>
    <col min="25" max="25" width="7" customWidth="1"/>
    <col min="26" max="26" width="3" customWidth="1"/>
    <col min="27" max="27" width="6" customWidth="1"/>
    <col min="28" max="28" width="34" customWidth="1"/>
    <col min="29" max="30" width="8" customWidth="1"/>
    <col min="31" max="31" width="9.140625" hidden="1"/>
  </cols>
  <sheetData>
    <row r="1" spans="1:31" ht="10.5" hidden="1" customHeight="1">
      <c r="AE1" s="11" t="s">
        <v>1</v>
      </c>
    </row>
    <row r="2" spans="1:31" ht="10.5" hidden="1" customHeight="1">
      <c r="AE2" s="3">
        <v>0</v>
      </c>
    </row>
    <row r="3" spans="1:31" ht="10.5" hidden="1" customHeight="1">
      <c r="G3" s="2" t="s">
        <v>887</v>
      </c>
      <c r="AE3" s="2">
        <v>0</v>
      </c>
    </row>
    <row r="4" spans="1:31" ht="3" customHeight="1">
      <c r="AE4" s="3">
        <v>3</v>
      </c>
    </row>
    <row r="5" spans="1:31" ht="27.4" customHeight="1">
      <c r="F5" s="982" t="str">
        <f>IP_NAME_FORM</f>
        <v>Форма 7. Информация об инвестиционных программах организации горячего водоснабжения и отчетах об их исполнении</v>
      </c>
      <c r="G5" s="982"/>
      <c r="H5" s="982"/>
      <c r="I5" s="982"/>
      <c r="J5" s="982"/>
      <c r="K5" s="982"/>
      <c r="AE5" s="3">
        <v>26</v>
      </c>
    </row>
    <row r="6" spans="1:31" ht="16.899999999999999" customHeight="1">
      <c r="F6" s="955" t="e">
        <f>IF(org=0,"Не определено",org)</f>
        <v>#REF!</v>
      </c>
      <c r="G6" s="955"/>
      <c r="H6" s="955"/>
      <c r="I6" s="955"/>
      <c r="J6" s="955"/>
      <c r="K6" s="955"/>
      <c r="AE6" s="3">
        <v>16</v>
      </c>
    </row>
    <row r="7" spans="1:31" ht="10.5" customHeight="1">
      <c r="AE7" s="3">
        <v>10</v>
      </c>
    </row>
    <row r="8" spans="1:31" ht="10.5" customHeight="1">
      <c r="F8" s="887" t="s">
        <v>223</v>
      </c>
      <c r="G8" s="890"/>
      <c r="H8" s="890"/>
      <c r="I8" s="890"/>
      <c r="J8" s="890"/>
      <c r="K8" s="890"/>
      <c r="L8" s="890"/>
      <c r="M8" s="890"/>
      <c r="N8" s="890"/>
      <c r="O8" s="890"/>
      <c r="P8" s="890"/>
      <c r="Q8" s="890"/>
      <c r="R8" s="890"/>
      <c r="S8" s="890"/>
      <c r="T8" s="890"/>
      <c r="U8" s="890"/>
      <c r="V8" s="890"/>
      <c r="W8" s="890"/>
      <c r="X8" s="890"/>
      <c r="Y8" s="890"/>
      <c r="Z8" s="890"/>
      <c r="AA8" s="890"/>
      <c r="AB8" s="886"/>
      <c r="AE8" s="3">
        <v>10</v>
      </c>
    </row>
    <row r="9" spans="1:31" ht="43.15" customHeight="1">
      <c r="F9" s="894" t="s">
        <v>24</v>
      </c>
      <c r="G9" s="894" t="s">
        <v>887</v>
      </c>
      <c r="H9" s="935" t="s">
        <v>888</v>
      </c>
      <c r="I9" s="894" t="s">
        <v>889</v>
      </c>
      <c r="J9" s="894" t="s">
        <v>890</v>
      </c>
      <c r="K9" s="894" t="s">
        <v>891</v>
      </c>
      <c r="L9" s="894" t="s">
        <v>892</v>
      </c>
      <c r="M9" s="894" t="s">
        <v>893</v>
      </c>
      <c r="N9" s="962" t="s">
        <v>894</v>
      </c>
      <c r="O9" s="962"/>
      <c r="P9" s="962"/>
      <c r="Q9" s="1014" t="s">
        <v>895</v>
      </c>
      <c r="R9" s="1015"/>
      <c r="S9" s="1015"/>
      <c r="T9" s="1016"/>
      <c r="U9" s="1014" t="s">
        <v>896</v>
      </c>
      <c r="V9" s="1015"/>
      <c r="W9" s="1015"/>
      <c r="X9" s="1016"/>
      <c r="Y9" s="887" t="s">
        <v>897</v>
      </c>
      <c r="Z9" s="890"/>
      <c r="AA9" s="890"/>
      <c r="AB9" s="886"/>
      <c r="AE9" s="3">
        <v>41</v>
      </c>
    </row>
    <row r="10" spans="1:31" ht="43.15" customHeight="1">
      <c r="F10" s="935"/>
      <c r="G10" s="935"/>
      <c r="H10" s="987"/>
      <c r="I10" s="935"/>
      <c r="J10" s="935"/>
      <c r="K10" s="935"/>
      <c r="L10" s="935"/>
      <c r="M10" s="935"/>
      <c r="N10" s="518" t="s">
        <v>898</v>
      </c>
      <c r="O10" s="518" t="s">
        <v>899</v>
      </c>
      <c r="P10" s="273" t="s">
        <v>900</v>
      </c>
      <c r="Q10" s="518" t="s">
        <v>25</v>
      </c>
      <c r="R10" s="518" t="s">
        <v>901</v>
      </c>
      <c r="S10" s="518" t="s">
        <v>902</v>
      </c>
      <c r="T10" s="350" t="s">
        <v>903</v>
      </c>
      <c r="U10" s="518" t="s">
        <v>25</v>
      </c>
      <c r="V10" s="518" t="s">
        <v>904</v>
      </c>
      <c r="W10" s="518" t="s">
        <v>902</v>
      </c>
      <c r="X10" s="350" t="s">
        <v>903</v>
      </c>
      <c r="Y10" s="272" t="s">
        <v>905</v>
      </c>
      <c r="Z10" s="887" t="s">
        <v>24</v>
      </c>
      <c r="AA10" s="886"/>
      <c r="AB10" s="30" t="s">
        <v>906</v>
      </c>
      <c r="AE10" s="3">
        <v>41</v>
      </c>
    </row>
    <row r="11" spans="1:31" ht="5.25" hidden="1" customHeight="1">
      <c r="F11" s="1113" t="s">
        <v>299</v>
      </c>
      <c r="G11" s="1115"/>
      <c r="H11" s="1111"/>
      <c r="I11" s="1111"/>
      <c r="J11" s="1111"/>
      <c r="K11" s="1114"/>
      <c r="L11" s="1114"/>
      <c r="M11" s="1114"/>
      <c r="N11" s="1111"/>
      <c r="O11" s="1111"/>
      <c r="P11" s="894"/>
      <c r="Q11" s="945"/>
      <c r="R11" s="945"/>
      <c r="S11" s="945"/>
      <c r="T11" s="1111"/>
      <c r="U11" s="945"/>
      <c r="V11" s="945"/>
      <c r="W11" s="945"/>
      <c r="X11" s="1111"/>
      <c r="Y11" s="896"/>
      <c r="Z11" s="896"/>
      <c r="AA11" s="896"/>
      <c r="AB11" s="896"/>
      <c r="AD11" s="24" t="s">
        <v>907</v>
      </c>
      <c r="AE11" s="24">
        <v>0</v>
      </c>
    </row>
    <row r="12" spans="1:31" ht="5.25" hidden="1" customHeight="1">
      <c r="F12" s="1113"/>
      <c r="G12" s="1115"/>
      <c r="H12" s="1111"/>
      <c r="I12" s="1111"/>
      <c r="J12" s="1111"/>
      <c r="K12" s="1114"/>
      <c r="L12" s="1114"/>
      <c r="M12" s="1114"/>
      <c r="N12" s="1111"/>
      <c r="O12" s="1111"/>
      <c r="P12" s="894"/>
      <c r="Q12" s="945"/>
      <c r="R12" s="945"/>
      <c r="S12" s="945"/>
      <c r="T12" s="1111"/>
      <c r="U12" s="945"/>
      <c r="V12" s="945"/>
      <c r="W12" s="945"/>
      <c r="X12" s="1111"/>
      <c r="Y12" s="1112"/>
      <c r="Z12" s="1112"/>
      <c r="AA12" s="1112"/>
      <c r="AB12" s="1112"/>
      <c r="AE12" s="24">
        <v>0</v>
      </c>
    </row>
    <row r="13" spans="1:31" ht="10.5" customHeight="1">
      <c r="F13" s="337"/>
      <c r="G13" s="42" t="s">
        <v>908</v>
      </c>
      <c r="H13" s="42"/>
      <c r="I13" s="394"/>
      <c r="J13" s="394"/>
      <c r="K13" s="394"/>
      <c r="L13" s="394"/>
      <c r="M13" s="394"/>
      <c r="N13" s="394"/>
      <c r="O13" s="394"/>
      <c r="P13" s="394"/>
      <c r="Q13" s="394"/>
      <c r="R13" s="394"/>
      <c r="S13" s="394"/>
      <c r="T13" s="394"/>
      <c r="U13" s="394"/>
      <c r="V13" s="394"/>
      <c r="W13" s="394"/>
      <c r="X13" s="394"/>
      <c r="Y13" s="394"/>
      <c r="Z13" s="515"/>
      <c r="AA13" s="515"/>
      <c r="AB13" s="520"/>
      <c r="AE13" s="3">
        <v>10</v>
      </c>
    </row>
    <row r="14" spans="1:31" ht="10.5" customHeight="1">
      <c r="AE14" s="3">
        <v>10</v>
      </c>
    </row>
    <row r="15" spans="1:31" ht="10.5" customHeight="1">
      <c r="H15" s="24">
        <f>IFERROR(MATCH("нет",IP_MAIN_DIFFERENTIATION_EVENTS_FLAG,0),0)</f>
        <v>0</v>
      </c>
      <c r="AE15" s="24">
        <v>10</v>
      </c>
    </row>
    <row r="16" spans="1:31" ht="10.5" hidden="1" customHeight="1">
      <c r="A16" s="20" t="s">
        <v>18</v>
      </c>
      <c r="B16" s="20">
        <v>0</v>
      </c>
      <c r="C16" s="20">
        <v>0</v>
      </c>
      <c r="D16" s="11">
        <v>0</v>
      </c>
      <c r="E16" s="3">
        <v>3</v>
      </c>
      <c r="F16" s="3">
        <v>6</v>
      </c>
      <c r="G16" s="3">
        <v>37</v>
      </c>
      <c r="H16" s="3">
        <v>16</v>
      </c>
      <c r="I16" s="3">
        <v>19</v>
      </c>
      <c r="J16" s="3">
        <v>19</v>
      </c>
      <c r="K16" s="3">
        <v>24</v>
      </c>
      <c r="L16" s="3">
        <v>25</v>
      </c>
      <c r="M16" s="3">
        <v>25</v>
      </c>
      <c r="N16" s="3">
        <v>17</v>
      </c>
      <c r="O16" s="3">
        <v>17</v>
      </c>
      <c r="P16" s="3">
        <v>17</v>
      </c>
      <c r="Q16" s="3">
        <v>19</v>
      </c>
      <c r="R16" s="3">
        <v>19</v>
      </c>
      <c r="S16" s="3">
        <v>19</v>
      </c>
      <c r="T16" s="3">
        <v>19</v>
      </c>
      <c r="U16" s="3">
        <v>19</v>
      </c>
      <c r="V16" s="3">
        <v>19</v>
      </c>
      <c r="W16" s="3">
        <v>19</v>
      </c>
      <c r="X16" s="3">
        <v>19</v>
      </c>
      <c r="Y16" s="3">
        <v>7</v>
      </c>
      <c r="Z16" s="3">
        <v>3</v>
      </c>
      <c r="AA16" s="3">
        <v>6</v>
      </c>
      <c r="AB16" s="3">
        <v>34</v>
      </c>
      <c r="AC16" s="3">
        <v>8</v>
      </c>
      <c r="AD16" s="3">
        <v>8</v>
      </c>
      <c r="AE16" s="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4" width="4.140625" hidden="1" customWidth="1"/>
    <col min="5" max="5" width="3" customWidth="1"/>
    <col min="6" max="6" width="14" customWidth="1"/>
    <col min="7" max="7" width="3" customWidth="1"/>
    <col min="8" max="8" width="7" customWidth="1"/>
    <col min="9" max="10" width="16" customWidth="1"/>
    <col min="11" max="11" width="25" customWidth="1"/>
    <col min="12" max="12" width="7" customWidth="1"/>
    <col min="13" max="13" width="15" customWidth="1"/>
    <col min="14" max="14" width="3" customWidth="1"/>
    <col min="15" max="15" width="4" customWidth="1"/>
    <col min="16" max="16" width="8" customWidth="1"/>
    <col min="17" max="17" width="21" customWidth="1"/>
    <col min="18" max="18" width="14" customWidth="1"/>
    <col min="19" max="20" width="17" customWidth="1"/>
    <col min="21" max="21" width="9" customWidth="1"/>
    <col min="22" max="22" width="12" customWidth="1"/>
    <col min="23" max="23" width="9" customWidth="1"/>
    <col min="24" max="24" width="21" customWidth="1"/>
    <col min="25" max="25" width="12" customWidth="1"/>
    <col min="26" max="26" width="3" customWidth="1"/>
    <col min="27" max="27" width="6" customWidth="1"/>
    <col min="28" max="28" width="38" customWidth="1"/>
    <col min="29" max="29" width="15" customWidth="1"/>
    <col min="30" max="30" width="37.5703125" hidden="1" customWidth="1"/>
    <col min="31" max="31" width="15.7109375" hidden="1" customWidth="1"/>
    <col min="32" max="34" width="16" customWidth="1"/>
    <col min="35" max="37" width="16.7109375" hidden="1" customWidth="1"/>
    <col min="38" max="58" width="8" customWidth="1"/>
    <col min="59" max="59" width="9.140625" hidden="1"/>
  </cols>
  <sheetData>
    <row r="1" spans="5:59" ht="10.5" hidden="1" customHeight="1">
      <c r="BG1" s="11" t="s">
        <v>1</v>
      </c>
    </row>
    <row r="2" spans="5:59" ht="10.5" hidden="1" customHeight="1">
      <c r="BG2" s="3">
        <v>0</v>
      </c>
    </row>
    <row r="3" spans="5:59" ht="10.5" hidden="1" customHeight="1">
      <c r="BG3" s="2">
        <v>0</v>
      </c>
    </row>
    <row r="4" spans="5:59" ht="3" customHeight="1">
      <c r="BG4" s="3">
        <v>3</v>
      </c>
    </row>
    <row r="5" spans="5:59" ht="27.4" customHeight="1">
      <c r="F5" s="982" t="str">
        <f>IP_NAME_FORM</f>
        <v>Форма 7. Информация об инвестиционных программах организации горячего водоснабжения и отчетах об их исполнении</v>
      </c>
      <c r="G5" s="982"/>
      <c r="H5" s="982"/>
      <c r="I5" s="982"/>
      <c r="J5" s="982"/>
      <c r="K5" s="982"/>
      <c r="BG5" s="3">
        <v>26</v>
      </c>
    </row>
    <row r="6" spans="5:59" ht="10.5" customHeight="1">
      <c r="F6" s="955" t="e">
        <f>IF(org=0,"Не определено",org)</f>
        <v>#REF!</v>
      </c>
      <c r="G6" s="955"/>
      <c r="H6" s="955"/>
      <c r="I6" s="955"/>
      <c r="J6" s="955"/>
      <c r="K6" s="955"/>
      <c r="BG6" s="3">
        <v>10</v>
      </c>
    </row>
    <row r="7" spans="5:59" ht="11.45" customHeight="1">
      <c r="E7" s="12"/>
      <c r="F7" s="521"/>
      <c r="G7" s="521"/>
      <c r="H7" s="521"/>
      <c r="I7" s="521"/>
      <c r="J7" s="521"/>
      <c r="K7" s="522"/>
      <c r="L7" s="522"/>
      <c r="M7" s="522"/>
      <c r="N7" s="521"/>
      <c r="O7" s="521"/>
      <c r="P7" s="521"/>
      <c r="Q7" s="522"/>
      <c r="R7" s="521"/>
      <c r="S7" s="521"/>
      <c r="T7" s="521"/>
      <c r="U7" s="521"/>
      <c r="V7" s="521"/>
      <c r="W7" s="521"/>
      <c r="X7" s="521"/>
      <c r="Y7" s="521"/>
      <c r="Z7" s="521"/>
      <c r="AA7" s="521"/>
      <c r="AB7" s="521"/>
      <c r="AC7" s="523"/>
      <c r="AD7" s="523"/>
      <c r="AE7" s="523"/>
      <c r="AF7" s="521"/>
      <c r="AG7" s="521"/>
      <c r="AH7" s="521"/>
      <c r="AI7" s="521"/>
      <c r="AJ7" s="521"/>
      <c r="AK7" s="521"/>
      <c r="BG7" s="3">
        <v>11</v>
      </c>
    </row>
    <row r="8" spans="5:59" ht="10.5" customHeight="1">
      <c r="E8" s="12"/>
      <c r="F8" s="1117" t="s">
        <v>223</v>
      </c>
      <c r="G8" s="1118"/>
      <c r="H8" s="1118"/>
      <c r="I8" s="1118"/>
      <c r="J8" s="1118"/>
      <c r="K8" s="1118"/>
      <c r="L8" s="1118"/>
      <c r="M8" s="1118"/>
      <c r="N8" s="1118"/>
      <c r="O8" s="1118"/>
      <c r="P8" s="1118"/>
      <c r="Q8" s="1118"/>
      <c r="R8" s="1118"/>
      <c r="S8" s="1118"/>
      <c r="T8" s="1118"/>
      <c r="U8" s="1118"/>
      <c r="V8" s="1118"/>
      <c r="W8" s="1118"/>
      <c r="X8" s="1118"/>
      <c r="Y8" s="1118"/>
      <c r="Z8" s="1118"/>
      <c r="AA8" s="1118"/>
      <c r="AB8" s="1118"/>
      <c r="AC8" s="1118"/>
      <c r="AD8" s="1118"/>
      <c r="AE8" s="1118"/>
      <c r="AF8" s="1118"/>
      <c r="AG8" s="1118"/>
      <c r="AH8" s="1118"/>
      <c r="AI8" s="1118"/>
      <c r="AJ8" s="1118"/>
      <c r="AK8" s="1119"/>
      <c r="AL8" s="524"/>
      <c r="BG8" s="3">
        <v>10</v>
      </c>
    </row>
    <row r="9" spans="5:59" ht="24" customHeight="1">
      <c r="E9" s="12"/>
      <c r="F9" s="962" t="s">
        <v>909</v>
      </c>
      <c r="G9" s="1062" t="s">
        <v>910</v>
      </c>
      <c r="H9" s="1100"/>
      <c r="I9" s="894" t="s">
        <v>911</v>
      </c>
      <c r="J9" s="894"/>
      <c r="K9" s="894" t="s">
        <v>912</v>
      </c>
      <c r="L9" s="894"/>
      <c r="M9" s="894"/>
      <c r="N9" s="894"/>
      <c r="O9" s="894"/>
      <c r="P9" s="894"/>
      <c r="Q9" s="894"/>
      <c r="R9" s="894"/>
      <c r="S9" s="894"/>
      <c r="T9" s="894"/>
      <c r="U9" s="894"/>
      <c r="V9" s="894"/>
      <c r="W9" s="894"/>
      <c r="X9" s="894"/>
      <c r="Y9" s="894"/>
      <c r="Z9" s="936" t="s">
        <v>913</v>
      </c>
      <c r="AA9" s="937"/>
      <c r="AB9" s="894" t="s">
        <v>914</v>
      </c>
      <c r="AC9" s="894"/>
      <c r="AD9" s="894"/>
      <c r="AE9" s="894"/>
      <c r="AF9" s="935" t="s">
        <v>915</v>
      </c>
      <c r="AG9" s="894" t="s">
        <v>916</v>
      </c>
      <c r="AH9" s="894"/>
      <c r="AI9" s="935" t="s">
        <v>917</v>
      </c>
      <c r="AJ9" s="894" t="s">
        <v>918</v>
      </c>
      <c r="AK9" s="894"/>
      <c r="BG9" s="3">
        <v>23</v>
      </c>
    </row>
    <row r="10" spans="5:59" ht="25.15" customHeight="1">
      <c r="E10" s="12"/>
      <c r="F10" s="962"/>
      <c r="G10" s="1063"/>
      <c r="H10" s="966"/>
      <c r="I10" s="894"/>
      <c r="J10" s="894"/>
      <c r="K10" s="894" t="s">
        <v>919</v>
      </c>
      <c r="L10" s="887" t="s">
        <v>920</v>
      </c>
      <c r="M10" s="886"/>
      <c r="N10" s="894" t="s">
        <v>921</v>
      </c>
      <c r="O10" s="894"/>
      <c r="P10" s="894"/>
      <c r="Q10" s="894"/>
      <c r="R10" s="894"/>
      <c r="S10" s="894"/>
      <c r="T10" s="894"/>
      <c r="U10" s="894"/>
      <c r="V10" s="894"/>
      <c r="W10" s="894"/>
      <c r="X10" s="894"/>
      <c r="Y10" s="894"/>
      <c r="Z10" s="938"/>
      <c r="AA10" s="939"/>
      <c r="AB10" s="894"/>
      <c r="AC10" s="894"/>
      <c r="AD10" s="894"/>
      <c r="AE10" s="894"/>
      <c r="AF10" s="940"/>
      <c r="AG10" s="894"/>
      <c r="AH10" s="894"/>
      <c r="AI10" s="940"/>
      <c r="AJ10" s="894"/>
      <c r="AK10" s="894"/>
      <c r="BG10" s="3">
        <v>24</v>
      </c>
    </row>
    <row r="11" spans="5:59" ht="25.15" customHeight="1">
      <c r="E11" s="12"/>
      <c r="F11" s="962"/>
      <c r="G11" s="1063"/>
      <c r="H11" s="966"/>
      <c r="I11" s="894"/>
      <c r="J11" s="894"/>
      <c r="K11" s="894"/>
      <c r="L11" s="935" t="s">
        <v>922</v>
      </c>
      <c r="M11" s="935" t="s">
        <v>923</v>
      </c>
      <c r="N11" s="894" t="s">
        <v>924</v>
      </c>
      <c r="O11" s="894"/>
      <c r="P11" s="933" t="s">
        <v>905</v>
      </c>
      <c r="Q11" s="933" t="s">
        <v>925</v>
      </c>
      <c r="R11" s="933" t="s">
        <v>926</v>
      </c>
      <c r="S11" s="933" t="s">
        <v>927</v>
      </c>
      <c r="T11" s="933"/>
      <c r="U11" s="933"/>
      <c r="V11" s="933"/>
      <c r="W11" s="933"/>
      <c r="X11" s="933"/>
      <c r="Y11" s="933"/>
      <c r="Z11" s="938"/>
      <c r="AA11" s="939"/>
      <c r="AB11" s="894" t="s">
        <v>928</v>
      </c>
      <c r="AC11" s="894"/>
      <c r="AD11" s="887" t="s">
        <v>929</v>
      </c>
      <c r="AE11" s="886"/>
      <c r="AF11" s="940"/>
      <c r="AG11" s="894"/>
      <c r="AH11" s="894"/>
      <c r="AI11" s="940"/>
      <c r="AJ11" s="894"/>
      <c r="AK11" s="894"/>
      <c r="BG11" s="3">
        <v>24</v>
      </c>
    </row>
    <row r="12" spans="5:59" ht="35.65" customHeight="1">
      <c r="E12" s="12"/>
      <c r="F12" s="962"/>
      <c r="G12" s="1064"/>
      <c r="H12" s="1116"/>
      <c r="I12" s="30" t="s">
        <v>25</v>
      </c>
      <c r="J12" s="30" t="s">
        <v>930</v>
      </c>
      <c r="K12" s="894"/>
      <c r="L12" s="987"/>
      <c r="M12" s="987"/>
      <c r="N12" s="894"/>
      <c r="O12" s="894"/>
      <c r="P12" s="933"/>
      <c r="Q12" s="933"/>
      <c r="R12" s="933"/>
      <c r="S12" s="65" t="s">
        <v>22</v>
      </c>
      <c r="T12" s="65" t="s">
        <v>23</v>
      </c>
      <c r="U12" s="65" t="s">
        <v>21</v>
      </c>
      <c r="V12" s="65" t="s">
        <v>931</v>
      </c>
      <c r="W12" s="65" t="s">
        <v>21</v>
      </c>
      <c r="X12" s="65" t="s">
        <v>932</v>
      </c>
      <c r="Y12" s="65" t="s">
        <v>933</v>
      </c>
      <c r="Z12" s="941"/>
      <c r="AA12" s="942"/>
      <c r="AB12" s="30" t="s">
        <v>934</v>
      </c>
      <c r="AC12" s="30" t="s">
        <v>935</v>
      </c>
      <c r="AD12" s="30" t="s">
        <v>934</v>
      </c>
      <c r="AE12" s="30" t="s">
        <v>935</v>
      </c>
      <c r="AF12" s="987"/>
      <c r="AG12" s="30" t="s">
        <v>936</v>
      </c>
      <c r="AH12" s="30" t="s">
        <v>937</v>
      </c>
      <c r="AI12" s="987"/>
      <c r="AJ12" s="30" t="s">
        <v>936</v>
      </c>
      <c r="AK12" s="30" t="s">
        <v>937</v>
      </c>
      <c r="BG12" s="3">
        <v>34</v>
      </c>
    </row>
    <row r="13" spans="5:59" ht="1.1499999999999999" customHeight="1">
      <c r="E13" s="12"/>
      <c r="F13" s="12">
        <v>0</v>
      </c>
      <c r="G13" s="12"/>
      <c r="H13" s="12"/>
      <c r="I13" s="12"/>
      <c r="J13" s="12"/>
      <c r="AL13" s="524"/>
      <c r="BG13" s="3">
        <v>1</v>
      </c>
    </row>
    <row r="14" spans="5:59" ht="10.5" customHeight="1">
      <c r="BG14" s="3">
        <v>10</v>
      </c>
    </row>
    <row r="15" spans="5:59" ht="13.5" customHeight="1">
      <c r="F15" s="59" t="s">
        <v>938</v>
      </c>
      <c r="BG15" s="3">
        <v>13</v>
      </c>
    </row>
    <row r="16" spans="5:59" ht="10.5" customHeight="1">
      <c r="BG16" s="3">
        <v>10</v>
      </c>
    </row>
    <row r="17" spans="1:59" ht="10.5" customHeight="1">
      <c r="F17" s="885"/>
      <c r="G17" s="885"/>
      <c r="H17" s="885"/>
      <c r="I17" s="885"/>
      <c r="J17" s="885"/>
      <c r="BG17" s="3">
        <v>10</v>
      </c>
    </row>
    <row r="18" spans="1:59" ht="10.5" customHeight="1">
      <c r="F18" s="885"/>
      <c r="G18" s="885"/>
      <c r="H18" s="885"/>
      <c r="I18" s="885"/>
      <c r="J18" s="885"/>
      <c r="BG18" s="3">
        <v>10</v>
      </c>
    </row>
    <row r="19" spans="1:59" ht="10.5" customHeight="1">
      <c r="F19" s="885"/>
      <c r="G19" s="885"/>
      <c r="H19" s="885"/>
      <c r="I19" s="885"/>
      <c r="J19" s="885"/>
      <c r="BG19" s="3">
        <v>10</v>
      </c>
    </row>
    <row r="20" spans="1:59" ht="10.5" hidden="1" customHeight="1">
      <c r="A20" s="20" t="s">
        <v>18</v>
      </c>
      <c r="B20" s="20">
        <v>0</v>
      </c>
      <c r="C20" s="20">
        <v>0</v>
      </c>
      <c r="D20" s="11">
        <v>0</v>
      </c>
      <c r="E20" s="3">
        <v>3</v>
      </c>
      <c r="F20" s="3">
        <v>14</v>
      </c>
      <c r="G20" s="3">
        <v>3</v>
      </c>
      <c r="H20" s="3">
        <v>7</v>
      </c>
      <c r="I20" s="3">
        <v>16</v>
      </c>
      <c r="J20" s="3">
        <v>16</v>
      </c>
      <c r="K20" s="3">
        <v>25</v>
      </c>
      <c r="L20" s="3">
        <v>7</v>
      </c>
      <c r="M20" s="3">
        <v>15</v>
      </c>
      <c r="N20" s="3">
        <v>3</v>
      </c>
      <c r="O20" s="3">
        <v>4</v>
      </c>
      <c r="P20" s="3">
        <v>8</v>
      </c>
      <c r="Q20" s="3">
        <v>21</v>
      </c>
      <c r="R20" s="3">
        <v>14</v>
      </c>
      <c r="S20" s="3">
        <v>17</v>
      </c>
      <c r="T20" s="3">
        <v>17</v>
      </c>
      <c r="U20" s="3">
        <v>9</v>
      </c>
      <c r="V20" s="3">
        <v>12</v>
      </c>
      <c r="W20" s="3">
        <v>9</v>
      </c>
      <c r="X20" s="3">
        <v>21</v>
      </c>
      <c r="Y20" s="3">
        <v>12</v>
      </c>
      <c r="Z20" s="3">
        <v>3</v>
      </c>
      <c r="AA20" s="3">
        <v>6</v>
      </c>
      <c r="AB20" s="3">
        <v>38</v>
      </c>
      <c r="AC20" s="3">
        <v>15</v>
      </c>
      <c r="AD20" s="3">
        <v>0</v>
      </c>
      <c r="AE20" s="3">
        <v>0</v>
      </c>
      <c r="AF20" s="3">
        <v>16</v>
      </c>
      <c r="AG20" s="3">
        <v>16</v>
      </c>
      <c r="AH20" s="3">
        <v>16</v>
      </c>
      <c r="AI20" s="3">
        <v>0</v>
      </c>
      <c r="AJ20" s="3">
        <v>0</v>
      </c>
      <c r="AK20" s="3">
        <v>0</v>
      </c>
      <c r="AL20" s="3">
        <v>8</v>
      </c>
      <c r="AM20" s="3">
        <v>8</v>
      </c>
      <c r="AN20" s="3">
        <v>8</v>
      </c>
      <c r="AO20" s="3">
        <v>8</v>
      </c>
      <c r="AP20" s="3">
        <v>8</v>
      </c>
      <c r="AQ20" s="3">
        <v>8</v>
      </c>
      <c r="AR20" s="3">
        <v>8</v>
      </c>
      <c r="AS20" s="3">
        <v>8</v>
      </c>
      <c r="AT20" s="3">
        <v>8</v>
      </c>
      <c r="AU20" s="3">
        <v>8</v>
      </c>
      <c r="AV20" s="3">
        <v>8</v>
      </c>
      <c r="AW20" s="3">
        <v>8</v>
      </c>
      <c r="AX20" s="3">
        <v>8</v>
      </c>
      <c r="AY20" s="3">
        <v>8</v>
      </c>
      <c r="AZ20" s="3">
        <v>8</v>
      </c>
      <c r="BA20" s="3">
        <v>8</v>
      </c>
      <c r="BB20" s="3">
        <v>8</v>
      </c>
      <c r="BC20" s="3">
        <v>8</v>
      </c>
      <c r="BD20" s="3">
        <v>8</v>
      </c>
      <c r="BE20" s="3">
        <v>8</v>
      </c>
      <c r="BF20" s="3">
        <v>8</v>
      </c>
      <c r="BG20" s="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4" width="4.140625" hidden="1" customWidth="1"/>
    <col min="5" max="5" width="3" customWidth="1"/>
    <col min="6" max="6" width="6" customWidth="1"/>
    <col min="7" max="7" width="60" customWidth="1"/>
    <col min="8" max="9" width="21.7109375" hidden="1" customWidth="1"/>
    <col min="10" max="10" width="0.140625" customWidth="1"/>
    <col min="11" max="11" width="1" customWidth="1"/>
    <col min="12" max="22" width="8" customWidth="1"/>
    <col min="23" max="23" width="9.140625" hidden="1"/>
  </cols>
  <sheetData>
    <row r="1" spans="5:23" ht="10.5" hidden="1" customHeight="1">
      <c r="W1" s="11" t="s">
        <v>1</v>
      </c>
    </row>
    <row r="2" spans="5:23" ht="10.5" hidden="1" customHeight="1">
      <c r="W2" s="3">
        <v>0</v>
      </c>
    </row>
    <row r="3" spans="5:23" ht="10.5" hidden="1" customHeight="1">
      <c r="W3" s="2">
        <v>0</v>
      </c>
    </row>
    <row r="4" spans="5:23" ht="3" customHeight="1">
      <c r="W4" s="3">
        <v>3</v>
      </c>
    </row>
    <row r="5" spans="5:23" ht="27.4" customHeight="1">
      <c r="F5" s="982"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982"/>
      <c r="H5" s="982"/>
      <c r="I5" s="982"/>
      <c r="J5" s="982"/>
      <c r="W5" s="3">
        <v>26</v>
      </c>
    </row>
    <row r="6" spans="5:23" ht="10.5" customHeight="1">
      <c r="F6" s="955" t="e">
        <f>IF(org=0,"Не определено",org)</f>
        <v>#REF!</v>
      </c>
      <c r="G6" s="955"/>
      <c r="H6" s="955"/>
      <c r="I6" s="955"/>
      <c r="J6" s="955"/>
      <c r="W6" s="3">
        <v>10</v>
      </c>
    </row>
    <row r="7" spans="5:23" ht="11.45" customHeight="1">
      <c r="E7" s="12"/>
      <c r="F7" s="525"/>
      <c r="G7" s="525"/>
      <c r="H7" s="525"/>
      <c r="I7" s="525"/>
      <c r="J7" s="525"/>
      <c r="W7" s="3">
        <v>11</v>
      </c>
    </row>
    <row r="8" spans="5:23" ht="4.1500000000000004" customHeight="1">
      <c r="F8" s="526"/>
      <c r="G8" s="526"/>
      <c r="H8" s="526"/>
      <c r="I8" s="526"/>
      <c r="J8" s="526"/>
      <c r="W8" s="24">
        <v>4</v>
      </c>
    </row>
    <row r="9" spans="5:23" ht="10.5" customHeight="1">
      <c r="E9" s="12"/>
      <c r="F9" s="1120" t="s">
        <v>223</v>
      </c>
      <c r="G9" s="1121"/>
      <c r="H9" s="1121"/>
      <c r="I9" s="1121"/>
      <c r="J9" s="1121"/>
      <c r="K9" s="527"/>
      <c r="W9" s="3">
        <v>10</v>
      </c>
    </row>
    <row r="10" spans="5:23" ht="25.15" customHeight="1">
      <c r="F10" s="1124" t="s">
        <v>24</v>
      </c>
      <c r="G10" s="1128" t="s">
        <v>939</v>
      </c>
      <c r="H10" s="1111" t="s">
        <v>940</v>
      </c>
      <c r="I10" s="1111"/>
      <c r="J10" s="1111"/>
      <c r="K10" s="528"/>
      <c r="W10" s="3">
        <v>24</v>
      </c>
    </row>
    <row r="11" spans="5:23" ht="25.5" customHeight="1">
      <c r="F11" s="1125"/>
      <c r="G11" s="1128"/>
      <c r="H11" s="1127" t="e">
        <f>INDEX(IP_MAIN_LIST_NAME_IP,MATCH(H8,IP_MAIN_LIST_IP_ID,0))&amp;" ("&amp;INDEX(IP_MAIN_START_DATE,MATCH(H8,IP_MAIN_LIST_IP_ID,0))&amp;"-"&amp;INDEX(IP_MAIN_END_DATE,MATCH(H8,IP_MAIN_LIST_IP_ID,0))&amp;")"</f>
        <v>#N/A</v>
      </c>
      <c r="I11" s="1127"/>
      <c r="J11" s="1127"/>
      <c r="K11" s="528"/>
      <c r="W11" s="3">
        <v>24</v>
      </c>
    </row>
    <row r="12" spans="5:23" ht="10.5" customHeight="1">
      <c r="F12" s="1126"/>
      <c r="G12" s="1128"/>
      <c r="H12" s="69" t="s">
        <v>941</v>
      </c>
      <c r="I12" s="529"/>
      <c r="J12" s="69"/>
      <c r="K12" s="530"/>
      <c r="W12" s="3">
        <v>10</v>
      </c>
    </row>
    <row r="13" spans="5:23" ht="10.5" hidden="1" customHeight="1">
      <c r="F13" s="69">
        <v>1</v>
      </c>
      <c r="G13" s="69">
        <v>2</v>
      </c>
      <c r="H13" s="69">
        <v>3</v>
      </c>
      <c r="I13" s="69">
        <v>4</v>
      </c>
      <c r="J13" s="69">
        <v>5</v>
      </c>
      <c r="K13" s="530"/>
      <c r="W13" s="3">
        <v>0</v>
      </c>
    </row>
    <row r="14" spans="5:23" ht="11.45" customHeight="1">
      <c r="F14" s="190" t="s">
        <v>942</v>
      </c>
      <c r="G14" s="1122" t="s">
        <v>943</v>
      </c>
      <c r="H14" s="1122"/>
      <c r="I14" s="1122"/>
      <c r="J14" s="1122"/>
      <c r="K14" s="530"/>
      <c r="W14" s="3">
        <v>11</v>
      </c>
    </row>
    <row r="15" spans="5:23" ht="11.45" customHeight="1">
      <c r="F15" s="69">
        <v>1</v>
      </c>
      <c r="G15" s="150" t="s">
        <v>944</v>
      </c>
      <c r="H15" s="531">
        <f t="shared" ref="H15:H36" si="0">SUM(I15:J15)</f>
        <v>0</v>
      </c>
      <c r="I15" s="531">
        <f>SUM(I16:I27)</f>
        <v>0</v>
      </c>
      <c r="J15" s="190"/>
      <c r="K15" s="530"/>
      <c r="W15" s="3">
        <v>11</v>
      </c>
    </row>
    <row r="16" spans="5:23" ht="24" customHeight="1">
      <c r="F16" s="69" t="s">
        <v>945</v>
      </c>
      <c r="G16" s="472" t="s">
        <v>946</v>
      </c>
      <c r="H16" s="531">
        <f t="shared" si="0"/>
        <v>0</v>
      </c>
      <c r="I16" s="532"/>
      <c r="J16" s="190"/>
      <c r="K16" s="530"/>
      <c r="W16" s="3">
        <v>23</v>
      </c>
    </row>
    <row r="17" spans="6:23" ht="24" customHeight="1">
      <c r="F17" s="69" t="s">
        <v>947</v>
      </c>
      <c r="G17" s="472" t="s">
        <v>948</v>
      </c>
      <c r="H17" s="531">
        <f t="shared" si="0"/>
        <v>0</v>
      </c>
      <c r="I17" s="532"/>
      <c r="J17" s="190"/>
      <c r="K17" s="530"/>
      <c r="W17" s="3">
        <v>23</v>
      </c>
    </row>
    <row r="18" spans="6:23" ht="35.65" customHeight="1">
      <c r="F18" s="69" t="s">
        <v>949</v>
      </c>
      <c r="G18" s="472" t="s">
        <v>950</v>
      </c>
      <c r="H18" s="531">
        <f t="shared" si="0"/>
        <v>0</v>
      </c>
      <c r="I18" s="532"/>
      <c r="J18" s="190"/>
      <c r="K18" s="530"/>
      <c r="W18" s="3">
        <v>34</v>
      </c>
    </row>
    <row r="19" spans="6:23" ht="35.65" customHeight="1">
      <c r="F19" s="69" t="s">
        <v>951</v>
      </c>
      <c r="G19" s="472" t="s">
        <v>952</v>
      </c>
      <c r="H19" s="531">
        <f t="shared" si="0"/>
        <v>0</v>
      </c>
      <c r="I19" s="532"/>
      <c r="J19" s="190"/>
      <c r="K19" s="530"/>
      <c r="W19" s="3">
        <v>34</v>
      </c>
    </row>
    <row r="20" spans="6:23" ht="48.2" customHeight="1">
      <c r="F20" s="69" t="s">
        <v>953</v>
      </c>
      <c r="G20" s="472" t="s">
        <v>954</v>
      </c>
      <c r="H20" s="531">
        <f t="shared" si="0"/>
        <v>0</v>
      </c>
      <c r="I20" s="532"/>
      <c r="J20" s="190"/>
      <c r="K20" s="530"/>
      <c r="W20" s="3">
        <v>46</v>
      </c>
    </row>
    <row r="21" spans="6:23" ht="35.65" customHeight="1">
      <c r="F21" s="69" t="s">
        <v>955</v>
      </c>
      <c r="G21" s="472" t="s">
        <v>956</v>
      </c>
      <c r="H21" s="531">
        <f t="shared" si="0"/>
        <v>0</v>
      </c>
      <c r="I21" s="532"/>
      <c r="J21" s="190"/>
      <c r="K21" s="530"/>
      <c r="W21" s="3">
        <v>34</v>
      </c>
    </row>
    <row r="22" spans="6:23" ht="35.65" customHeight="1">
      <c r="F22" s="69" t="s">
        <v>957</v>
      </c>
      <c r="G22" s="472" t="s">
        <v>958</v>
      </c>
      <c r="H22" s="531">
        <f t="shared" si="0"/>
        <v>0</v>
      </c>
      <c r="I22" s="532"/>
      <c r="J22" s="190"/>
      <c r="K22" s="530"/>
      <c r="W22" s="3">
        <v>34</v>
      </c>
    </row>
    <row r="23" spans="6:23" ht="24" customHeight="1">
      <c r="F23" s="69" t="s">
        <v>959</v>
      </c>
      <c r="G23" s="472" t="s">
        <v>960</v>
      </c>
      <c r="H23" s="531">
        <f t="shared" si="0"/>
        <v>0</v>
      </c>
      <c r="I23" s="532"/>
      <c r="J23" s="190"/>
      <c r="K23" s="530"/>
      <c r="W23" s="3">
        <v>23</v>
      </c>
    </row>
    <row r="24" spans="6:23" ht="24" customHeight="1">
      <c r="F24" s="69" t="s">
        <v>961</v>
      </c>
      <c r="G24" s="472" t="s">
        <v>962</v>
      </c>
      <c r="H24" s="531">
        <f t="shared" si="0"/>
        <v>0</v>
      </c>
      <c r="I24" s="532"/>
      <c r="J24" s="190"/>
      <c r="K24" s="530"/>
      <c r="W24" s="3">
        <v>23</v>
      </c>
    </row>
    <row r="25" spans="6:23" ht="35.65" customHeight="1">
      <c r="F25" s="69" t="s">
        <v>963</v>
      </c>
      <c r="G25" s="472" t="s">
        <v>964</v>
      </c>
      <c r="H25" s="531">
        <f t="shared" si="0"/>
        <v>0</v>
      </c>
      <c r="I25" s="532"/>
      <c r="J25" s="190"/>
      <c r="K25" s="530"/>
      <c r="W25" s="3">
        <v>34</v>
      </c>
    </row>
    <row r="26" spans="6:23" ht="35.65" customHeight="1">
      <c r="F26" s="69" t="s">
        <v>965</v>
      </c>
      <c r="G26" s="472" t="s">
        <v>966</v>
      </c>
      <c r="H26" s="531">
        <f t="shared" si="0"/>
        <v>0</v>
      </c>
      <c r="I26" s="532"/>
      <c r="J26" s="190"/>
      <c r="K26" s="530"/>
      <c r="W26" s="3">
        <v>34</v>
      </c>
    </row>
    <row r="27" spans="6:23" ht="11.45" customHeight="1">
      <c r="F27" s="69" t="s">
        <v>967</v>
      </c>
      <c r="G27" s="472" t="s">
        <v>968</v>
      </c>
      <c r="H27" s="531">
        <f t="shared" si="0"/>
        <v>0</v>
      </c>
      <c r="I27" s="532"/>
      <c r="J27" s="190"/>
      <c r="K27" s="530"/>
      <c r="W27" s="3">
        <v>11</v>
      </c>
    </row>
    <row r="28" spans="6:23" ht="11.45" customHeight="1">
      <c r="F28" s="69">
        <v>2</v>
      </c>
      <c r="G28" s="150" t="s">
        <v>969</v>
      </c>
      <c r="H28" s="531">
        <f t="shared" si="0"/>
        <v>0</v>
      </c>
      <c r="I28" s="531">
        <f>SUM(I29:I31)</f>
        <v>0</v>
      </c>
      <c r="J28" s="190"/>
      <c r="K28" s="530"/>
      <c r="W28" s="3">
        <v>11</v>
      </c>
    </row>
    <row r="29" spans="6:23" ht="11.45" customHeight="1">
      <c r="F29" s="69" t="s">
        <v>632</v>
      </c>
      <c r="G29" s="472" t="s">
        <v>970</v>
      </c>
      <c r="H29" s="531">
        <f t="shared" si="0"/>
        <v>0</v>
      </c>
      <c r="I29" s="532"/>
      <c r="J29" s="190"/>
      <c r="K29" s="530"/>
      <c r="W29" s="3">
        <v>11</v>
      </c>
    </row>
    <row r="30" spans="6:23" ht="11.45" customHeight="1">
      <c r="F30" s="69" t="s">
        <v>230</v>
      </c>
      <c r="G30" s="472" t="s">
        <v>971</v>
      </c>
      <c r="H30" s="531">
        <f t="shared" si="0"/>
        <v>0</v>
      </c>
      <c r="I30" s="532"/>
      <c r="J30" s="190"/>
      <c r="K30" s="530"/>
      <c r="W30" s="3">
        <v>11</v>
      </c>
    </row>
    <row r="31" spans="6:23" ht="11.45" customHeight="1">
      <c r="F31" s="69" t="s">
        <v>233</v>
      </c>
      <c r="G31" s="472" t="s">
        <v>972</v>
      </c>
      <c r="H31" s="531">
        <f t="shared" si="0"/>
        <v>0</v>
      </c>
      <c r="I31" s="532"/>
      <c r="J31" s="190"/>
      <c r="K31" s="530"/>
      <c r="W31" s="3">
        <v>11</v>
      </c>
    </row>
    <row r="32" spans="6:23" ht="11.45" customHeight="1">
      <c r="F32" s="69">
        <v>3</v>
      </c>
      <c r="G32" s="150" t="s">
        <v>973</v>
      </c>
      <c r="H32" s="531">
        <f t="shared" si="0"/>
        <v>0</v>
      </c>
      <c r="I32" s="531">
        <f>SUM(I33:I34)</f>
        <v>0</v>
      </c>
      <c r="J32" s="190"/>
      <c r="K32" s="530"/>
      <c r="W32" s="3">
        <v>11</v>
      </c>
    </row>
    <row r="33" spans="6:23" ht="48.2" customHeight="1">
      <c r="F33" s="69" t="s">
        <v>247</v>
      </c>
      <c r="G33" s="472" t="s">
        <v>974</v>
      </c>
      <c r="H33" s="531">
        <f t="shared" si="0"/>
        <v>0</v>
      </c>
      <c r="I33" s="532"/>
      <c r="J33" s="190"/>
      <c r="K33" s="530"/>
      <c r="W33" s="3">
        <v>46</v>
      </c>
    </row>
    <row r="34" spans="6:23" ht="11.45" customHeight="1">
      <c r="F34" s="69" t="s">
        <v>255</v>
      </c>
      <c r="G34" s="472" t="s">
        <v>975</v>
      </c>
      <c r="H34" s="531">
        <f t="shared" si="0"/>
        <v>0</v>
      </c>
      <c r="I34" s="532"/>
      <c r="J34" s="190"/>
      <c r="K34" s="530"/>
      <c r="W34" s="3">
        <v>11</v>
      </c>
    </row>
    <row r="35" spans="6:23" ht="11.45" customHeight="1">
      <c r="F35" s="69">
        <v>4</v>
      </c>
      <c r="G35" s="150" t="s">
        <v>976</v>
      </c>
      <c r="H35" s="531">
        <f t="shared" si="0"/>
        <v>0</v>
      </c>
      <c r="I35" s="532"/>
      <c r="J35" s="190"/>
      <c r="K35" s="530"/>
      <c r="W35" s="3">
        <v>11</v>
      </c>
    </row>
    <row r="36" spans="6:23" ht="11.45" customHeight="1">
      <c r="F36" s="69"/>
      <c r="G36" s="473" t="s">
        <v>977</v>
      </c>
      <c r="H36" s="531">
        <f t="shared" si="0"/>
        <v>0</v>
      </c>
      <c r="I36" s="531">
        <f>SUM(I15,I28,I32,I35)</f>
        <v>0</v>
      </c>
      <c r="J36" s="190"/>
      <c r="K36" s="530"/>
      <c r="W36" s="3">
        <v>11</v>
      </c>
    </row>
    <row r="37" spans="6:23" ht="29.25" customHeight="1">
      <c r="F37" s="190" t="s">
        <v>978</v>
      </c>
      <c r="G37" s="1123" t="s">
        <v>979</v>
      </c>
      <c r="H37" s="1123"/>
      <c r="I37" s="1123"/>
      <c r="J37" s="1123"/>
      <c r="K37" s="530"/>
      <c r="W37" s="3">
        <v>28</v>
      </c>
    </row>
    <row r="38" spans="6:23" ht="24" customHeight="1">
      <c r="F38" s="69" t="s">
        <v>31</v>
      </c>
      <c r="G38" s="150" t="s">
        <v>980</v>
      </c>
      <c r="H38" s="531">
        <f t="shared" ref="H38:H58" si="1">SUM(I38:J38)</f>
        <v>0</v>
      </c>
      <c r="I38" s="531">
        <f>SUM(I39,I44,I47)</f>
        <v>0</v>
      </c>
      <c r="J38" s="190"/>
      <c r="K38" s="530"/>
      <c r="W38" s="3">
        <v>23</v>
      </c>
    </row>
    <row r="39" spans="6:23" ht="11.45" customHeight="1">
      <c r="F39" s="69" t="s">
        <v>945</v>
      </c>
      <c r="G39" s="472" t="s">
        <v>944</v>
      </c>
      <c r="H39" s="531">
        <f t="shared" si="1"/>
        <v>0</v>
      </c>
      <c r="I39" s="531">
        <f>SUM(I40:I43)</f>
        <v>0</v>
      </c>
      <c r="J39" s="190"/>
      <c r="K39" s="530"/>
      <c r="W39" s="3">
        <v>11</v>
      </c>
    </row>
    <row r="40" spans="6:23" ht="24" customHeight="1">
      <c r="F40" s="69" t="s">
        <v>981</v>
      </c>
      <c r="G40" s="533" t="s">
        <v>982</v>
      </c>
      <c r="H40" s="531">
        <f t="shared" si="1"/>
        <v>0</v>
      </c>
      <c r="I40" s="532"/>
      <c r="J40" s="190"/>
      <c r="K40" s="530"/>
      <c r="W40" s="3">
        <v>23</v>
      </c>
    </row>
    <row r="41" spans="6:23" ht="11.45" customHeight="1">
      <c r="F41" s="69" t="s">
        <v>983</v>
      </c>
      <c r="G41" s="533" t="s">
        <v>984</v>
      </c>
      <c r="H41" s="531">
        <f t="shared" si="1"/>
        <v>0</v>
      </c>
      <c r="I41" s="532"/>
      <c r="J41" s="190"/>
      <c r="K41" s="530"/>
      <c r="W41" s="3">
        <v>11</v>
      </c>
    </row>
    <row r="42" spans="6:23" ht="11.45" customHeight="1">
      <c r="F42" s="69" t="s">
        <v>985</v>
      </c>
      <c r="G42" s="533" t="s">
        <v>986</v>
      </c>
      <c r="H42" s="531">
        <f t="shared" si="1"/>
        <v>0</v>
      </c>
      <c r="I42" s="532"/>
      <c r="J42" s="190"/>
      <c r="K42" s="530"/>
      <c r="W42" s="3">
        <v>11</v>
      </c>
    </row>
    <row r="43" spans="6:23" ht="35.65" customHeight="1">
      <c r="F43" s="69" t="s">
        <v>987</v>
      </c>
      <c r="G43" s="533" t="s">
        <v>988</v>
      </c>
      <c r="H43" s="531">
        <f t="shared" si="1"/>
        <v>0</v>
      </c>
      <c r="I43" s="532"/>
      <c r="J43" s="190"/>
      <c r="K43" s="530"/>
      <c r="W43" s="3">
        <v>34</v>
      </c>
    </row>
    <row r="44" spans="6:23" ht="11.45" customHeight="1">
      <c r="F44" s="69" t="s">
        <v>947</v>
      </c>
      <c r="G44" s="472" t="s">
        <v>973</v>
      </c>
      <c r="H44" s="531">
        <f t="shared" si="1"/>
        <v>0</v>
      </c>
      <c r="I44" s="531">
        <f>SUM(I45:I46)</f>
        <v>0</v>
      </c>
      <c r="J44" s="190"/>
      <c r="K44" s="530"/>
      <c r="W44" s="3">
        <v>11</v>
      </c>
    </row>
    <row r="45" spans="6:23" ht="48.2" customHeight="1">
      <c r="F45" s="69" t="s">
        <v>989</v>
      </c>
      <c r="G45" s="533" t="s">
        <v>974</v>
      </c>
      <c r="H45" s="531">
        <f t="shared" si="1"/>
        <v>0</v>
      </c>
      <c r="I45" s="532"/>
      <c r="J45" s="190"/>
      <c r="K45" s="530"/>
      <c r="W45" s="3">
        <v>46</v>
      </c>
    </row>
    <row r="46" spans="6:23" ht="11.45" customHeight="1">
      <c r="F46" s="69" t="s">
        <v>990</v>
      </c>
      <c r="G46" s="533" t="s">
        <v>975</v>
      </c>
      <c r="H46" s="531">
        <f t="shared" si="1"/>
        <v>0</v>
      </c>
      <c r="I46" s="532"/>
      <c r="J46" s="190"/>
      <c r="K46" s="530"/>
      <c r="W46" s="3">
        <v>11</v>
      </c>
    </row>
    <row r="47" spans="6:23" ht="11.45" customHeight="1">
      <c r="F47" s="69" t="s">
        <v>949</v>
      </c>
      <c r="G47" s="472" t="s">
        <v>991</v>
      </c>
      <c r="H47" s="531">
        <f t="shared" si="1"/>
        <v>0</v>
      </c>
      <c r="I47" s="532"/>
      <c r="J47" s="190"/>
      <c r="K47" s="530"/>
      <c r="W47" s="3">
        <v>11</v>
      </c>
    </row>
    <row r="48" spans="6:23" ht="24" customHeight="1">
      <c r="F48" s="69" t="s">
        <v>39</v>
      </c>
      <c r="G48" s="150" t="s">
        <v>992</v>
      </c>
      <c r="H48" s="531">
        <f t="shared" si="1"/>
        <v>0</v>
      </c>
      <c r="I48" s="531">
        <f>SUM(I49,I54,I57)</f>
        <v>0</v>
      </c>
      <c r="J48" s="190"/>
      <c r="K48" s="530"/>
      <c r="W48" s="3">
        <v>23</v>
      </c>
    </row>
    <row r="49" spans="1:23" ht="11.45" customHeight="1">
      <c r="F49" s="69" t="s">
        <v>632</v>
      </c>
      <c r="G49" s="472" t="s">
        <v>944</v>
      </c>
      <c r="H49" s="531">
        <f t="shared" si="1"/>
        <v>0</v>
      </c>
      <c r="I49" s="531">
        <f>SUM(I50:I53)</f>
        <v>0</v>
      </c>
      <c r="J49" s="190"/>
      <c r="K49" s="530"/>
      <c r="W49" s="3">
        <v>11</v>
      </c>
    </row>
    <row r="50" spans="1:23" ht="24" customHeight="1">
      <c r="F50" s="69" t="s">
        <v>635</v>
      </c>
      <c r="G50" s="533" t="s">
        <v>982</v>
      </c>
      <c r="H50" s="531">
        <f t="shared" si="1"/>
        <v>0</v>
      </c>
      <c r="I50" s="532"/>
      <c r="J50" s="190"/>
      <c r="K50" s="530"/>
      <c r="W50" s="3">
        <v>23</v>
      </c>
    </row>
    <row r="51" spans="1:23" ht="11.45" customHeight="1">
      <c r="F51" s="69" t="s">
        <v>638</v>
      </c>
      <c r="G51" s="533" t="s">
        <v>984</v>
      </c>
      <c r="H51" s="531">
        <f t="shared" si="1"/>
        <v>0</v>
      </c>
      <c r="I51" s="532"/>
      <c r="J51" s="190"/>
      <c r="K51" s="530"/>
      <c r="W51" s="3">
        <v>11</v>
      </c>
    </row>
    <row r="52" spans="1:23" ht="11.45" customHeight="1">
      <c r="F52" s="69" t="s">
        <v>993</v>
      </c>
      <c r="G52" s="533" t="s">
        <v>986</v>
      </c>
      <c r="H52" s="531">
        <f t="shared" si="1"/>
        <v>0</v>
      </c>
      <c r="I52" s="532"/>
      <c r="J52" s="190"/>
      <c r="K52" s="530"/>
      <c r="W52" s="3">
        <v>11</v>
      </c>
    </row>
    <row r="53" spans="1:23" ht="35.65" customHeight="1">
      <c r="F53" s="69" t="s">
        <v>994</v>
      </c>
      <c r="G53" s="533" t="s">
        <v>988</v>
      </c>
      <c r="H53" s="531">
        <f t="shared" si="1"/>
        <v>0</v>
      </c>
      <c r="I53" s="532"/>
      <c r="J53" s="190"/>
      <c r="K53" s="530"/>
      <c r="W53" s="3">
        <v>34</v>
      </c>
    </row>
    <row r="54" spans="1:23" ht="11.45" customHeight="1">
      <c r="F54" s="69" t="s">
        <v>230</v>
      </c>
      <c r="G54" s="472" t="s">
        <v>973</v>
      </c>
      <c r="H54" s="531">
        <f t="shared" si="1"/>
        <v>0</v>
      </c>
      <c r="I54" s="531">
        <f>SUM(I55:I56)</f>
        <v>0</v>
      </c>
      <c r="J54" s="190"/>
      <c r="K54" s="530"/>
      <c r="W54" s="3">
        <v>11</v>
      </c>
    </row>
    <row r="55" spans="1:23" ht="48.2" customHeight="1">
      <c r="F55" s="69" t="s">
        <v>642</v>
      </c>
      <c r="G55" s="533" t="s">
        <v>974</v>
      </c>
      <c r="H55" s="531">
        <f t="shared" si="1"/>
        <v>0</v>
      </c>
      <c r="I55" s="532"/>
      <c r="J55" s="190"/>
      <c r="K55" s="530"/>
      <c r="W55" s="3">
        <v>46</v>
      </c>
    </row>
    <row r="56" spans="1:23" ht="11.45" customHeight="1">
      <c r="F56" s="69" t="s">
        <v>644</v>
      </c>
      <c r="G56" s="533" t="s">
        <v>975</v>
      </c>
      <c r="H56" s="531">
        <f t="shared" si="1"/>
        <v>0</v>
      </c>
      <c r="I56" s="532"/>
      <c r="J56" s="190"/>
      <c r="K56" s="530"/>
      <c r="W56" s="3">
        <v>11</v>
      </c>
    </row>
    <row r="57" spans="1:23" ht="11.45" customHeight="1">
      <c r="F57" s="69" t="s">
        <v>233</v>
      </c>
      <c r="G57" s="472" t="s">
        <v>991</v>
      </c>
      <c r="H57" s="531">
        <f t="shared" si="1"/>
        <v>0</v>
      </c>
      <c r="I57" s="532"/>
      <c r="J57" s="190"/>
      <c r="K57" s="530"/>
      <c r="W57" s="3">
        <v>11</v>
      </c>
    </row>
    <row r="58" spans="1:23" ht="11.45" customHeight="1">
      <c r="F58" s="69"/>
      <c r="G58" s="136" t="s">
        <v>977</v>
      </c>
      <c r="H58" s="531">
        <f t="shared" si="1"/>
        <v>0</v>
      </c>
      <c r="I58" s="531">
        <f>SUM(I38,I48)</f>
        <v>0</v>
      </c>
      <c r="J58" s="190"/>
      <c r="K58" s="530"/>
      <c r="W58" s="3">
        <v>11</v>
      </c>
    </row>
    <row r="59" spans="1:23" ht="10.5" hidden="1" customHeight="1">
      <c r="A59" s="20" t="s">
        <v>18</v>
      </c>
      <c r="B59" s="20">
        <v>0</v>
      </c>
      <c r="C59" s="20">
        <v>0</v>
      </c>
      <c r="D59" s="11">
        <v>0</v>
      </c>
      <c r="E59" s="3">
        <v>3</v>
      </c>
      <c r="F59" s="3">
        <v>6</v>
      </c>
      <c r="G59" s="3">
        <v>60</v>
      </c>
      <c r="H59" s="3">
        <v>0</v>
      </c>
      <c r="I59" s="3">
        <v>0</v>
      </c>
      <c r="J59" s="3">
        <v>0</v>
      </c>
      <c r="K59" s="3">
        <v>1</v>
      </c>
      <c r="L59" s="3">
        <v>8</v>
      </c>
      <c r="M59" s="3">
        <v>8</v>
      </c>
      <c r="N59" s="3">
        <v>8</v>
      </c>
      <c r="O59" s="3">
        <v>8</v>
      </c>
      <c r="P59" s="3">
        <v>8</v>
      </c>
      <c r="Q59" s="3">
        <v>8</v>
      </c>
      <c r="R59" s="3">
        <v>8</v>
      </c>
      <c r="S59" s="3">
        <v>8</v>
      </c>
      <c r="T59" s="3">
        <v>8</v>
      </c>
      <c r="U59" s="3">
        <v>8</v>
      </c>
      <c r="V59" s="3">
        <v>8</v>
      </c>
      <c r="W59" s="3">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2" width="9.140625" hidden="1" customWidth="1"/>
    <col min="3" max="3" width="3" customWidth="1"/>
    <col min="4" max="4" width="5" customWidth="1"/>
    <col min="5" max="5" width="48" customWidth="1"/>
    <col min="6" max="6" width="38" customWidth="1"/>
    <col min="7" max="7" width="1.7109375" hidden="1" customWidth="1"/>
    <col min="8" max="11" width="19.85546875" hidden="1" customWidth="1"/>
    <col min="12" max="12" width="9.7109375" hidden="1" customWidth="1"/>
    <col min="13" max="18" width="19.85546875" hidden="1" customWidth="1"/>
    <col min="19" max="19" width="1.7109375" hidden="1" customWidth="1"/>
    <col min="20" max="22" width="19.85546875" hidden="1" customWidth="1"/>
    <col min="23" max="23" width="1.7109375" hidden="1" customWidth="1"/>
    <col min="24" max="26" width="19.85546875" hidden="1" customWidth="1"/>
    <col min="27" max="27" width="1.7109375" hidden="1" customWidth="1"/>
    <col min="28" max="29" width="19.85546875" customWidth="1"/>
    <col min="30" max="30" width="1.7109375" hidden="1" customWidth="1"/>
    <col min="31" max="33" width="103.7109375" hidden="1" customWidth="1"/>
    <col min="34" max="34" width="103.7109375" customWidth="1"/>
    <col min="35" max="35" width="3" customWidth="1"/>
    <col min="36" max="38" width="10" customWidth="1"/>
    <col min="39" max="39" width="13.7109375" hidden="1" customWidth="1"/>
    <col min="40" max="40" width="15" customWidth="1"/>
    <col min="41" max="41" width="16" customWidth="1"/>
    <col min="42" max="45" width="10" customWidth="1"/>
    <col min="46" max="46" width="10.5703125" hidden="1"/>
  </cols>
  <sheetData>
    <row r="1" spans="3:46" ht="22.5" hidden="1" customHeight="1">
      <c r="H1" s="979" t="s">
        <v>275</v>
      </c>
      <c r="I1" s="885"/>
      <c r="J1" s="885"/>
      <c r="K1" s="885"/>
      <c r="L1" s="885"/>
      <c r="M1" s="885"/>
      <c r="N1" s="885"/>
      <c r="O1" s="885"/>
      <c r="P1" s="885"/>
      <c r="Q1" s="885"/>
      <c r="R1" s="885"/>
      <c r="T1" s="979" t="s">
        <v>276</v>
      </c>
      <c r="U1" s="885"/>
      <c r="V1" s="885"/>
      <c r="X1" s="979" t="s">
        <v>277</v>
      </c>
      <c r="Y1" s="885"/>
      <c r="Z1" s="885"/>
      <c r="AB1" s="979" t="s">
        <v>278</v>
      </c>
      <c r="AC1" s="885"/>
      <c r="AT1" s="3" t="s">
        <v>1</v>
      </c>
    </row>
    <row r="2" spans="3:46" ht="14.25" hidden="1" customHeight="1">
      <c r="AT2" s="3">
        <v>0</v>
      </c>
    </row>
    <row r="3" spans="3:46" ht="5.25" customHeight="1">
      <c r="C3" s="172"/>
      <c r="D3" s="173"/>
      <c r="E3" s="173"/>
      <c r="F3" s="173"/>
      <c r="G3" s="173"/>
      <c r="H3" s="173" t="s">
        <v>279</v>
      </c>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T3" s="174">
        <v>5</v>
      </c>
    </row>
    <row r="4" spans="3:46" ht="39.75" customHeight="1">
      <c r="C4" s="151"/>
      <c r="D4" s="926" t="str">
        <f>ORG_VD_NAME_FORM</f>
        <v>Форма 1. Информация об организации, осуществляющей горячее водоснабжение (общая информация)</v>
      </c>
      <c r="E4" s="927"/>
      <c r="F4" s="927"/>
      <c r="G4" s="927"/>
      <c r="H4" s="927"/>
      <c r="I4" s="927"/>
      <c r="J4" s="927"/>
      <c r="K4" s="927"/>
      <c r="L4" s="927"/>
      <c r="M4" s="927"/>
      <c r="N4" s="927"/>
      <c r="O4" s="927"/>
      <c r="P4" s="927"/>
      <c r="Q4" s="927"/>
      <c r="R4" s="928"/>
      <c r="AT4" s="3">
        <v>38</v>
      </c>
    </row>
    <row r="5" spans="3:46" ht="18" customHeight="1">
      <c r="C5" s="151"/>
      <c r="D5" s="976" t="e">
        <f>IF(org=0,"Не определено",org)</f>
        <v>#REF!</v>
      </c>
      <c r="E5" s="977"/>
      <c r="F5" s="977"/>
      <c r="G5" s="977"/>
      <c r="H5" s="977"/>
      <c r="I5" s="977"/>
      <c r="J5" s="977"/>
      <c r="K5" s="977"/>
      <c r="L5" s="977"/>
      <c r="M5" s="977"/>
      <c r="N5" s="977"/>
      <c r="O5" s="977"/>
      <c r="P5" s="977"/>
      <c r="Q5" s="977"/>
      <c r="R5" s="978"/>
      <c r="AT5" s="3">
        <v>17</v>
      </c>
    </row>
    <row r="6" spans="3:46" ht="11.45" customHeight="1">
      <c r="C6" s="176"/>
      <c r="R6" s="115"/>
      <c r="S6" s="115"/>
      <c r="AT6" s="5">
        <v>11</v>
      </c>
    </row>
    <row r="7" spans="3:46" ht="14.65" customHeight="1">
      <c r="C7" s="151"/>
      <c r="D7" s="967" t="s">
        <v>223</v>
      </c>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1"/>
      <c r="AE7" s="933" t="s">
        <v>224</v>
      </c>
      <c r="AF7" s="933" t="s">
        <v>224</v>
      </c>
      <c r="AG7" s="933" t="s">
        <v>224</v>
      </c>
      <c r="AH7" s="933" t="s">
        <v>224</v>
      </c>
      <c r="AT7" s="3">
        <v>14</v>
      </c>
    </row>
    <row r="8" spans="3:46" ht="27.4" customHeight="1">
      <c r="C8" s="151"/>
      <c r="D8" s="894" t="s">
        <v>24</v>
      </c>
      <c r="E8" s="933" t="str">
        <f>"Наименование "&amp;IF(TEMPLATE_SPHERE&lt;&gt;"HEAT","централизованной ","")&amp;"системы "&amp;TEMPLATE_SPHERE_RUS</f>
        <v>Наименование централизованной системы горячего водоснабжения</v>
      </c>
      <c r="F8" s="933" t="str">
        <f>IF(TEMPLATE_SPHERE&lt;&gt;"HEAT","Регулируемый вид деятельности","Вид регулируемой деятельности")</f>
        <v>Регулируемый вид деятельности</v>
      </c>
      <c r="G8" s="179"/>
      <c r="H8" s="968" t="s">
        <v>280</v>
      </c>
      <c r="I8" s="972" t="s">
        <v>281</v>
      </c>
      <c r="J8" s="933" t="s">
        <v>282</v>
      </c>
      <c r="K8" s="933"/>
      <c r="L8" s="933"/>
      <c r="M8" s="967"/>
      <c r="N8" s="933" t="s">
        <v>283</v>
      </c>
      <c r="O8" s="933"/>
      <c r="P8" s="933" t="s">
        <v>284</v>
      </c>
      <c r="Q8" s="933"/>
      <c r="R8" s="970" t="s">
        <v>285</v>
      </c>
      <c r="S8" s="180"/>
      <c r="T8" s="968" t="s">
        <v>286</v>
      </c>
      <c r="U8" s="968" t="s">
        <v>287</v>
      </c>
      <c r="V8" s="968" t="s">
        <v>288</v>
      </c>
      <c r="W8" s="179"/>
      <c r="X8" s="968" t="s">
        <v>289</v>
      </c>
      <c r="Y8" s="968" t="s">
        <v>290</v>
      </c>
      <c r="Z8" s="968" t="s">
        <v>291</v>
      </c>
      <c r="AA8" s="179"/>
      <c r="AB8" s="968" t="s">
        <v>292</v>
      </c>
      <c r="AC8" s="968" t="s">
        <v>285</v>
      </c>
      <c r="AD8" s="179"/>
      <c r="AE8" s="933"/>
      <c r="AF8" s="933"/>
      <c r="AG8" s="933"/>
      <c r="AH8" s="933"/>
      <c r="AT8" s="3">
        <v>26</v>
      </c>
    </row>
    <row r="9" spans="3:46" ht="46.15" customHeight="1">
      <c r="C9" s="151"/>
      <c r="D9" s="894"/>
      <c r="E9" s="933"/>
      <c r="F9" s="933"/>
      <c r="G9" s="181"/>
      <c r="H9" s="969"/>
      <c r="I9" s="973"/>
      <c r="J9" s="65" t="s">
        <v>293</v>
      </c>
      <c r="K9" s="65" t="s">
        <v>294</v>
      </c>
      <c r="L9" s="65" t="s">
        <v>295</v>
      </c>
      <c r="M9" s="177" t="s">
        <v>296</v>
      </c>
      <c r="N9" s="65" t="s">
        <v>297</v>
      </c>
      <c r="O9" s="65" t="s">
        <v>296</v>
      </c>
      <c r="P9" s="65" t="s">
        <v>298</v>
      </c>
      <c r="Q9" s="65" t="s">
        <v>296</v>
      </c>
      <c r="R9" s="971"/>
      <c r="S9" s="182"/>
      <c r="T9" s="969"/>
      <c r="U9" s="969"/>
      <c r="V9" s="969"/>
      <c r="W9" s="181"/>
      <c r="X9" s="969"/>
      <c r="Y9" s="969"/>
      <c r="Z9" s="969"/>
      <c r="AA9" s="181"/>
      <c r="AB9" s="969"/>
      <c r="AC9" s="969"/>
      <c r="AD9" s="181"/>
      <c r="AE9" s="933"/>
      <c r="AF9" s="933"/>
      <c r="AG9" s="933"/>
      <c r="AH9" s="933"/>
      <c r="AT9" s="3">
        <v>44</v>
      </c>
    </row>
    <row r="10" spans="3:46" ht="12" hidden="1" customHeight="1">
      <c r="C10" s="183"/>
      <c r="D10" s="184"/>
      <c r="E10" s="184"/>
      <c r="F10" s="184"/>
      <c r="G10" s="184"/>
      <c r="H10" s="184"/>
      <c r="I10" s="184"/>
      <c r="J10" s="184"/>
      <c r="K10" s="184"/>
      <c r="L10" s="184"/>
      <c r="M10" s="184"/>
      <c r="N10" s="184"/>
      <c r="O10" s="184"/>
      <c r="P10" s="184"/>
      <c r="Q10" s="184"/>
      <c r="R10" s="184"/>
      <c r="S10" s="184"/>
      <c r="T10" s="184"/>
      <c r="U10" s="184"/>
      <c r="V10" s="184"/>
      <c r="W10" s="184"/>
      <c r="X10" s="184"/>
      <c r="Y10" s="184"/>
      <c r="Z10" s="184"/>
      <c r="AA10" s="184"/>
      <c r="AB10" s="184"/>
      <c r="AC10" s="184"/>
      <c r="AD10" s="184"/>
      <c r="AE10" s="184"/>
      <c r="AF10" s="184"/>
      <c r="AG10" s="184"/>
      <c r="AH10" s="184"/>
      <c r="AT10" s="3">
        <v>0</v>
      </c>
    </row>
    <row r="11" spans="3:46" ht="11.25" hidden="1" customHeight="1">
      <c r="C11" s="185"/>
      <c r="D11" s="186" t="s">
        <v>299</v>
      </c>
      <c r="E11" s="186"/>
      <c r="F11" s="186"/>
      <c r="G11" s="186"/>
      <c r="H11" s="187"/>
      <c r="I11" s="187"/>
      <c r="J11" s="187"/>
      <c r="K11" s="187"/>
      <c r="L11" s="187"/>
      <c r="M11" s="187"/>
      <c r="N11" s="187"/>
      <c r="O11" s="187"/>
      <c r="P11" s="187"/>
      <c r="Q11" s="187"/>
      <c r="R11" s="187"/>
      <c r="S11" s="187"/>
      <c r="T11" s="187"/>
      <c r="U11" s="187"/>
      <c r="V11" s="187"/>
      <c r="W11" s="187"/>
      <c r="X11" s="187"/>
      <c r="Y11" s="187"/>
      <c r="Z11" s="187"/>
      <c r="AA11" s="187"/>
      <c r="AB11" s="187"/>
      <c r="AC11" s="187"/>
      <c r="AD11" s="187"/>
      <c r="AE11" s="188"/>
      <c r="AF11" s="188"/>
      <c r="AG11" s="188"/>
      <c r="AH11" s="188"/>
      <c r="AT11" s="189">
        <v>0</v>
      </c>
    </row>
    <row r="12" spans="3:46" ht="14.65" customHeight="1">
      <c r="C12" s="151"/>
      <c r="D12" s="190" t="s">
        <v>31</v>
      </c>
      <c r="E12" s="148" t="s">
        <v>4</v>
      </c>
      <c r="F12" s="191"/>
      <c r="G12" s="192"/>
      <c r="H12" s="193"/>
      <c r="I12" s="193"/>
      <c r="J12" s="194"/>
      <c r="K12" s="195"/>
      <c r="L12" s="196"/>
      <c r="M12" s="195"/>
      <c r="N12" s="194"/>
      <c r="O12" s="195"/>
      <c r="P12" s="194"/>
      <c r="Q12" s="195"/>
      <c r="R12" s="194"/>
      <c r="S12" s="197"/>
      <c r="T12" s="193"/>
      <c r="U12" s="194"/>
      <c r="V12" s="194"/>
      <c r="W12" s="181"/>
      <c r="X12" s="193"/>
      <c r="Y12" s="194"/>
      <c r="Z12" s="194"/>
      <c r="AA12" s="181"/>
      <c r="AB12" s="193"/>
      <c r="AC12" s="194"/>
      <c r="AD12" s="181"/>
      <c r="AE12" s="974" t="s">
        <v>300</v>
      </c>
      <c r="AF12" s="974" t="s">
        <v>301</v>
      </c>
      <c r="AG12" s="974" t="s">
        <v>302</v>
      </c>
      <c r="AH12" s="974" t="s">
        <v>303</v>
      </c>
      <c r="AP12" s="29" t="s">
        <v>304</v>
      </c>
      <c r="AQ12" s="29" t="s">
        <v>304</v>
      </c>
      <c r="AT12" s="3">
        <v>14</v>
      </c>
    </row>
    <row r="13" spans="3:46" ht="18" customHeight="1">
      <c r="C13" s="151"/>
      <c r="D13" s="198"/>
      <c r="E13" s="199" t="e">
        <f>IF(TITLE_DIFFERENTIATION_TYPE="нет","","Добавить систему")</f>
        <v>#REF!</v>
      </c>
      <c r="F13" s="199" t="e">
        <f>IF(TITLE_DIFFERENTIATION_TYPE="нет","Добавить вид деятельности","")</f>
        <v>#REF!</v>
      </c>
      <c r="G13" s="200"/>
      <c r="H13" s="201"/>
      <c r="I13" s="201"/>
      <c r="J13" s="201"/>
      <c r="K13" s="201"/>
      <c r="L13" s="201"/>
      <c r="M13" s="201"/>
      <c r="N13" s="201"/>
      <c r="O13" s="201"/>
      <c r="P13" s="201"/>
      <c r="Q13" s="201"/>
      <c r="R13" s="201"/>
      <c r="S13" s="201"/>
      <c r="T13" s="201"/>
      <c r="U13" s="201"/>
      <c r="V13" s="201"/>
      <c r="W13" s="201"/>
      <c r="X13" s="201"/>
      <c r="Y13" s="201"/>
      <c r="Z13" s="201"/>
      <c r="AA13" s="201"/>
      <c r="AB13" s="201"/>
      <c r="AC13" s="201"/>
      <c r="AD13" s="202"/>
      <c r="AE13" s="975"/>
      <c r="AF13" s="975"/>
      <c r="AG13" s="975"/>
      <c r="AH13" s="975"/>
      <c r="AT13" s="3">
        <v>17</v>
      </c>
    </row>
    <row r="14" spans="3:46" ht="14.65" customHeight="1">
      <c r="AT14" s="3">
        <v>14</v>
      </c>
    </row>
    <row r="15" spans="3:46" ht="14.65" customHeight="1">
      <c r="AT15" s="3">
        <v>14</v>
      </c>
    </row>
    <row r="16" spans="3:46" ht="14.65" customHeight="1">
      <c r="AT16" s="3">
        <v>14</v>
      </c>
    </row>
    <row r="17" spans="1:46" ht="14.65" customHeight="1">
      <c r="AT17" s="3">
        <v>14</v>
      </c>
    </row>
    <row r="18" spans="1:46" ht="22.5" hidden="1" customHeight="1">
      <c r="A18" s="2" t="s">
        <v>18</v>
      </c>
      <c r="B18" s="3">
        <v>0</v>
      </c>
      <c r="C18" s="48">
        <v>3</v>
      </c>
      <c r="D18" s="3">
        <v>5</v>
      </c>
      <c r="E18" s="3">
        <v>48</v>
      </c>
      <c r="F18" s="3">
        <v>38</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25">
        <v>3</v>
      </c>
      <c r="AJ18" s="24">
        <v>10</v>
      </c>
      <c r="AK18" s="24">
        <v>10</v>
      </c>
      <c r="AL18" s="24">
        <v>10</v>
      </c>
      <c r="AM18" s="24">
        <v>0</v>
      </c>
      <c r="AN18" s="24">
        <v>15</v>
      </c>
      <c r="AO18" s="24">
        <v>16</v>
      </c>
      <c r="AP18" s="24">
        <v>10</v>
      </c>
      <c r="AQ18" s="24">
        <v>10</v>
      </c>
      <c r="AR18" s="24">
        <v>10</v>
      </c>
      <c r="AS18" s="24">
        <v>10</v>
      </c>
      <c r="AT18" s="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4" width="4.7109375" hidden="1" customWidth="1"/>
    <col min="5" max="5" width="3" customWidth="1"/>
    <col min="6" max="6" width="6" customWidth="1"/>
    <col min="7" max="7" width="18" customWidth="1"/>
    <col min="8" max="8" width="27" customWidth="1"/>
    <col min="9" max="9" width="18" customWidth="1"/>
    <col min="10" max="14" width="0.85546875" hidden="1" customWidth="1"/>
    <col min="15" max="28" width="21.7109375" hidden="1" customWidth="1"/>
    <col min="29" max="71" width="0.85546875" hidden="1" customWidth="1"/>
    <col min="72" max="79" width="21.7109375" customWidth="1"/>
    <col min="80" max="81" width="29.140625" customWidth="1"/>
    <col min="82" max="89" width="21.7109375" customWidth="1"/>
    <col min="90" max="102" width="0.7109375" customWidth="1"/>
    <col min="103" max="114" width="21.7109375" hidden="1" customWidth="1"/>
    <col min="115" max="178" width="0.7109375" hidden="1" customWidth="1"/>
    <col min="179" max="179" width="0.140625" customWidth="1"/>
    <col min="180" max="184" width="8" customWidth="1"/>
    <col min="185" max="185" width="9.140625" hidden="1"/>
  </cols>
  <sheetData>
    <row r="1" spans="5:185" ht="12" hidden="1" customHeight="1">
      <c r="GC1" s="534" t="s">
        <v>1</v>
      </c>
    </row>
    <row r="2" spans="5:185" ht="12" hidden="1" customHeight="1">
      <c r="GC2" s="534">
        <v>0</v>
      </c>
    </row>
    <row r="3" spans="5:185" ht="12" hidden="1" customHeight="1">
      <c r="GC3" s="534">
        <v>0</v>
      </c>
    </row>
    <row r="4" spans="5:185" ht="10.5" customHeight="1">
      <c r="GC4" s="535">
        <v>10</v>
      </c>
    </row>
    <row r="5" spans="5:185" ht="27.4" customHeight="1">
      <c r="E5" s="536"/>
      <c r="F5" s="1150"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920"/>
      <c r="H5" s="920"/>
      <c r="I5" s="920"/>
      <c r="J5" s="920"/>
      <c r="K5" s="920"/>
      <c r="L5" s="920"/>
      <c r="M5" s="920"/>
      <c r="N5" s="920"/>
      <c r="O5" s="920"/>
      <c r="P5" s="920"/>
      <c r="Q5" s="920"/>
      <c r="R5" s="920"/>
      <c r="S5" s="920"/>
      <c r="T5" s="920"/>
      <c r="U5" s="920"/>
      <c r="V5" s="920"/>
      <c r="W5" s="920"/>
      <c r="X5" s="920"/>
      <c r="Y5" s="920"/>
      <c r="Z5" s="920"/>
      <c r="AA5" s="920"/>
      <c r="AB5" s="920"/>
      <c r="AC5" s="920"/>
      <c r="AD5" s="920"/>
      <c r="AE5" s="920"/>
      <c r="AF5" s="920"/>
      <c r="AG5" s="920"/>
      <c r="AH5" s="920"/>
      <c r="AI5" s="920"/>
      <c r="AJ5" s="920"/>
      <c r="AK5" s="920"/>
      <c r="AL5" s="920"/>
      <c r="AM5" s="920"/>
      <c r="AN5" s="920"/>
      <c r="AO5" s="920"/>
      <c r="AP5" s="920"/>
      <c r="AQ5" s="920"/>
      <c r="AR5" s="920"/>
      <c r="AS5" s="920"/>
      <c r="AT5" s="920"/>
      <c r="AU5" s="920"/>
      <c r="AV5" s="920"/>
      <c r="AW5" s="920"/>
      <c r="AX5" s="920"/>
      <c r="AY5" s="920"/>
      <c r="AZ5" s="920"/>
      <c r="BA5" s="920"/>
      <c r="BB5" s="920"/>
      <c r="BC5" s="920"/>
      <c r="BD5" s="920"/>
      <c r="BE5" s="920"/>
      <c r="BF5" s="920"/>
      <c r="BG5" s="920"/>
      <c r="BH5" s="920"/>
      <c r="BI5" s="920"/>
      <c r="BJ5" s="920"/>
      <c r="BK5" s="920"/>
      <c r="BL5" s="920"/>
      <c r="BM5" s="920"/>
      <c r="BN5" s="920"/>
      <c r="BO5" s="920"/>
      <c r="BP5" s="920"/>
      <c r="BQ5" s="920"/>
      <c r="BR5" s="920"/>
      <c r="BS5" s="920"/>
      <c r="GC5" s="537">
        <v>26</v>
      </c>
    </row>
    <row r="6" spans="5:185" ht="18.75" customHeight="1">
      <c r="E6" s="132"/>
      <c r="F6" s="976" t="e">
        <f>IF(org=0,"Не определено",org)</f>
        <v>#REF!</v>
      </c>
      <c r="G6" s="977"/>
      <c r="H6" s="977"/>
      <c r="I6" s="977"/>
      <c r="J6" s="977"/>
      <c r="K6" s="977"/>
      <c r="L6" s="977"/>
      <c r="M6" s="977"/>
      <c r="N6" s="977"/>
      <c r="O6" s="977"/>
      <c r="P6" s="977"/>
      <c r="Q6" s="977"/>
      <c r="R6" s="977"/>
      <c r="S6" s="977"/>
      <c r="T6" s="977"/>
      <c r="U6" s="977"/>
      <c r="V6" s="977"/>
      <c r="W6" s="977"/>
      <c r="X6" s="977"/>
      <c r="Y6" s="977"/>
      <c r="Z6" s="977"/>
      <c r="AA6" s="977"/>
      <c r="AB6" s="977"/>
      <c r="AC6" s="977"/>
      <c r="AD6" s="977"/>
      <c r="AE6" s="977"/>
      <c r="AF6" s="977"/>
      <c r="AG6" s="977"/>
      <c r="AH6" s="977"/>
      <c r="AI6" s="977"/>
      <c r="AJ6" s="977"/>
      <c r="AK6" s="977"/>
      <c r="AL6" s="977"/>
      <c r="AM6" s="977"/>
      <c r="AN6" s="977"/>
      <c r="AO6" s="977"/>
      <c r="AP6" s="977"/>
      <c r="AQ6" s="977"/>
      <c r="AR6" s="977"/>
      <c r="AS6" s="977"/>
      <c r="AT6" s="977"/>
      <c r="AU6" s="977"/>
      <c r="AV6" s="977"/>
      <c r="AW6" s="977"/>
      <c r="AX6" s="977"/>
      <c r="AY6" s="977"/>
      <c r="AZ6" s="977"/>
      <c r="BA6" s="977"/>
      <c r="BB6" s="977"/>
      <c r="BC6" s="977"/>
      <c r="BD6" s="977"/>
      <c r="BE6" s="977"/>
      <c r="BF6" s="977"/>
      <c r="BG6" s="977"/>
      <c r="BH6" s="977"/>
      <c r="BI6" s="977"/>
      <c r="BJ6" s="977"/>
      <c r="BK6" s="977"/>
      <c r="BL6" s="977"/>
      <c r="BM6" s="977"/>
      <c r="BN6" s="977"/>
      <c r="BO6" s="977"/>
      <c r="BP6" s="977"/>
      <c r="BQ6" s="977"/>
      <c r="BR6" s="977"/>
      <c r="BS6" s="977"/>
      <c r="GC6" s="538">
        <v>18</v>
      </c>
    </row>
    <row r="7" spans="5:185" ht="10.5" customHeight="1">
      <c r="GC7" s="539">
        <v>10</v>
      </c>
    </row>
    <row r="8" spans="5:185" ht="11.25" hidden="1" customHeight="1">
      <c r="O8" s="1138" t="s">
        <v>995</v>
      </c>
      <c r="P8" s="1139"/>
      <c r="Q8" s="1139"/>
      <c r="R8" s="1139"/>
      <c r="S8" s="1139"/>
      <c r="T8" s="1139"/>
      <c r="U8" s="1139"/>
      <c r="V8" s="1139"/>
      <c r="W8" s="1139"/>
      <c r="X8" s="1139"/>
      <c r="Y8" s="1139"/>
      <c r="Z8" s="1139"/>
      <c r="AA8" s="1139"/>
      <c r="AB8" s="1139"/>
      <c r="AC8" s="1139"/>
      <c r="AD8" s="1139"/>
      <c r="AE8" s="1139"/>
      <c r="AF8" s="1139"/>
      <c r="AG8" s="1139"/>
      <c r="AH8" s="1139"/>
      <c r="AI8" s="1139"/>
      <c r="AJ8" s="1139"/>
      <c r="AK8" s="1139"/>
      <c r="AL8" s="1139"/>
      <c r="AM8" s="1139"/>
      <c r="AN8" s="1139"/>
      <c r="AO8" s="1139"/>
      <c r="AP8" s="1139"/>
      <c r="AQ8" s="1139"/>
      <c r="AR8" s="1139"/>
      <c r="AS8" s="1139"/>
      <c r="AT8" s="1139"/>
      <c r="AU8" s="1139"/>
      <c r="AV8" s="1139"/>
      <c r="AW8" s="1139"/>
      <c r="AX8" s="1139"/>
      <c r="AY8" s="1139"/>
      <c r="AZ8" s="1139"/>
      <c r="BA8" s="1139"/>
      <c r="BB8" s="1139"/>
      <c r="BC8" s="1139"/>
      <c r="BD8" s="1139"/>
      <c r="BE8" s="1139"/>
      <c r="BF8" s="1139"/>
      <c r="BG8" s="1139"/>
      <c r="BH8" s="1139"/>
      <c r="BI8" s="1139"/>
      <c r="BJ8" s="1139"/>
      <c r="BK8" s="1139"/>
      <c r="BL8" s="1139"/>
      <c r="BM8" s="1139"/>
      <c r="BN8" s="1139"/>
      <c r="BO8" s="1139"/>
      <c r="BP8" s="1139"/>
      <c r="BQ8" s="1139"/>
      <c r="BR8" s="1139"/>
      <c r="BS8" s="1140"/>
      <c r="BT8" s="1141"/>
      <c r="BU8" s="1142"/>
      <c r="BV8" s="1142"/>
      <c r="BW8" s="1142"/>
      <c r="BX8" s="1142"/>
      <c r="BY8" s="1142"/>
      <c r="BZ8" s="1142"/>
      <c r="CA8" s="1142"/>
      <c r="CB8" s="1142"/>
      <c r="CC8" s="1142"/>
      <c r="CD8" s="1142"/>
      <c r="CE8" s="1142"/>
      <c r="CF8" s="1142"/>
      <c r="CG8" s="1142"/>
      <c r="CH8" s="1142"/>
      <c r="CI8" s="1142"/>
      <c r="CJ8" s="1142"/>
      <c r="CK8" s="1142"/>
      <c r="CL8" s="1142"/>
      <c r="CM8" s="1142"/>
      <c r="CN8" s="1142"/>
      <c r="CO8" s="1142"/>
      <c r="CP8" s="1142"/>
      <c r="CQ8" s="1142"/>
      <c r="CR8" s="1142"/>
      <c r="CS8" s="1142"/>
      <c r="CT8" s="1142"/>
      <c r="CU8" s="1142"/>
      <c r="CV8" s="1142"/>
      <c r="CW8" s="1142"/>
      <c r="CX8" s="1143"/>
      <c r="CY8" s="1144"/>
      <c r="CZ8" s="1145"/>
      <c r="DA8" s="1145"/>
      <c r="DB8" s="1145"/>
      <c r="DC8" s="1145"/>
      <c r="DD8" s="1145"/>
      <c r="DE8" s="1145"/>
      <c r="DF8" s="1145"/>
      <c r="DG8" s="1145"/>
      <c r="DH8" s="1145"/>
      <c r="DI8" s="1145"/>
      <c r="DJ8" s="1145"/>
      <c r="DK8" s="1145"/>
      <c r="DL8" s="1145"/>
      <c r="DM8" s="1145"/>
      <c r="DN8" s="1145"/>
      <c r="DO8" s="1145"/>
      <c r="DP8" s="1145"/>
      <c r="DQ8" s="1145"/>
      <c r="DR8" s="1145"/>
      <c r="DS8" s="1145"/>
      <c r="DT8" s="1145"/>
      <c r="DU8" s="1145"/>
      <c r="DV8" s="1145"/>
      <c r="DW8" s="1145"/>
      <c r="DX8" s="1146"/>
      <c r="DY8" s="1132" t="s">
        <v>996</v>
      </c>
      <c r="DZ8" s="1133"/>
      <c r="EA8" s="1133"/>
      <c r="EB8" s="1133"/>
      <c r="EC8" s="1133"/>
      <c r="ED8" s="1133"/>
      <c r="EE8" s="1133"/>
      <c r="EF8" s="1133"/>
      <c r="EG8" s="1133"/>
      <c r="EH8" s="1133"/>
      <c r="EI8" s="1133"/>
      <c r="EJ8" s="1133"/>
      <c r="EK8" s="1133"/>
      <c r="EL8" s="1133"/>
      <c r="EM8" s="1133"/>
      <c r="EN8" s="1133"/>
      <c r="EO8" s="1133"/>
      <c r="EP8" s="1133"/>
      <c r="EQ8" s="1133"/>
      <c r="ER8" s="1133"/>
      <c r="ES8" s="1133"/>
      <c r="ET8" s="1133"/>
      <c r="EU8" s="1133"/>
      <c r="EV8" s="1133"/>
      <c r="EW8" s="1133"/>
      <c r="EX8" s="1133"/>
      <c r="EY8" s="1133"/>
      <c r="EZ8" s="1133"/>
      <c r="FA8" s="1133"/>
      <c r="FB8" s="1133"/>
      <c r="FC8" s="1133"/>
      <c r="FD8" s="1133"/>
      <c r="FE8" s="1133"/>
      <c r="FF8" s="1133"/>
      <c r="FG8" s="1133"/>
      <c r="FH8" s="1133"/>
      <c r="FI8" s="1133"/>
      <c r="FJ8" s="1133"/>
      <c r="FK8" s="1133"/>
      <c r="FL8" s="1133"/>
      <c r="FM8" s="1133"/>
      <c r="FN8" s="1133"/>
      <c r="FO8" s="1133"/>
      <c r="FP8" s="1133"/>
      <c r="FQ8" s="1133"/>
      <c r="FR8" s="1133"/>
      <c r="FS8" s="1133"/>
      <c r="FT8" s="1133"/>
      <c r="FU8" s="1133"/>
      <c r="FV8" s="1133"/>
      <c r="FW8" s="1134"/>
      <c r="GC8" s="539">
        <v>0</v>
      </c>
    </row>
    <row r="9" spans="5:185" ht="11.25" hidden="1" customHeight="1">
      <c r="FW9" s="1135"/>
      <c r="GC9" s="539">
        <v>0</v>
      </c>
    </row>
    <row r="10" spans="5:185" ht="11.45" customHeight="1">
      <c r="F10" s="1112" t="s">
        <v>223</v>
      </c>
      <c r="G10" s="1148"/>
      <c r="H10" s="1148"/>
      <c r="I10" s="1148"/>
      <c r="J10" s="1148"/>
      <c r="K10" s="1148"/>
      <c r="L10" s="1148"/>
      <c r="M10" s="1148"/>
      <c r="N10" s="1148"/>
      <c r="O10" s="1148"/>
      <c r="P10" s="1148"/>
      <c r="Q10" s="1148"/>
      <c r="R10" s="1148"/>
      <c r="S10" s="1148"/>
      <c r="T10" s="1148"/>
      <c r="U10" s="1148"/>
      <c r="V10" s="1148"/>
      <c r="W10" s="1148"/>
      <c r="X10" s="1148"/>
      <c r="Y10" s="1148"/>
      <c r="Z10" s="1148"/>
      <c r="AA10" s="1148"/>
      <c r="AB10" s="1148"/>
      <c r="AC10" s="1148"/>
      <c r="AD10" s="1148"/>
      <c r="AE10" s="1148"/>
      <c r="AF10" s="1148"/>
      <c r="AG10" s="1148"/>
      <c r="AH10" s="1148"/>
      <c r="AI10" s="1148"/>
      <c r="AJ10" s="1148"/>
      <c r="AK10" s="1148"/>
      <c r="AL10" s="1148"/>
      <c r="AM10" s="1148"/>
      <c r="AN10" s="1148"/>
      <c r="AO10" s="1148"/>
      <c r="AP10" s="1148"/>
      <c r="AQ10" s="1148"/>
      <c r="AR10" s="1148"/>
      <c r="AS10" s="1148"/>
      <c r="AT10" s="1148"/>
      <c r="AU10" s="1148"/>
      <c r="AV10" s="1148"/>
      <c r="AW10" s="1148"/>
      <c r="AX10" s="1148"/>
      <c r="AY10" s="1148"/>
      <c r="AZ10" s="1148"/>
      <c r="BA10" s="1148"/>
      <c r="BB10" s="1148"/>
      <c r="BC10" s="1148"/>
      <c r="BD10" s="1148"/>
      <c r="BE10" s="1148"/>
      <c r="BF10" s="1148"/>
      <c r="BG10" s="1148"/>
      <c r="BH10" s="1148"/>
      <c r="BI10" s="1148"/>
      <c r="BJ10" s="1148"/>
      <c r="BK10" s="1148"/>
      <c r="BL10" s="1148"/>
      <c r="BM10" s="1148"/>
      <c r="BN10" s="1148"/>
      <c r="BO10" s="1148"/>
      <c r="BP10" s="1148"/>
      <c r="BQ10" s="1148"/>
      <c r="BR10" s="1148"/>
      <c r="BS10" s="1148"/>
      <c r="BT10" s="1148"/>
      <c r="BU10" s="1148"/>
      <c r="BV10" s="1148"/>
      <c r="BW10" s="1148"/>
      <c r="BX10" s="1148"/>
      <c r="BY10" s="1148"/>
      <c r="BZ10" s="1148"/>
      <c r="CA10" s="1148"/>
      <c r="CB10" s="1148"/>
      <c r="CC10" s="1148"/>
      <c r="CD10" s="1148"/>
      <c r="CE10" s="1148"/>
      <c r="CF10" s="1148"/>
      <c r="CG10" s="1148"/>
      <c r="CH10" s="1148"/>
      <c r="CI10" s="1148"/>
      <c r="CJ10" s="1148"/>
      <c r="CK10" s="1148"/>
      <c r="CL10" s="1148"/>
      <c r="CM10" s="1148"/>
      <c r="CN10" s="1148"/>
      <c r="CO10" s="1148"/>
      <c r="CP10" s="1148"/>
      <c r="CQ10" s="1148"/>
      <c r="CR10" s="1148"/>
      <c r="CS10" s="1148"/>
      <c r="CT10" s="1148"/>
      <c r="CU10" s="1148"/>
      <c r="CV10" s="1148"/>
      <c r="CW10" s="1148"/>
      <c r="CX10" s="1148"/>
      <c r="CY10" s="1148"/>
      <c r="CZ10" s="1148"/>
      <c r="DA10" s="1148"/>
      <c r="DB10" s="1148"/>
      <c r="DC10" s="1148"/>
      <c r="DD10" s="1148"/>
      <c r="DE10" s="1148"/>
      <c r="DF10" s="1148"/>
      <c r="DG10" s="1148"/>
      <c r="DH10" s="1148"/>
      <c r="DI10" s="1148"/>
      <c r="DJ10" s="1148"/>
      <c r="DK10" s="1148"/>
      <c r="DL10" s="1148"/>
      <c r="DM10" s="1148"/>
      <c r="DN10" s="1148"/>
      <c r="DO10" s="1148"/>
      <c r="DP10" s="1148"/>
      <c r="DQ10" s="1148"/>
      <c r="DR10" s="1148"/>
      <c r="DS10" s="1148"/>
      <c r="DT10" s="1148"/>
      <c r="DU10" s="1148"/>
      <c r="DV10" s="1148"/>
      <c r="DW10" s="1148"/>
      <c r="DX10" s="1148"/>
      <c r="DY10" s="1148"/>
      <c r="DZ10" s="1148"/>
      <c r="EA10" s="1148"/>
      <c r="EB10" s="1148"/>
      <c r="EC10" s="1148"/>
      <c r="ED10" s="1148"/>
      <c r="EE10" s="1148"/>
      <c r="EF10" s="1148"/>
      <c r="EG10" s="1148"/>
      <c r="EH10" s="1148"/>
      <c r="EI10" s="1148"/>
      <c r="EJ10" s="1148"/>
      <c r="EK10" s="1148"/>
      <c r="EL10" s="1148"/>
      <c r="EM10" s="1148"/>
      <c r="EN10" s="1148"/>
      <c r="EO10" s="1148"/>
      <c r="EP10" s="1148"/>
      <c r="EQ10" s="1148"/>
      <c r="ER10" s="1148"/>
      <c r="ES10" s="1148"/>
      <c r="ET10" s="1148"/>
      <c r="EU10" s="1148"/>
      <c r="EV10" s="1148"/>
      <c r="EW10" s="1148"/>
      <c r="EX10" s="1148"/>
      <c r="EY10" s="1148"/>
      <c r="EZ10" s="1148"/>
      <c r="FA10" s="1148"/>
      <c r="FB10" s="1148"/>
      <c r="FC10" s="1148"/>
      <c r="FD10" s="1148"/>
      <c r="FE10" s="1148"/>
      <c r="FF10" s="1148"/>
      <c r="FG10" s="1148"/>
      <c r="FH10" s="1148"/>
      <c r="FI10" s="1148"/>
      <c r="FJ10" s="1148"/>
      <c r="FK10" s="1148"/>
      <c r="FL10" s="1148"/>
      <c r="FM10" s="1148"/>
      <c r="FN10" s="1148"/>
      <c r="FO10" s="1148"/>
      <c r="FP10" s="1148"/>
      <c r="FQ10" s="1148"/>
      <c r="FR10" s="1148"/>
      <c r="FS10" s="1148"/>
      <c r="FT10" s="1148"/>
      <c r="FU10" s="1148"/>
      <c r="FV10" s="1149"/>
      <c r="FW10" s="1135"/>
      <c r="GC10" s="539">
        <v>11</v>
      </c>
    </row>
    <row r="11" spans="5:185" ht="12.75" customHeight="1">
      <c r="E11" s="541"/>
      <c r="F11" s="958" t="s">
        <v>24</v>
      </c>
      <c r="G11" s="958" t="s">
        <v>997</v>
      </c>
      <c r="H11" s="958" t="s">
        <v>998</v>
      </c>
      <c r="I11" s="958" t="s">
        <v>999</v>
      </c>
      <c r="J11" s="1147"/>
      <c r="K11" s="1147"/>
      <c r="L11" s="1147"/>
      <c r="M11" s="1147"/>
      <c r="N11" s="1147"/>
      <c r="O11" s="962" t="s">
        <v>1000</v>
      </c>
      <c r="P11" s="962"/>
      <c r="Q11" s="962"/>
      <c r="R11" s="962"/>
      <c r="S11" s="962"/>
      <c r="T11" s="962"/>
      <c r="U11" s="962"/>
      <c r="V11" s="962"/>
      <c r="W11" s="962"/>
      <c r="X11" s="962"/>
      <c r="Y11" s="962"/>
      <c r="Z11" s="962"/>
      <c r="AA11" s="962"/>
      <c r="AB11" s="962"/>
      <c r="AC11" s="1130"/>
      <c r="AD11" s="1130"/>
      <c r="AE11" s="1130"/>
      <c r="AF11" s="1130"/>
      <c r="AG11" s="1130"/>
      <c r="AH11" s="1130"/>
      <c r="AI11" s="1130"/>
      <c r="AJ11" s="1130"/>
      <c r="AK11" s="1130"/>
      <c r="AL11" s="1130"/>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30"/>
      <c r="BH11" s="1130"/>
      <c r="BI11" s="1130"/>
      <c r="BJ11" s="1130"/>
      <c r="BK11" s="1130"/>
      <c r="BL11" s="1130"/>
      <c r="BM11" s="1130"/>
      <c r="BN11" s="1130"/>
      <c r="BO11" s="1130"/>
      <c r="BP11" s="1130"/>
      <c r="BQ11" s="1130"/>
      <c r="BR11" s="1130"/>
      <c r="BS11" s="1131"/>
      <c r="BT11" s="1098" t="s">
        <v>1000</v>
      </c>
      <c r="BU11" s="1099"/>
      <c r="BV11" s="1099"/>
      <c r="BW11" s="1099"/>
      <c r="BX11" s="1099"/>
      <c r="BY11" s="1099"/>
      <c r="BZ11" s="1099"/>
      <c r="CA11" s="1099"/>
      <c r="CB11" s="1099"/>
      <c r="CC11" s="1099"/>
      <c r="CD11" s="1099"/>
      <c r="CE11" s="1099"/>
      <c r="CF11" s="1099"/>
      <c r="CG11" s="1099"/>
      <c r="CH11" s="1099"/>
      <c r="CI11" s="1099"/>
      <c r="CJ11" s="1099"/>
      <c r="CK11" s="1129"/>
      <c r="CL11" s="1137"/>
      <c r="CM11" s="1130"/>
      <c r="CN11" s="1130"/>
      <c r="CO11" s="1130"/>
      <c r="CP11" s="1130"/>
      <c r="CQ11" s="1130"/>
      <c r="CR11" s="1130"/>
      <c r="CS11" s="1130"/>
      <c r="CT11" s="1130"/>
      <c r="CU11" s="1130"/>
      <c r="CV11" s="1130"/>
      <c r="CW11" s="1130"/>
      <c r="CX11" s="1131"/>
      <c r="CY11" s="1098" t="s">
        <v>1000</v>
      </c>
      <c r="CZ11" s="1099"/>
      <c r="DA11" s="1099"/>
      <c r="DB11" s="1099"/>
      <c r="DC11" s="1099"/>
      <c r="DD11" s="1099"/>
      <c r="DE11" s="1099"/>
      <c r="DF11" s="1099"/>
      <c r="DG11" s="1099"/>
      <c r="DH11" s="1099"/>
      <c r="DI11" s="1099"/>
      <c r="DJ11" s="1129"/>
      <c r="DK11" s="1137"/>
      <c r="DL11" s="1130"/>
      <c r="DM11" s="1130"/>
      <c r="DN11" s="1130"/>
      <c r="DO11" s="1130"/>
      <c r="DP11" s="1130"/>
      <c r="DQ11" s="1130"/>
      <c r="DR11" s="1130"/>
      <c r="DS11" s="1130"/>
      <c r="DT11" s="1130"/>
      <c r="DU11" s="1130"/>
      <c r="DV11" s="1130"/>
      <c r="DW11" s="1130"/>
      <c r="DX11" s="1130"/>
      <c r="DY11" s="1130"/>
      <c r="DZ11" s="1130"/>
      <c r="EA11" s="1130"/>
      <c r="EB11" s="1130"/>
      <c r="EC11" s="1130"/>
      <c r="ED11" s="1130"/>
      <c r="EE11" s="1130"/>
      <c r="EF11" s="1130"/>
      <c r="EG11" s="1130"/>
      <c r="EH11" s="1130"/>
      <c r="EI11" s="1130"/>
      <c r="EJ11" s="1130"/>
      <c r="EK11" s="1130"/>
      <c r="EL11" s="1130"/>
      <c r="EM11" s="1130"/>
      <c r="EN11" s="1130"/>
      <c r="EO11" s="1130"/>
      <c r="EP11" s="1130"/>
      <c r="EQ11" s="1130"/>
      <c r="ER11" s="1130"/>
      <c r="ES11" s="1130"/>
      <c r="ET11" s="1130"/>
      <c r="EU11" s="1130"/>
      <c r="EV11" s="1130"/>
      <c r="EW11" s="1130"/>
      <c r="EX11" s="1130"/>
      <c r="EY11" s="1130"/>
      <c r="EZ11" s="1130"/>
      <c r="FA11" s="1130"/>
      <c r="FB11" s="1130"/>
      <c r="FC11" s="1130"/>
      <c r="FD11" s="1130"/>
      <c r="FE11" s="1130"/>
      <c r="FF11" s="1130"/>
      <c r="FG11" s="1130"/>
      <c r="FH11" s="1130"/>
      <c r="FI11" s="1130"/>
      <c r="FJ11" s="1130"/>
      <c r="FK11" s="1130"/>
      <c r="FL11" s="1130"/>
      <c r="FM11" s="1130"/>
      <c r="FN11" s="1130"/>
      <c r="FO11" s="1130"/>
      <c r="FP11" s="1130"/>
      <c r="FQ11" s="1130"/>
      <c r="FR11" s="1130"/>
      <c r="FS11" s="1130"/>
      <c r="FT11" s="1130"/>
      <c r="FU11" s="1130"/>
      <c r="FV11" s="1130"/>
      <c r="FW11" s="1135"/>
      <c r="GC11" s="535">
        <v>12</v>
      </c>
    </row>
    <row r="12" spans="5:185" ht="12.75" customHeight="1">
      <c r="E12" s="541"/>
      <c r="F12" s="958"/>
      <c r="G12" s="958"/>
      <c r="H12" s="958"/>
      <c r="I12" s="958"/>
      <c r="J12" s="1147"/>
      <c r="K12" s="1147"/>
      <c r="L12" s="1147"/>
      <c r="M12" s="1147"/>
      <c r="N12" s="1147"/>
      <c r="O12" s="962" t="s">
        <v>1001</v>
      </c>
      <c r="P12" s="962"/>
      <c r="Q12" s="962"/>
      <c r="R12" s="962"/>
      <c r="S12" s="962" t="s">
        <v>1002</v>
      </c>
      <c r="T12" s="962"/>
      <c r="U12" s="962"/>
      <c r="V12" s="962"/>
      <c r="W12" s="962"/>
      <c r="X12" s="962"/>
      <c r="Y12" s="962"/>
      <c r="Z12" s="962"/>
      <c r="AA12" s="962"/>
      <c r="AB12" s="962"/>
      <c r="AC12" s="1130"/>
      <c r="AD12" s="1130"/>
      <c r="AE12" s="1130"/>
      <c r="AF12" s="1130"/>
      <c r="AG12" s="1130"/>
      <c r="AH12" s="1130"/>
      <c r="AI12" s="1130"/>
      <c r="AJ12" s="1130"/>
      <c r="AK12" s="1130"/>
      <c r="AL12" s="1130"/>
      <c r="AM12" s="1130"/>
      <c r="AN12" s="1130"/>
      <c r="AO12" s="1130"/>
      <c r="AP12" s="1130"/>
      <c r="AQ12" s="1130"/>
      <c r="AR12" s="1130"/>
      <c r="AS12" s="1130"/>
      <c r="AT12" s="1130"/>
      <c r="AU12" s="1130"/>
      <c r="AV12" s="1130"/>
      <c r="AW12" s="1130"/>
      <c r="AX12" s="1130"/>
      <c r="AY12" s="1130"/>
      <c r="AZ12" s="1130"/>
      <c r="BA12" s="1130"/>
      <c r="BB12" s="1130"/>
      <c r="BC12" s="1130"/>
      <c r="BD12" s="1130"/>
      <c r="BE12" s="1130"/>
      <c r="BF12" s="1130"/>
      <c r="BG12" s="1130"/>
      <c r="BH12" s="1130"/>
      <c r="BI12" s="1130"/>
      <c r="BJ12" s="1130"/>
      <c r="BK12" s="1130"/>
      <c r="BL12" s="1130"/>
      <c r="BM12" s="1130"/>
      <c r="BN12" s="1130"/>
      <c r="BO12" s="1130"/>
      <c r="BP12" s="1130"/>
      <c r="BQ12" s="1130"/>
      <c r="BR12" s="1130"/>
      <c r="BS12" s="1131"/>
      <c r="BT12" s="1098" t="s">
        <v>1003</v>
      </c>
      <c r="BU12" s="1099"/>
      <c r="BV12" s="1099"/>
      <c r="BW12" s="1129"/>
      <c r="BX12" s="1098" t="s">
        <v>1004</v>
      </c>
      <c r="BY12" s="1099"/>
      <c r="BZ12" s="1099"/>
      <c r="CA12" s="1129"/>
      <c r="CB12" s="1098" t="s">
        <v>1005</v>
      </c>
      <c r="CC12" s="1129"/>
      <c r="CD12" s="1098" t="s">
        <v>1006</v>
      </c>
      <c r="CE12" s="1099"/>
      <c r="CF12" s="1099"/>
      <c r="CG12" s="1099"/>
      <c r="CH12" s="1099"/>
      <c r="CI12" s="1099"/>
      <c r="CJ12" s="1099"/>
      <c r="CK12" s="1129"/>
      <c r="CL12" s="1137"/>
      <c r="CM12" s="1130"/>
      <c r="CN12" s="1130"/>
      <c r="CO12" s="1130"/>
      <c r="CP12" s="1130"/>
      <c r="CQ12" s="1130"/>
      <c r="CR12" s="1130"/>
      <c r="CS12" s="1130"/>
      <c r="CT12" s="1130"/>
      <c r="CU12" s="1130"/>
      <c r="CV12" s="1130"/>
      <c r="CW12" s="1130"/>
      <c r="CX12" s="1131"/>
      <c r="CY12" s="1098" t="s">
        <v>1007</v>
      </c>
      <c r="CZ12" s="1099"/>
      <c r="DA12" s="1099"/>
      <c r="DB12" s="1099"/>
      <c r="DC12" s="1099"/>
      <c r="DD12" s="1129"/>
      <c r="DE12" s="1098" t="s">
        <v>1008</v>
      </c>
      <c r="DF12" s="1129"/>
      <c r="DG12" s="1098" t="s">
        <v>1006</v>
      </c>
      <c r="DH12" s="1099"/>
      <c r="DI12" s="1099"/>
      <c r="DJ12" s="1129"/>
      <c r="DK12" s="1137"/>
      <c r="DL12" s="1130"/>
      <c r="DM12" s="1130"/>
      <c r="DN12" s="1130"/>
      <c r="DO12" s="1130"/>
      <c r="DP12" s="1130"/>
      <c r="DQ12" s="1130"/>
      <c r="DR12" s="1130"/>
      <c r="DS12" s="1130"/>
      <c r="DT12" s="1130"/>
      <c r="DU12" s="1130"/>
      <c r="DV12" s="1130"/>
      <c r="DW12" s="1130"/>
      <c r="DX12" s="1130"/>
      <c r="DY12" s="1130"/>
      <c r="DZ12" s="1130"/>
      <c r="EA12" s="1130"/>
      <c r="EB12" s="1130"/>
      <c r="EC12" s="1130"/>
      <c r="ED12" s="1130"/>
      <c r="EE12" s="1130"/>
      <c r="EF12" s="1130"/>
      <c r="EG12" s="1130"/>
      <c r="EH12" s="1130"/>
      <c r="EI12" s="1130"/>
      <c r="EJ12" s="1130"/>
      <c r="EK12" s="1130"/>
      <c r="EL12" s="1130"/>
      <c r="EM12" s="1130"/>
      <c r="EN12" s="1130"/>
      <c r="EO12" s="1130"/>
      <c r="EP12" s="1130"/>
      <c r="EQ12" s="1130"/>
      <c r="ER12" s="1130"/>
      <c r="ES12" s="1130"/>
      <c r="ET12" s="1130"/>
      <c r="EU12" s="1130"/>
      <c r="EV12" s="1130"/>
      <c r="EW12" s="1130"/>
      <c r="EX12" s="1130"/>
      <c r="EY12" s="1130"/>
      <c r="EZ12" s="1130"/>
      <c r="FA12" s="1130"/>
      <c r="FB12" s="1130"/>
      <c r="FC12" s="1130"/>
      <c r="FD12" s="1130"/>
      <c r="FE12" s="1130"/>
      <c r="FF12" s="1130"/>
      <c r="FG12" s="1130"/>
      <c r="FH12" s="1130"/>
      <c r="FI12" s="1130"/>
      <c r="FJ12" s="1130"/>
      <c r="FK12" s="1130"/>
      <c r="FL12" s="1130"/>
      <c r="FM12" s="1130"/>
      <c r="FN12" s="1130"/>
      <c r="FO12" s="1130"/>
      <c r="FP12" s="1130"/>
      <c r="FQ12" s="1130"/>
      <c r="FR12" s="1130"/>
      <c r="FS12" s="1130"/>
      <c r="FT12" s="1130"/>
      <c r="FU12" s="1130"/>
      <c r="FV12" s="1130"/>
      <c r="FW12" s="1135"/>
      <c r="GC12" s="535">
        <v>12</v>
      </c>
    </row>
    <row r="13" spans="5:185" ht="37.9" customHeight="1">
      <c r="E13" s="541"/>
      <c r="F13" s="958"/>
      <c r="G13" s="958"/>
      <c r="H13" s="958"/>
      <c r="I13" s="958"/>
      <c r="J13" s="1147"/>
      <c r="K13" s="1147"/>
      <c r="L13" s="1147"/>
      <c r="M13" s="1147"/>
      <c r="N13" s="1147"/>
      <c r="O13" s="962" t="s">
        <v>1009</v>
      </c>
      <c r="P13" s="962"/>
      <c r="Q13" s="962"/>
      <c r="R13" s="962"/>
      <c r="S13" s="1062" t="s">
        <v>1010</v>
      </c>
      <c r="T13" s="1100"/>
      <c r="U13" s="894" t="s">
        <v>1011</v>
      </c>
      <c r="V13" s="894"/>
      <c r="W13" s="894"/>
      <c r="X13" s="894"/>
      <c r="Y13" s="894" t="s">
        <v>1012</v>
      </c>
      <c r="Z13" s="894"/>
      <c r="AA13" s="894"/>
      <c r="AB13" s="894"/>
      <c r="AC13" s="1130"/>
      <c r="AD13" s="1130"/>
      <c r="AE13" s="1130"/>
      <c r="AF13" s="1130"/>
      <c r="AG13" s="1130"/>
      <c r="AH13" s="1130"/>
      <c r="AI13" s="1130"/>
      <c r="AJ13" s="1130"/>
      <c r="AK13" s="1130"/>
      <c r="AL13" s="1130"/>
      <c r="AM13" s="1130"/>
      <c r="AN13" s="1130"/>
      <c r="AO13" s="1130"/>
      <c r="AP13" s="1130"/>
      <c r="AQ13" s="1130"/>
      <c r="AR13" s="1130"/>
      <c r="AS13" s="1130"/>
      <c r="AT13" s="1130"/>
      <c r="AU13" s="1130"/>
      <c r="AV13" s="1130"/>
      <c r="AW13" s="1130"/>
      <c r="AX13" s="1130"/>
      <c r="AY13" s="1130"/>
      <c r="AZ13" s="1130"/>
      <c r="BA13" s="1130"/>
      <c r="BB13" s="1130"/>
      <c r="BC13" s="1130"/>
      <c r="BD13" s="1130"/>
      <c r="BE13" s="1130"/>
      <c r="BF13" s="1130"/>
      <c r="BG13" s="1130"/>
      <c r="BH13" s="1130"/>
      <c r="BI13" s="1130"/>
      <c r="BJ13" s="1130"/>
      <c r="BK13" s="1130"/>
      <c r="BL13" s="1130"/>
      <c r="BM13" s="1130"/>
      <c r="BN13" s="1130"/>
      <c r="BO13" s="1130"/>
      <c r="BP13" s="1130"/>
      <c r="BQ13" s="1130"/>
      <c r="BR13" s="1130"/>
      <c r="BS13" s="1131"/>
      <c r="BT13" s="1062" t="s">
        <v>1013</v>
      </c>
      <c r="BU13" s="1100"/>
      <c r="BV13" s="1062" t="s">
        <v>1014</v>
      </c>
      <c r="BW13" s="1100"/>
      <c r="BX13" s="1062" t="s">
        <v>1015</v>
      </c>
      <c r="BY13" s="1100"/>
      <c r="BZ13" s="1062" t="s">
        <v>1016</v>
      </c>
      <c r="CA13" s="1100"/>
      <c r="CB13" s="1062" t="s">
        <v>1017</v>
      </c>
      <c r="CC13" s="1100"/>
      <c r="CD13" s="1062" t="s">
        <v>1018</v>
      </c>
      <c r="CE13" s="1100"/>
      <c r="CF13" s="1062" t="s">
        <v>1019</v>
      </c>
      <c r="CG13" s="1100"/>
      <c r="CH13" s="1098" t="s">
        <v>1020</v>
      </c>
      <c r="CI13" s="1099"/>
      <c r="CJ13" s="1099"/>
      <c r="CK13" s="1129"/>
      <c r="CL13" s="1137"/>
      <c r="CM13" s="1130"/>
      <c r="CN13" s="1130"/>
      <c r="CO13" s="1130"/>
      <c r="CP13" s="1130"/>
      <c r="CQ13" s="1130"/>
      <c r="CR13" s="1130"/>
      <c r="CS13" s="1130"/>
      <c r="CT13" s="1130"/>
      <c r="CU13" s="1130"/>
      <c r="CV13" s="1130"/>
      <c r="CW13" s="1130"/>
      <c r="CX13" s="1131"/>
      <c r="CY13" s="1062" t="s">
        <v>1021</v>
      </c>
      <c r="CZ13" s="1100"/>
      <c r="DA13" s="1062" t="s">
        <v>1022</v>
      </c>
      <c r="DB13" s="1100"/>
      <c r="DC13" s="1062" t="s">
        <v>1023</v>
      </c>
      <c r="DD13" s="1100"/>
      <c r="DE13" s="1062" t="s">
        <v>1024</v>
      </c>
      <c r="DF13" s="1100"/>
      <c r="DG13" s="1098" t="s">
        <v>1025</v>
      </c>
      <c r="DH13" s="1099"/>
      <c r="DI13" s="1099"/>
      <c r="DJ13" s="1129"/>
      <c r="DK13" s="1137"/>
      <c r="DL13" s="1130"/>
      <c r="DM13" s="1130"/>
      <c r="DN13" s="1130"/>
      <c r="DO13" s="1130"/>
      <c r="DP13" s="1130"/>
      <c r="DQ13" s="1130"/>
      <c r="DR13" s="1130"/>
      <c r="DS13" s="1130"/>
      <c r="DT13" s="1130"/>
      <c r="DU13" s="1130"/>
      <c r="DV13" s="1130"/>
      <c r="DW13" s="1130"/>
      <c r="DX13" s="1130"/>
      <c r="DY13" s="1130"/>
      <c r="DZ13" s="1130"/>
      <c r="EA13" s="1130"/>
      <c r="EB13" s="1130"/>
      <c r="EC13" s="1130"/>
      <c r="ED13" s="1130"/>
      <c r="EE13" s="1130"/>
      <c r="EF13" s="1130"/>
      <c r="EG13" s="1130"/>
      <c r="EH13" s="1130"/>
      <c r="EI13" s="1130"/>
      <c r="EJ13" s="1130"/>
      <c r="EK13" s="1130"/>
      <c r="EL13" s="1130"/>
      <c r="EM13" s="1130"/>
      <c r="EN13" s="1130"/>
      <c r="EO13" s="1130"/>
      <c r="EP13" s="1130"/>
      <c r="EQ13" s="1130"/>
      <c r="ER13" s="1130"/>
      <c r="ES13" s="1130"/>
      <c r="ET13" s="1130"/>
      <c r="EU13" s="1130"/>
      <c r="EV13" s="1130"/>
      <c r="EW13" s="1130"/>
      <c r="EX13" s="1130"/>
      <c r="EY13" s="1130"/>
      <c r="EZ13" s="1130"/>
      <c r="FA13" s="1130"/>
      <c r="FB13" s="1130"/>
      <c r="FC13" s="1130"/>
      <c r="FD13" s="1130"/>
      <c r="FE13" s="1130"/>
      <c r="FF13" s="1130"/>
      <c r="FG13" s="1130"/>
      <c r="FH13" s="1130"/>
      <c r="FI13" s="1130"/>
      <c r="FJ13" s="1130"/>
      <c r="FK13" s="1130"/>
      <c r="FL13" s="1130"/>
      <c r="FM13" s="1130"/>
      <c r="FN13" s="1130"/>
      <c r="FO13" s="1130"/>
      <c r="FP13" s="1130"/>
      <c r="FQ13" s="1130"/>
      <c r="FR13" s="1130"/>
      <c r="FS13" s="1130"/>
      <c r="FT13" s="1130"/>
      <c r="FU13" s="1130"/>
      <c r="FV13" s="1130"/>
      <c r="FW13" s="1135"/>
      <c r="GC13" s="535">
        <v>36</v>
      </c>
    </row>
    <row r="14" spans="5:185" ht="37.9" customHeight="1">
      <c r="E14" s="541"/>
      <c r="F14" s="958"/>
      <c r="G14" s="958"/>
      <c r="H14" s="958"/>
      <c r="I14" s="958"/>
      <c r="J14" s="1147"/>
      <c r="K14" s="1147"/>
      <c r="L14" s="1147"/>
      <c r="M14" s="1147"/>
      <c r="N14" s="1147"/>
      <c r="O14" s="1062" t="s">
        <v>1026</v>
      </c>
      <c r="P14" s="1100"/>
      <c r="Q14" s="1062" t="s">
        <v>1027</v>
      </c>
      <c r="R14" s="1100"/>
      <c r="S14" s="1063"/>
      <c r="T14" s="966"/>
      <c r="U14" s="1062" t="s">
        <v>759</v>
      </c>
      <c r="V14" s="1100"/>
      <c r="W14" s="1062" t="s">
        <v>762</v>
      </c>
      <c r="X14" s="1100"/>
      <c r="Y14" s="1062" t="s">
        <v>759</v>
      </c>
      <c r="Z14" s="1100"/>
      <c r="AA14" s="1062" t="s">
        <v>769</v>
      </c>
      <c r="AB14" s="1100"/>
      <c r="AC14" s="1130"/>
      <c r="AD14" s="1130"/>
      <c r="AE14" s="1130"/>
      <c r="AF14" s="1130"/>
      <c r="AG14" s="1130"/>
      <c r="AH14" s="1130"/>
      <c r="AI14" s="1130"/>
      <c r="AJ14" s="1130"/>
      <c r="AK14" s="1130"/>
      <c r="AL14" s="1130"/>
      <c r="AM14" s="1130"/>
      <c r="AN14" s="1130"/>
      <c r="AO14" s="1130"/>
      <c r="AP14" s="1130"/>
      <c r="AQ14" s="1130"/>
      <c r="AR14" s="1130"/>
      <c r="AS14" s="1130"/>
      <c r="AT14" s="1130"/>
      <c r="AU14" s="1130"/>
      <c r="AV14" s="1130"/>
      <c r="AW14" s="1130"/>
      <c r="AX14" s="1130"/>
      <c r="AY14" s="1130"/>
      <c r="AZ14" s="1130"/>
      <c r="BA14" s="1130"/>
      <c r="BB14" s="1130"/>
      <c r="BC14" s="1130"/>
      <c r="BD14" s="1130"/>
      <c r="BE14" s="1130"/>
      <c r="BF14" s="1130"/>
      <c r="BG14" s="1130"/>
      <c r="BH14" s="1130"/>
      <c r="BI14" s="1130"/>
      <c r="BJ14" s="1130"/>
      <c r="BK14" s="1130"/>
      <c r="BL14" s="1130"/>
      <c r="BM14" s="1130"/>
      <c r="BN14" s="1130"/>
      <c r="BO14" s="1130"/>
      <c r="BP14" s="1130"/>
      <c r="BQ14" s="1130"/>
      <c r="BR14" s="1130"/>
      <c r="BS14" s="1131"/>
      <c r="BT14" s="1063"/>
      <c r="BU14" s="966"/>
      <c r="BV14" s="1063"/>
      <c r="BW14" s="966"/>
      <c r="BX14" s="1063"/>
      <c r="BY14" s="966"/>
      <c r="BZ14" s="1063"/>
      <c r="CA14" s="966"/>
      <c r="CB14" s="1063"/>
      <c r="CC14" s="966"/>
      <c r="CD14" s="1063"/>
      <c r="CE14" s="966"/>
      <c r="CF14" s="1063"/>
      <c r="CG14" s="966"/>
      <c r="CH14" s="1062" t="s">
        <v>1028</v>
      </c>
      <c r="CI14" s="1100"/>
      <c r="CJ14" s="1062" t="s">
        <v>1029</v>
      </c>
      <c r="CK14" s="1100"/>
      <c r="CL14" s="1137"/>
      <c r="CM14" s="1130"/>
      <c r="CN14" s="1130"/>
      <c r="CO14" s="1130"/>
      <c r="CP14" s="1130"/>
      <c r="CQ14" s="1130"/>
      <c r="CR14" s="1130"/>
      <c r="CS14" s="1130"/>
      <c r="CT14" s="1130"/>
      <c r="CU14" s="1130"/>
      <c r="CV14" s="1130"/>
      <c r="CW14" s="1130"/>
      <c r="CX14" s="1131"/>
      <c r="CY14" s="1063"/>
      <c r="CZ14" s="966"/>
      <c r="DA14" s="1063"/>
      <c r="DB14" s="966"/>
      <c r="DC14" s="1063"/>
      <c r="DD14" s="966"/>
      <c r="DE14" s="1063"/>
      <c r="DF14" s="966"/>
      <c r="DG14" s="1062" t="s">
        <v>1030</v>
      </c>
      <c r="DH14" s="1100"/>
      <c r="DI14" s="1062" t="s">
        <v>1031</v>
      </c>
      <c r="DJ14" s="1100"/>
      <c r="DK14" s="1137"/>
      <c r="DL14" s="1130"/>
      <c r="DM14" s="1130"/>
      <c r="DN14" s="1130"/>
      <c r="DO14" s="1130"/>
      <c r="DP14" s="1130"/>
      <c r="DQ14" s="1130"/>
      <c r="DR14" s="1130"/>
      <c r="DS14" s="1130"/>
      <c r="DT14" s="1130"/>
      <c r="DU14" s="1130"/>
      <c r="DV14" s="1130"/>
      <c r="DW14" s="1130"/>
      <c r="DX14" s="1130"/>
      <c r="DY14" s="1130"/>
      <c r="DZ14" s="1130"/>
      <c r="EA14" s="1130"/>
      <c r="EB14" s="1130"/>
      <c r="EC14" s="1130"/>
      <c r="ED14" s="1130"/>
      <c r="EE14" s="1130"/>
      <c r="EF14" s="1130"/>
      <c r="EG14" s="1130"/>
      <c r="EH14" s="1130"/>
      <c r="EI14" s="1130"/>
      <c r="EJ14" s="1130"/>
      <c r="EK14" s="1130"/>
      <c r="EL14" s="1130"/>
      <c r="EM14" s="1130"/>
      <c r="EN14" s="1130"/>
      <c r="EO14" s="1130"/>
      <c r="EP14" s="1130"/>
      <c r="EQ14" s="1130"/>
      <c r="ER14" s="1130"/>
      <c r="ES14" s="1130"/>
      <c r="ET14" s="1130"/>
      <c r="EU14" s="1130"/>
      <c r="EV14" s="1130"/>
      <c r="EW14" s="1130"/>
      <c r="EX14" s="1130"/>
      <c r="EY14" s="1130"/>
      <c r="EZ14" s="1130"/>
      <c r="FA14" s="1130"/>
      <c r="FB14" s="1130"/>
      <c r="FC14" s="1130"/>
      <c r="FD14" s="1130"/>
      <c r="FE14" s="1130"/>
      <c r="FF14" s="1130"/>
      <c r="FG14" s="1130"/>
      <c r="FH14" s="1130"/>
      <c r="FI14" s="1130"/>
      <c r="FJ14" s="1130"/>
      <c r="FK14" s="1130"/>
      <c r="FL14" s="1130"/>
      <c r="FM14" s="1130"/>
      <c r="FN14" s="1130"/>
      <c r="FO14" s="1130"/>
      <c r="FP14" s="1130"/>
      <c r="FQ14" s="1130"/>
      <c r="FR14" s="1130"/>
      <c r="FS14" s="1130"/>
      <c r="FT14" s="1130"/>
      <c r="FU14" s="1130"/>
      <c r="FV14" s="1130"/>
      <c r="FW14" s="1135"/>
      <c r="GC14" s="535">
        <v>36</v>
      </c>
    </row>
    <row r="15" spans="5:185" ht="37.9" customHeight="1">
      <c r="E15" s="541"/>
      <c r="F15" s="958"/>
      <c r="G15" s="958"/>
      <c r="H15" s="958"/>
      <c r="I15" s="958"/>
      <c r="J15" s="1147"/>
      <c r="K15" s="1147"/>
      <c r="L15" s="1147"/>
      <c r="M15" s="1147"/>
      <c r="N15" s="1147"/>
      <c r="O15" s="1064"/>
      <c r="P15" s="1116"/>
      <c r="Q15" s="1064"/>
      <c r="R15" s="1116"/>
      <c r="S15" s="1064"/>
      <c r="T15" s="1116"/>
      <c r="U15" s="1064"/>
      <c r="V15" s="1116"/>
      <c r="W15" s="1064"/>
      <c r="X15" s="1116"/>
      <c r="Y15" s="1064"/>
      <c r="Z15" s="1116"/>
      <c r="AA15" s="1064"/>
      <c r="AB15" s="1116"/>
      <c r="AC15" s="1130"/>
      <c r="AD15" s="1130"/>
      <c r="AE15" s="1130"/>
      <c r="AF15" s="1130"/>
      <c r="AG15" s="1130"/>
      <c r="AH15" s="1130"/>
      <c r="AI15" s="1130"/>
      <c r="AJ15" s="1130"/>
      <c r="AK15" s="1130"/>
      <c r="AL15" s="1130"/>
      <c r="AM15" s="1130"/>
      <c r="AN15" s="1130"/>
      <c r="AO15" s="1130"/>
      <c r="AP15" s="1130"/>
      <c r="AQ15" s="1130"/>
      <c r="AR15" s="1130"/>
      <c r="AS15" s="1130"/>
      <c r="AT15" s="1130"/>
      <c r="AU15" s="1130"/>
      <c r="AV15" s="1130"/>
      <c r="AW15" s="1130"/>
      <c r="AX15" s="1130"/>
      <c r="AY15" s="1130"/>
      <c r="AZ15" s="1130"/>
      <c r="BA15" s="1130"/>
      <c r="BB15" s="1130"/>
      <c r="BC15" s="1130"/>
      <c r="BD15" s="1130"/>
      <c r="BE15" s="1130"/>
      <c r="BF15" s="1130"/>
      <c r="BG15" s="1130"/>
      <c r="BH15" s="1130"/>
      <c r="BI15" s="1130"/>
      <c r="BJ15" s="1130"/>
      <c r="BK15" s="1130"/>
      <c r="BL15" s="1130"/>
      <c r="BM15" s="1130"/>
      <c r="BN15" s="1130"/>
      <c r="BO15" s="1130"/>
      <c r="BP15" s="1130"/>
      <c r="BQ15" s="1130"/>
      <c r="BR15" s="1130"/>
      <c r="BS15" s="1131"/>
      <c r="BT15" s="1064"/>
      <c r="BU15" s="1116"/>
      <c r="BV15" s="1064"/>
      <c r="BW15" s="1116"/>
      <c r="BX15" s="1064"/>
      <c r="BY15" s="1116"/>
      <c r="BZ15" s="1064"/>
      <c r="CA15" s="1116"/>
      <c r="CB15" s="1064"/>
      <c r="CC15" s="1116"/>
      <c r="CD15" s="1064"/>
      <c r="CE15" s="1116"/>
      <c r="CF15" s="1064"/>
      <c r="CG15" s="1116"/>
      <c r="CH15" s="1064"/>
      <c r="CI15" s="1116"/>
      <c r="CJ15" s="1064"/>
      <c r="CK15" s="1116"/>
      <c r="CL15" s="1137"/>
      <c r="CM15" s="1130"/>
      <c r="CN15" s="1130"/>
      <c r="CO15" s="1130"/>
      <c r="CP15" s="1130"/>
      <c r="CQ15" s="1130"/>
      <c r="CR15" s="1130"/>
      <c r="CS15" s="1130"/>
      <c r="CT15" s="1130"/>
      <c r="CU15" s="1130"/>
      <c r="CV15" s="1130"/>
      <c r="CW15" s="1130"/>
      <c r="CX15" s="1131"/>
      <c r="CY15" s="1064"/>
      <c r="CZ15" s="1116"/>
      <c r="DA15" s="1064"/>
      <c r="DB15" s="1116"/>
      <c r="DC15" s="1064"/>
      <c r="DD15" s="1116"/>
      <c r="DE15" s="1064"/>
      <c r="DF15" s="1116"/>
      <c r="DG15" s="1064"/>
      <c r="DH15" s="1116"/>
      <c r="DI15" s="1064"/>
      <c r="DJ15" s="1116"/>
      <c r="DK15" s="1137"/>
      <c r="DL15" s="1130"/>
      <c r="DM15" s="1130"/>
      <c r="DN15" s="1130"/>
      <c r="DO15" s="1130"/>
      <c r="DP15" s="1130"/>
      <c r="DQ15" s="1130"/>
      <c r="DR15" s="1130"/>
      <c r="DS15" s="1130"/>
      <c r="DT15" s="1130"/>
      <c r="DU15" s="1130"/>
      <c r="DV15" s="1130"/>
      <c r="DW15" s="1130"/>
      <c r="DX15" s="1130"/>
      <c r="DY15" s="1130"/>
      <c r="DZ15" s="1130"/>
      <c r="EA15" s="1130"/>
      <c r="EB15" s="1130"/>
      <c r="EC15" s="1130"/>
      <c r="ED15" s="1130"/>
      <c r="EE15" s="1130"/>
      <c r="EF15" s="1130"/>
      <c r="EG15" s="1130"/>
      <c r="EH15" s="1130"/>
      <c r="EI15" s="1130"/>
      <c r="EJ15" s="1130"/>
      <c r="EK15" s="1130"/>
      <c r="EL15" s="1130"/>
      <c r="EM15" s="1130"/>
      <c r="EN15" s="1130"/>
      <c r="EO15" s="1130"/>
      <c r="EP15" s="1130"/>
      <c r="EQ15" s="1130"/>
      <c r="ER15" s="1130"/>
      <c r="ES15" s="1130"/>
      <c r="ET15" s="1130"/>
      <c r="EU15" s="1130"/>
      <c r="EV15" s="1130"/>
      <c r="EW15" s="1130"/>
      <c r="EX15" s="1130"/>
      <c r="EY15" s="1130"/>
      <c r="EZ15" s="1130"/>
      <c r="FA15" s="1130"/>
      <c r="FB15" s="1130"/>
      <c r="FC15" s="1130"/>
      <c r="FD15" s="1130"/>
      <c r="FE15" s="1130"/>
      <c r="FF15" s="1130"/>
      <c r="FG15" s="1130"/>
      <c r="FH15" s="1130"/>
      <c r="FI15" s="1130"/>
      <c r="FJ15" s="1130"/>
      <c r="FK15" s="1130"/>
      <c r="FL15" s="1130"/>
      <c r="FM15" s="1130"/>
      <c r="FN15" s="1130"/>
      <c r="FO15" s="1130"/>
      <c r="FP15" s="1130"/>
      <c r="FQ15" s="1130"/>
      <c r="FR15" s="1130"/>
      <c r="FS15" s="1130"/>
      <c r="FT15" s="1130"/>
      <c r="FU15" s="1130"/>
      <c r="FV15" s="1130"/>
      <c r="FW15" s="1135"/>
      <c r="GC15" s="535">
        <v>36</v>
      </c>
    </row>
    <row r="16" spans="5:185" ht="12.75" customHeight="1">
      <c r="E16" s="541"/>
      <c r="F16" s="958"/>
      <c r="G16" s="958"/>
      <c r="H16" s="958"/>
      <c r="I16" s="958"/>
      <c r="J16" s="1147"/>
      <c r="K16" s="1147"/>
      <c r="L16" s="1147"/>
      <c r="M16" s="1147"/>
      <c r="N16" s="1147"/>
      <c r="O16" s="1098" t="s">
        <v>749</v>
      </c>
      <c r="P16" s="1129"/>
      <c r="Q16" s="1098" t="s">
        <v>751</v>
      </c>
      <c r="R16" s="1129"/>
      <c r="S16" s="1098" t="s">
        <v>755</v>
      </c>
      <c r="T16" s="1129"/>
      <c r="U16" s="1098" t="s">
        <v>760</v>
      </c>
      <c r="V16" s="1129"/>
      <c r="W16" s="1098" t="s">
        <v>763</v>
      </c>
      <c r="X16" s="1129"/>
      <c r="Y16" s="1098" t="s">
        <v>767</v>
      </c>
      <c r="Z16" s="1129"/>
      <c r="AA16" s="1098" t="s">
        <v>770</v>
      </c>
      <c r="AB16" s="1129"/>
      <c r="AC16" s="1130"/>
      <c r="AD16" s="1130"/>
      <c r="AE16" s="1130"/>
      <c r="AF16" s="1130"/>
      <c r="AG16" s="1130"/>
      <c r="AH16" s="1130"/>
      <c r="AI16" s="1130"/>
      <c r="AJ16" s="1130"/>
      <c r="AK16" s="1130"/>
      <c r="AL16" s="1130"/>
      <c r="AM16" s="1130"/>
      <c r="AN16" s="1130"/>
      <c r="AO16" s="1130"/>
      <c r="AP16" s="1130"/>
      <c r="AQ16" s="1130"/>
      <c r="AR16" s="1130"/>
      <c r="AS16" s="1130"/>
      <c r="AT16" s="1130"/>
      <c r="AU16" s="1130"/>
      <c r="AV16" s="1130"/>
      <c r="AW16" s="1130"/>
      <c r="AX16" s="1130"/>
      <c r="AY16" s="1130"/>
      <c r="AZ16" s="1130"/>
      <c r="BA16" s="1130"/>
      <c r="BB16" s="1130"/>
      <c r="BC16" s="1130"/>
      <c r="BD16" s="1130"/>
      <c r="BE16" s="1130"/>
      <c r="BF16" s="1130"/>
      <c r="BG16" s="1130"/>
      <c r="BH16" s="1130"/>
      <c r="BI16" s="1130"/>
      <c r="BJ16" s="1130"/>
      <c r="BK16" s="1130"/>
      <c r="BL16" s="1130"/>
      <c r="BM16" s="1130"/>
      <c r="BN16" s="1130"/>
      <c r="BO16" s="1130"/>
      <c r="BP16" s="1130"/>
      <c r="BQ16" s="1130"/>
      <c r="BR16" s="1130"/>
      <c r="BS16" s="1131"/>
      <c r="BT16" s="1098" t="s">
        <v>481</v>
      </c>
      <c r="BU16" s="1129"/>
      <c r="BV16" s="1098" t="s">
        <v>481</v>
      </c>
      <c r="BW16" s="1129"/>
      <c r="BX16" s="1098" t="s">
        <v>481</v>
      </c>
      <c r="BY16" s="1129"/>
      <c r="BZ16" s="1098" t="s">
        <v>481</v>
      </c>
      <c r="CA16" s="1129"/>
      <c r="CB16" s="1098" t="s">
        <v>1032</v>
      </c>
      <c r="CC16" s="1129"/>
      <c r="CD16" s="1098" t="s">
        <v>481</v>
      </c>
      <c r="CE16" s="1129"/>
      <c r="CF16" s="1098" t="s">
        <v>1033</v>
      </c>
      <c r="CG16" s="1129"/>
      <c r="CH16" s="1098" t="s">
        <v>1034</v>
      </c>
      <c r="CI16" s="1129"/>
      <c r="CJ16" s="1098" t="s">
        <v>1034</v>
      </c>
      <c r="CK16" s="1129"/>
      <c r="CL16" s="1137"/>
      <c r="CM16" s="1130"/>
      <c r="CN16" s="1130"/>
      <c r="CO16" s="1130"/>
      <c r="CP16" s="1130"/>
      <c r="CQ16" s="1130"/>
      <c r="CR16" s="1130"/>
      <c r="CS16" s="1130"/>
      <c r="CT16" s="1130"/>
      <c r="CU16" s="1130"/>
      <c r="CV16" s="1130"/>
      <c r="CW16" s="1130"/>
      <c r="CX16" s="1131"/>
      <c r="CY16" s="1062" t="s">
        <v>481</v>
      </c>
      <c r="CZ16" s="1100"/>
      <c r="DA16" s="1062" t="s">
        <v>481</v>
      </c>
      <c r="DB16" s="1100"/>
      <c r="DC16" s="1062" t="s">
        <v>481</v>
      </c>
      <c r="DD16" s="1100"/>
      <c r="DE16" s="1098" t="s">
        <v>1032</v>
      </c>
      <c r="DF16" s="1129"/>
      <c r="DG16" s="1098" t="s">
        <v>1035</v>
      </c>
      <c r="DH16" s="1129"/>
      <c r="DI16" s="1098" t="s">
        <v>1035</v>
      </c>
      <c r="DJ16" s="1129"/>
      <c r="DK16" s="1137"/>
      <c r="DL16" s="1130"/>
      <c r="DM16" s="1130"/>
      <c r="DN16" s="1130"/>
      <c r="DO16" s="1130"/>
      <c r="DP16" s="1130"/>
      <c r="DQ16" s="1130"/>
      <c r="DR16" s="1130"/>
      <c r="DS16" s="1130"/>
      <c r="DT16" s="1130"/>
      <c r="DU16" s="1130"/>
      <c r="DV16" s="1130"/>
      <c r="DW16" s="1130"/>
      <c r="DX16" s="1130"/>
      <c r="DY16" s="1130"/>
      <c r="DZ16" s="1130"/>
      <c r="EA16" s="1130"/>
      <c r="EB16" s="1130"/>
      <c r="EC16" s="1130"/>
      <c r="ED16" s="1130"/>
      <c r="EE16" s="1130"/>
      <c r="EF16" s="1130"/>
      <c r="EG16" s="1130"/>
      <c r="EH16" s="1130"/>
      <c r="EI16" s="1130"/>
      <c r="EJ16" s="1130"/>
      <c r="EK16" s="1130"/>
      <c r="EL16" s="1130"/>
      <c r="EM16" s="1130"/>
      <c r="EN16" s="1130"/>
      <c r="EO16" s="1130"/>
      <c r="EP16" s="1130"/>
      <c r="EQ16" s="1130"/>
      <c r="ER16" s="1130"/>
      <c r="ES16" s="1130"/>
      <c r="ET16" s="1130"/>
      <c r="EU16" s="1130"/>
      <c r="EV16" s="1130"/>
      <c r="EW16" s="1130"/>
      <c r="EX16" s="1130"/>
      <c r="EY16" s="1130"/>
      <c r="EZ16" s="1130"/>
      <c r="FA16" s="1130"/>
      <c r="FB16" s="1130"/>
      <c r="FC16" s="1130"/>
      <c r="FD16" s="1130"/>
      <c r="FE16" s="1130"/>
      <c r="FF16" s="1130"/>
      <c r="FG16" s="1130"/>
      <c r="FH16" s="1130"/>
      <c r="FI16" s="1130"/>
      <c r="FJ16" s="1130"/>
      <c r="FK16" s="1130"/>
      <c r="FL16" s="1130"/>
      <c r="FM16" s="1130"/>
      <c r="FN16" s="1130"/>
      <c r="FO16" s="1130"/>
      <c r="FP16" s="1130"/>
      <c r="FQ16" s="1130"/>
      <c r="FR16" s="1130"/>
      <c r="FS16" s="1130"/>
      <c r="FT16" s="1130"/>
      <c r="FU16" s="1130"/>
      <c r="FV16" s="1130"/>
      <c r="FW16" s="1135"/>
      <c r="GC16" s="535">
        <v>12</v>
      </c>
    </row>
    <row r="17" spans="1:185" ht="15.75" customHeight="1">
      <c r="E17" s="541"/>
      <c r="F17" s="958"/>
      <c r="G17" s="958"/>
      <c r="H17" s="958"/>
      <c r="I17" s="958"/>
      <c r="J17" s="1147"/>
      <c r="K17" s="1147"/>
      <c r="L17" s="1147"/>
      <c r="M17" s="1147"/>
      <c r="N17" s="1147"/>
      <c r="O17" s="120" t="s">
        <v>1036</v>
      </c>
      <c r="P17" s="120" t="s">
        <v>1037</v>
      </c>
      <c r="Q17" s="120" t="s">
        <v>1036</v>
      </c>
      <c r="R17" s="120" t="s">
        <v>1037</v>
      </c>
      <c r="S17" s="120" t="s">
        <v>1036</v>
      </c>
      <c r="T17" s="120" t="s">
        <v>1037</v>
      </c>
      <c r="U17" s="120" t="s">
        <v>1036</v>
      </c>
      <c r="V17" s="120" t="s">
        <v>1037</v>
      </c>
      <c r="W17" s="120" t="s">
        <v>1036</v>
      </c>
      <c r="X17" s="120" t="s">
        <v>1037</v>
      </c>
      <c r="Y17" s="120" t="s">
        <v>1036</v>
      </c>
      <c r="Z17" s="120" t="s">
        <v>1037</v>
      </c>
      <c r="AA17" s="120" t="s">
        <v>1036</v>
      </c>
      <c r="AB17" s="120" t="s">
        <v>1037</v>
      </c>
      <c r="AC17" s="1130"/>
      <c r="AD17" s="1130"/>
      <c r="AE17" s="1130"/>
      <c r="AF17" s="1130"/>
      <c r="AG17" s="1130"/>
      <c r="AH17" s="1130"/>
      <c r="AI17" s="1130"/>
      <c r="AJ17" s="1130"/>
      <c r="AK17" s="1130"/>
      <c r="AL17" s="1130"/>
      <c r="AM17" s="1130"/>
      <c r="AN17" s="1130"/>
      <c r="AO17" s="1130"/>
      <c r="AP17" s="1130"/>
      <c r="AQ17" s="1130"/>
      <c r="AR17" s="1130"/>
      <c r="AS17" s="1130"/>
      <c r="AT17" s="1130"/>
      <c r="AU17" s="1130"/>
      <c r="AV17" s="1130"/>
      <c r="AW17" s="1130"/>
      <c r="AX17" s="1130"/>
      <c r="AY17" s="1130"/>
      <c r="AZ17" s="1130"/>
      <c r="BA17" s="1130"/>
      <c r="BB17" s="1130"/>
      <c r="BC17" s="1130"/>
      <c r="BD17" s="1130"/>
      <c r="BE17" s="1130"/>
      <c r="BF17" s="1130"/>
      <c r="BG17" s="1130"/>
      <c r="BH17" s="1130"/>
      <c r="BI17" s="1130"/>
      <c r="BJ17" s="1130"/>
      <c r="BK17" s="1130"/>
      <c r="BL17" s="1130"/>
      <c r="BM17" s="1130"/>
      <c r="BN17" s="1130"/>
      <c r="BO17" s="1130"/>
      <c r="BP17" s="1130"/>
      <c r="BQ17" s="1130"/>
      <c r="BR17" s="1130"/>
      <c r="BS17" s="1131"/>
      <c r="BT17" s="120" t="s">
        <v>1036</v>
      </c>
      <c r="BU17" s="120" t="s">
        <v>1037</v>
      </c>
      <c r="BV17" s="120" t="s">
        <v>1036</v>
      </c>
      <c r="BW17" s="120" t="s">
        <v>1037</v>
      </c>
      <c r="BX17" s="120" t="s">
        <v>1036</v>
      </c>
      <c r="BY17" s="120" t="s">
        <v>1037</v>
      </c>
      <c r="BZ17" s="120" t="s">
        <v>1036</v>
      </c>
      <c r="CA17" s="120" t="s">
        <v>1037</v>
      </c>
      <c r="CB17" s="120" t="s">
        <v>1036</v>
      </c>
      <c r="CC17" s="120" t="s">
        <v>1037</v>
      </c>
      <c r="CD17" s="120" t="s">
        <v>1036</v>
      </c>
      <c r="CE17" s="120" t="s">
        <v>1037</v>
      </c>
      <c r="CF17" s="120" t="s">
        <v>1036</v>
      </c>
      <c r="CG17" s="120" t="s">
        <v>1037</v>
      </c>
      <c r="CH17" s="120" t="s">
        <v>1036</v>
      </c>
      <c r="CI17" s="120" t="s">
        <v>1037</v>
      </c>
      <c r="CJ17" s="120" t="s">
        <v>1036</v>
      </c>
      <c r="CK17" s="120" t="s">
        <v>1037</v>
      </c>
      <c r="CL17" s="1137"/>
      <c r="CM17" s="1130"/>
      <c r="CN17" s="1130"/>
      <c r="CO17" s="1130"/>
      <c r="CP17" s="1130"/>
      <c r="CQ17" s="1130"/>
      <c r="CR17" s="1130"/>
      <c r="CS17" s="1130"/>
      <c r="CT17" s="1130"/>
      <c r="CU17" s="1130"/>
      <c r="CV17" s="1130"/>
      <c r="CW17" s="1130"/>
      <c r="CX17" s="1131"/>
      <c r="CY17" s="120" t="s">
        <v>1036</v>
      </c>
      <c r="CZ17" s="120" t="s">
        <v>1037</v>
      </c>
      <c r="DA17" s="120" t="s">
        <v>1036</v>
      </c>
      <c r="DB17" s="120" t="s">
        <v>1037</v>
      </c>
      <c r="DC17" s="120" t="s">
        <v>1036</v>
      </c>
      <c r="DD17" s="120" t="s">
        <v>1037</v>
      </c>
      <c r="DE17" s="120" t="s">
        <v>1036</v>
      </c>
      <c r="DF17" s="120" t="s">
        <v>1037</v>
      </c>
      <c r="DG17" s="120" t="s">
        <v>1036</v>
      </c>
      <c r="DH17" s="120" t="s">
        <v>1037</v>
      </c>
      <c r="DI17" s="120" t="s">
        <v>1036</v>
      </c>
      <c r="DJ17" s="120" t="s">
        <v>1037</v>
      </c>
      <c r="DK17" s="1137"/>
      <c r="DL17" s="1130"/>
      <c r="DM17" s="1130"/>
      <c r="DN17" s="1130"/>
      <c r="DO17" s="1130"/>
      <c r="DP17" s="1130"/>
      <c r="DQ17" s="1130"/>
      <c r="DR17" s="1130"/>
      <c r="DS17" s="1130"/>
      <c r="DT17" s="1130"/>
      <c r="DU17" s="1130"/>
      <c r="DV17" s="1130"/>
      <c r="DW17" s="1130"/>
      <c r="DX17" s="1130"/>
      <c r="DY17" s="1130"/>
      <c r="DZ17" s="1130"/>
      <c r="EA17" s="1130"/>
      <c r="EB17" s="1130"/>
      <c r="EC17" s="1130"/>
      <c r="ED17" s="1130"/>
      <c r="EE17" s="1130"/>
      <c r="EF17" s="1130"/>
      <c r="EG17" s="1130"/>
      <c r="EH17" s="1130"/>
      <c r="EI17" s="1130"/>
      <c r="EJ17" s="1130"/>
      <c r="EK17" s="1130"/>
      <c r="EL17" s="1130"/>
      <c r="EM17" s="1130"/>
      <c r="EN17" s="1130"/>
      <c r="EO17" s="1130"/>
      <c r="EP17" s="1130"/>
      <c r="EQ17" s="1130"/>
      <c r="ER17" s="1130"/>
      <c r="ES17" s="1130"/>
      <c r="ET17" s="1130"/>
      <c r="EU17" s="1130"/>
      <c r="EV17" s="1130"/>
      <c r="EW17" s="1130"/>
      <c r="EX17" s="1130"/>
      <c r="EY17" s="1130"/>
      <c r="EZ17" s="1130"/>
      <c r="FA17" s="1130"/>
      <c r="FB17" s="1130"/>
      <c r="FC17" s="1130"/>
      <c r="FD17" s="1130"/>
      <c r="FE17" s="1130"/>
      <c r="FF17" s="1130"/>
      <c r="FG17" s="1130"/>
      <c r="FH17" s="1130"/>
      <c r="FI17" s="1130"/>
      <c r="FJ17" s="1130"/>
      <c r="FK17" s="1130"/>
      <c r="FL17" s="1130"/>
      <c r="FM17" s="1130"/>
      <c r="FN17" s="1130"/>
      <c r="FO17" s="1130"/>
      <c r="FP17" s="1130"/>
      <c r="FQ17" s="1130"/>
      <c r="FR17" s="1130"/>
      <c r="FS17" s="1130"/>
      <c r="FT17" s="1130"/>
      <c r="FU17" s="1130"/>
      <c r="FV17" s="1130"/>
      <c r="FW17" s="1136"/>
      <c r="GC17" s="535">
        <v>15</v>
      </c>
    </row>
    <row r="18" spans="1:185" ht="12" hidden="1" customHeight="1">
      <c r="E18" s="542"/>
      <c r="F18" s="543"/>
      <c r="G18" s="543"/>
      <c r="H18" s="543"/>
      <c r="I18" s="543"/>
      <c r="J18" s="544"/>
      <c r="K18" s="544"/>
      <c r="L18" s="544"/>
      <c r="M18" s="544"/>
      <c r="N18" s="544"/>
      <c r="O18" s="543"/>
      <c r="P18" s="543"/>
      <c r="Q18" s="543"/>
      <c r="R18" s="543"/>
      <c r="S18" s="543"/>
      <c r="T18" s="543"/>
      <c r="U18" s="545"/>
      <c r="V18" s="545"/>
      <c r="W18" s="545"/>
      <c r="X18" s="545"/>
      <c r="Y18" s="545"/>
      <c r="Z18" s="545"/>
      <c r="AA18" s="545"/>
      <c r="AB18" s="543"/>
      <c r="AC18" s="544"/>
      <c r="AD18" s="544"/>
      <c r="AE18" s="544"/>
      <c r="AF18" s="544"/>
      <c r="AG18" s="544"/>
      <c r="AH18" s="544"/>
      <c r="AI18" s="544"/>
      <c r="AJ18" s="544"/>
      <c r="AK18" s="544"/>
      <c r="AL18" s="544"/>
      <c r="AM18" s="544"/>
      <c r="AN18" s="544"/>
      <c r="AO18" s="544"/>
      <c r="AP18" s="544"/>
      <c r="AQ18" s="544"/>
      <c r="AR18" s="544"/>
      <c r="AS18" s="544"/>
      <c r="AT18" s="544"/>
      <c r="AU18" s="544"/>
      <c r="AV18" s="544"/>
      <c r="AW18" s="544"/>
      <c r="AX18" s="544"/>
      <c r="AY18" s="544"/>
      <c r="AZ18" s="544"/>
      <c r="BA18" s="544"/>
      <c r="BB18" s="544"/>
      <c r="BC18" s="544"/>
      <c r="BD18" s="544"/>
      <c r="BE18" s="544"/>
      <c r="BF18" s="544"/>
      <c r="BG18" s="544"/>
      <c r="BH18" s="544"/>
      <c r="BI18" s="544"/>
      <c r="BJ18" s="544"/>
      <c r="BK18" s="544"/>
      <c r="BL18" s="544"/>
      <c r="BM18" s="544"/>
      <c r="BN18" s="544"/>
      <c r="BO18" s="544"/>
      <c r="BP18" s="544"/>
      <c r="BQ18" s="544"/>
      <c r="BR18" s="544"/>
      <c r="BS18" s="544"/>
      <c r="BT18" s="546"/>
      <c r="BU18" s="546"/>
      <c r="BV18" s="546"/>
      <c r="BW18" s="546"/>
      <c r="BX18" s="546"/>
      <c r="BY18" s="546"/>
      <c r="BZ18" s="546"/>
      <c r="CA18" s="546"/>
      <c r="CB18" s="546"/>
      <c r="CC18" s="546"/>
      <c r="CD18" s="546"/>
      <c r="CE18" s="546"/>
      <c r="CF18" s="546"/>
      <c r="CG18" s="546"/>
      <c r="CH18" s="546"/>
      <c r="CI18" s="546"/>
      <c r="CJ18" s="546"/>
      <c r="CK18" s="546"/>
      <c r="CL18" s="544"/>
      <c r="CM18" s="544"/>
      <c r="CN18" s="544"/>
      <c r="CO18" s="544"/>
      <c r="CP18" s="544"/>
      <c r="CQ18" s="544"/>
      <c r="CR18" s="544"/>
      <c r="CS18" s="544"/>
      <c r="CT18" s="544"/>
      <c r="CU18" s="544"/>
      <c r="CV18" s="544"/>
      <c r="CW18" s="544"/>
      <c r="CX18" s="544"/>
      <c r="CY18" s="546"/>
      <c r="CZ18" s="546"/>
      <c r="DA18" s="546"/>
      <c r="DB18" s="546"/>
      <c r="DC18" s="546"/>
      <c r="DD18" s="546"/>
      <c r="DE18" s="546"/>
      <c r="DF18" s="546"/>
      <c r="DG18" s="546"/>
      <c r="DH18" s="546"/>
      <c r="DI18" s="546"/>
      <c r="DJ18" s="546"/>
      <c r="DK18" s="544"/>
      <c r="DL18" s="544"/>
      <c r="DM18" s="544"/>
      <c r="DN18" s="544"/>
      <c r="DO18" s="544"/>
      <c r="DP18" s="544"/>
      <c r="DQ18" s="544"/>
      <c r="DR18" s="544"/>
      <c r="DS18" s="544"/>
      <c r="DT18" s="544"/>
      <c r="DU18" s="544"/>
      <c r="DV18" s="544"/>
      <c r="DW18" s="544"/>
      <c r="DX18" s="544"/>
      <c r="DY18" s="544"/>
      <c r="DZ18" s="544"/>
      <c r="EA18" s="544"/>
      <c r="EB18" s="544"/>
      <c r="EC18" s="544"/>
      <c r="ED18" s="544"/>
      <c r="EE18" s="544"/>
      <c r="EF18" s="544"/>
      <c r="EG18" s="544"/>
      <c r="EH18" s="544"/>
      <c r="EI18" s="544"/>
      <c r="EJ18" s="544"/>
      <c r="EK18" s="544"/>
      <c r="EL18" s="544"/>
      <c r="EM18" s="544"/>
      <c r="EN18" s="544"/>
      <c r="EO18" s="544"/>
      <c r="EP18" s="544"/>
      <c r="EQ18" s="544"/>
      <c r="ER18" s="544"/>
      <c r="ES18" s="544"/>
      <c r="ET18" s="544"/>
      <c r="EU18" s="544"/>
      <c r="EV18" s="544"/>
      <c r="EW18" s="544"/>
      <c r="EX18" s="544"/>
      <c r="EY18" s="544"/>
      <c r="EZ18" s="544"/>
      <c r="FA18" s="544"/>
      <c r="FB18" s="544"/>
      <c r="FC18" s="544"/>
      <c r="FD18" s="544"/>
      <c r="FE18" s="544"/>
      <c r="FF18" s="544"/>
      <c r="FG18" s="544"/>
      <c r="FH18" s="544"/>
      <c r="FI18" s="544"/>
      <c r="FJ18" s="544"/>
      <c r="FK18" s="544"/>
      <c r="FL18" s="544"/>
      <c r="FM18" s="544"/>
      <c r="FN18" s="544"/>
      <c r="FO18" s="544"/>
      <c r="FP18" s="544"/>
      <c r="FQ18" s="544"/>
      <c r="FR18" s="544"/>
      <c r="FS18" s="544"/>
      <c r="FT18" s="544"/>
      <c r="FU18" s="544"/>
      <c r="FV18" s="544"/>
      <c r="FW18" s="543"/>
      <c r="GC18" s="534">
        <v>0</v>
      </c>
    </row>
    <row r="19" spans="1:185" ht="11.25" hidden="1" customHeight="1">
      <c r="E19" s="542"/>
      <c r="F19" s="543"/>
      <c r="G19" s="543"/>
      <c r="H19" s="543"/>
      <c r="I19" s="543"/>
      <c r="J19" s="543"/>
      <c r="K19" s="543"/>
      <c r="L19" s="543"/>
      <c r="M19" s="543"/>
      <c r="N19" s="543"/>
      <c r="O19" s="543"/>
      <c r="P19" s="543"/>
      <c r="Q19" s="543"/>
      <c r="R19" s="543"/>
      <c r="S19" s="543"/>
      <c r="T19" s="543"/>
      <c r="U19" s="545"/>
      <c r="V19" s="545"/>
      <c r="W19" s="545"/>
      <c r="X19" s="545"/>
      <c r="Y19" s="545"/>
      <c r="Z19" s="545"/>
      <c r="AA19" s="545"/>
      <c r="AB19" s="543"/>
      <c r="AC19" s="543"/>
      <c r="AD19" s="543"/>
      <c r="AE19" s="543"/>
      <c r="AF19" s="543"/>
      <c r="AG19" s="543"/>
      <c r="AH19" s="543"/>
      <c r="AI19" s="543"/>
      <c r="AJ19" s="543"/>
      <c r="AK19" s="543"/>
      <c r="AL19" s="543"/>
      <c r="AM19" s="543"/>
      <c r="AN19" s="543"/>
      <c r="AO19" s="543"/>
      <c r="AP19" s="543"/>
      <c r="AQ19" s="543"/>
      <c r="AR19" s="543"/>
      <c r="AS19" s="543"/>
      <c r="AT19" s="543"/>
      <c r="AU19" s="543"/>
      <c r="AV19" s="543"/>
      <c r="AW19" s="543"/>
      <c r="AX19" s="543"/>
      <c r="AY19" s="543"/>
      <c r="AZ19" s="543"/>
      <c r="BA19" s="543"/>
      <c r="BB19" s="543"/>
      <c r="BC19" s="543"/>
      <c r="BD19" s="543"/>
      <c r="BE19" s="543"/>
      <c r="BF19" s="543"/>
      <c r="BG19" s="543"/>
      <c r="BH19" s="543"/>
      <c r="BI19" s="543"/>
      <c r="BJ19" s="543"/>
      <c r="BK19" s="543"/>
      <c r="BL19" s="543"/>
      <c r="BM19" s="543"/>
      <c r="BN19" s="543"/>
      <c r="BO19" s="543"/>
      <c r="BP19" s="543"/>
      <c r="BQ19" s="543"/>
      <c r="BR19" s="543"/>
      <c r="BS19" s="543"/>
      <c r="BT19" s="543"/>
      <c r="BU19" s="543"/>
      <c r="BV19" s="543"/>
      <c r="BW19" s="543"/>
      <c r="BX19" s="543"/>
      <c r="BY19" s="543"/>
      <c r="BZ19" s="543"/>
      <c r="CA19" s="543"/>
      <c r="CB19" s="543"/>
      <c r="CC19" s="543"/>
      <c r="CD19" s="543"/>
      <c r="CE19" s="543"/>
      <c r="CF19" s="543"/>
      <c r="CG19" s="543"/>
      <c r="CH19" s="543"/>
      <c r="CI19" s="543"/>
      <c r="CJ19" s="543"/>
      <c r="CK19" s="543"/>
      <c r="CL19" s="543"/>
      <c r="CM19" s="543"/>
      <c r="CN19" s="543"/>
      <c r="CO19" s="543"/>
      <c r="CP19" s="543"/>
      <c r="CQ19" s="543"/>
      <c r="CR19" s="543"/>
      <c r="CS19" s="543"/>
      <c r="CT19" s="543"/>
      <c r="CU19" s="543"/>
      <c r="CV19" s="543"/>
      <c r="CW19" s="543"/>
      <c r="CX19" s="543"/>
      <c r="CY19" s="543"/>
      <c r="CZ19" s="543"/>
      <c r="DA19" s="543"/>
      <c r="DB19" s="543"/>
      <c r="DC19" s="543"/>
      <c r="DD19" s="543"/>
      <c r="DE19" s="543"/>
      <c r="DF19" s="543"/>
      <c r="DG19" s="543"/>
      <c r="DH19" s="543"/>
      <c r="DI19" s="543"/>
      <c r="DJ19" s="543"/>
      <c r="DK19" s="543"/>
      <c r="DL19" s="543"/>
      <c r="DM19" s="543"/>
      <c r="DN19" s="543"/>
      <c r="DO19" s="543"/>
      <c r="DP19" s="543"/>
      <c r="DQ19" s="543"/>
      <c r="DR19" s="543"/>
      <c r="DS19" s="543"/>
      <c r="DT19" s="543"/>
      <c r="DU19" s="543"/>
      <c r="DV19" s="543"/>
      <c r="DW19" s="543"/>
      <c r="DX19" s="543"/>
      <c r="DY19" s="543"/>
      <c r="DZ19" s="543"/>
      <c r="EA19" s="543"/>
      <c r="EB19" s="543"/>
      <c r="EC19" s="543"/>
      <c r="ED19" s="543"/>
      <c r="EE19" s="543"/>
      <c r="EF19" s="543"/>
      <c r="EG19" s="543"/>
      <c r="EH19" s="543"/>
      <c r="EI19" s="543"/>
      <c r="EJ19" s="543"/>
      <c r="EK19" s="543"/>
      <c r="EL19" s="543"/>
      <c r="EM19" s="543"/>
      <c r="EN19" s="543"/>
      <c r="EO19" s="543"/>
      <c r="EP19" s="543"/>
      <c r="EQ19" s="543"/>
      <c r="ER19" s="543"/>
      <c r="ES19" s="543"/>
      <c r="ET19" s="543"/>
      <c r="EU19" s="543"/>
      <c r="EV19" s="543"/>
      <c r="EW19" s="543"/>
      <c r="EX19" s="543"/>
      <c r="EY19" s="543"/>
      <c r="EZ19" s="543"/>
      <c r="FA19" s="543"/>
      <c r="FB19" s="543"/>
      <c r="FC19" s="543"/>
      <c r="FD19" s="543"/>
      <c r="FE19" s="543"/>
      <c r="FF19" s="543"/>
      <c r="FG19" s="543"/>
      <c r="FH19" s="543"/>
      <c r="FI19" s="543"/>
      <c r="FJ19" s="543"/>
      <c r="FK19" s="543"/>
      <c r="FL19" s="543"/>
      <c r="FM19" s="543"/>
      <c r="FN19" s="543"/>
      <c r="FO19" s="543"/>
      <c r="FP19" s="543"/>
      <c r="FQ19" s="543"/>
      <c r="FR19" s="543"/>
      <c r="FS19" s="543"/>
      <c r="FT19" s="543"/>
      <c r="FU19" s="543"/>
      <c r="FV19" s="543"/>
      <c r="FW19" s="543"/>
      <c r="GC19" s="534">
        <v>0</v>
      </c>
    </row>
    <row r="20" spans="1:185" ht="11.25" hidden="1" customHeight="1">
      <c r="E20" s="542"/>
      <c r="F20" s="547" t="s">
        <v>299</v>
      </c>
      <c r="G20" s="104"/>
      <c r="H20" s="548"/>
      <c r="I20" s="548"/>
      <c r="J20" s="548"/>
      <c r="K20" s="548"/>
      <c r="L20" s="548"/>
      <c r="M20" s="548"/>
      <c r="N20" s="548"/>
      <c r="O20" s="104"/>
      <c r="P20" s="104"/>
      <c r="Q20" s="104"/>
      <c r="R20" s="104"/>
      <c r="S20" s="104"/>
      <c r="T20" s="104"/>
      <c r="U20" s="549"/>
      <c r="V20" s="549"/>
      <c r="W20" s="549"/>
      <c r="X20" s="549"/>
      <c r="Y20" s="549"/>
      <c r="Z20" s="549"/>
      <c r="AA20" s="549"/>
      <c r="AB20" s="104"/>
      <c r="AC20" s="548"/>
      <c r="AD20" s="548"/>
      <c r="AE20" s="548"/>
      <c r="AF20" s="548"/>
      <c r="AG20" s="548"/>
      <c r="AH20" s="548"/>
      <c r="AI20" s="548"/>
      <c r="AJ20" s="548"/>
      <c r="AK20" s="548"/>
      <c r="AL20" s="548"/>
      <c r="AM20" s="548"/>
      <c r="AN20" s="548"/>
      <c r="AO20" s="548"/>
      <c r="AP20" s="548"/>
      <c r="AQ20" s="548"/>
      <c r="AR20" s="548"/>
      <c r="AS20" s="548"/>
      <c r="AT20" s="548"/>
      <c r="AU20" s="548"/>
      <c r="AV20" s="548"/>
      <c r="AW20" s="548"/>
      <c r="AX20" s="548"/>
      <c r="AY20" s="548"/>
      <c r="AZ20" s="548"/>
      <c r="BA20" s="548"/>
      <c r="BB20" s="548"/>
      <c r="BC20" s="548"/>
      <c r="BD20" s="548"/>
      <c r="BE20" s="548"/>
      <c r="BF20" s="548"/>
      <c r="BG20" s="548"/>
      <c r="BH20" s="548"/>
      <c r="BI20" s="548"/>
      <c r="BJ20" s="548"/>
      <c r="BK20" s="548"/>
      <c r="BL20" s="548"/>
      <c r="BM20" s="548"/>
      <c r="BN20" s="548"/>
      <c r="BO20" s="548"/>
      <c r="BP20" s="548"/>
      <c r="BQ20" s="548"/>
      <c r="BR20" s="548"/>
      <c r="BS20" s="548"/>
      <c r="BT20" s="548"/>
      <c r="BU20" s="548"/>
      <c r="BV20" s="548"/>
      <c r="BW20" s="548"/>
      <c r="BX20" s="548"/>
      <c r="BY20" s="548"/>
      <c r="BZ20" s="548"/>
      <c r="CA20" s="548"/>
      <c r="CB20" s="548"/>
      <c r="CC20" s="548"/>
      <c r="CD20" s="548"/>
      <c r="CE20" s="548"/>
      <c r="CF20" s="548"/>
      <c r="CG20" s="548"/>
      <c r="CH20" s="548"/>
      <c r="CI20" s="548"/>
      <c r="CJ20" s="548"/>
      <c r="CK20" s="548"/>
      <c r="CL20" s="550"/>
      <c r="CM20" s="550"/>
      <c r="CN20" s="550"/>
      <c r="CO20" s="550"/>
      <c r="CP20" s="550"/>
      <c r="CQ20" s="550"/>
      <c r="CR20" s="550"/>
      <c r="CS20" s="550"/>
      <c r="CT20" s="550"/>
      <c r="CU20" s="550"/>
      <c r="CV20" s="550"/>
      <c r="CW20" s="550"/>
      <c r="CX20" s="550"/>
      <c r="CY20" s="550"/>
      <c r="CZ20" s="550"/>
      <c r="DA20" s="550"/>
      <c r="DB20" s="550"/>
      <c r="DC20" s="550"/>
      <c r="DD20" s="550"/>
      <c r="DE20" s="550"/>
      <c r="DF20" s="550"/>
      <c r="DG20" s="550"/>
      <c r="DH20" s="550"/>
      <c r="DI20" s="550"/>
      <c r="DJ20" s="550"/>
      <c r="DK20" s="550"/>
      <c r="DL20" s="550"/>
      <c r="DM20" s="550"/>
      <c r="DN20" s="550"/>
      <c r="DO20" s="550"/>
      <c r="DP20" s="550"/>
      <c r="DQ20" s="550"/>
      <c r="DR20" s="550"/>
      <c r="DS20" s="550"/>
      <c r="DT20" s="550"/>
      <c r="DU20" s="550"/>
      <c r="DV20" s="550"/>
      <c r="DW20" s="550"/>
      <c r="DX20" s="550"/>
      <c r="DY20" s="550"/>
      <c r="DZ20" s="550"/>
      <c r="EA20" s="550"/>
      <c r="EB20" s="550"/>
      <c r="EC20" s="550"/>
      <c r="ED20" s="550"/>
      <c r="EE20" s="550"/>
      <c r="EF20" s="550"/>
      <c r="EG20" s="550"/>
      <c r="EH20" s="550"/>
      <c r="EI20" s="550"/>
      <c r="EJ20" s="550"/>
      <c r="EK20" s="550"/>
      <c r="EL20" s="550"/>
      <c r="EM20" s="550"/>
      <c r="EN20" s="550"/>
      <c r="EO20" s="550"/>
      <c r="EP20" s="550"/>
      <c r="EQ20" s="550"/>
      <c r="ER20" s="550"/>
      <c r="ES20" s="550"/>
      <c r="ET20" s="550"/>
      <c r="EU20" s="550"/>
      <c r="EV20" s="550"/>
      <c r="EW20" s="550"/>
      <c r="EX20" s="550"/>
      <c r="EY20" s="550"/>
      <c r="EZ20" s="550"/>
      <c r="FA20" s="550"/>
      <c r="FB20" s="550"/>
      <c r="FC20" s="550"/>
      <c r="FD20" s="550"/>
      <c r="FE20" s="550"/>
      <c r="FF20" s="550"/>
      <c r="FG20" s="550"/>
      <c r="FH20" s="550"/>
      <c r="FI20" s="550"/>
      <c r="FJ20" s="550"/>
      <c r="FK20" s="550"/>
      <c r="FL20" s="550"/>
      <c r="FM20" s="550"/>
      <c r="FN20" s="550"/>
      <c r="FO20" s="550"/>
      <c r="FP20" s="550"/>
      <c r="FQ20" s="550"/>
      <c r="FR20" s="550"/>
      <c r="FS20" s="550"/>
      <c r="FT20" s="550"/>
      <c r="FU20" s="550"/>
      <c r="FV20" s="550"/>
      <c r="FW20" s="550"/>
      <c r="GC20" s="534">
        <v>0</v>
      </c>
    </row>
    <row r="21" spans="1:185" ht="12.75" customHeight="1">
      <c r="F21" s="542"/>
      <c r="G21" s="542"/>
      <c r="H21" s="542"/>
      <c r="I21" s="542"/>
      <c r="J21" s="542"/>
      <c r="K21" s="542"/>
      <c r="L21" s="542"/>
      <c r="M21" s="542"/>
      <c r="N21" s="542"/>
      <c r="O21" s="542"/>
      <c r="P21" s="542"/>
      <c r="Q21" s="542"/>
      <c r="R21" s="542"/>
      <c r="S21" s="551"/>
      <c r="T21" s="551"/>
      <c r="U21" s="542"/>
      <c r="V21" s="542"/>
      <c r="W21" s="542"/>
      <c r="X21" s="542"/>
      <c r="Y21" s="542"/>
      <c r="Z21" s="542"/>
      <c r="AA21" s="542"/>
      <c r="AB21" s="542"/>
      <c r="AC21" s="542"/>
      <c r="AD21" s="542"/>
      <c r="AE21" s="542"/>
      <c r="AF21" s="542"/>
      <c r="AG21" s="542"/>
      <c r="AH21" s="542"/>
      <c r="AI21" s="542"/>
      <c r="AJ21" s="542"/>
      <c r="AK21" s="542"/>
      <c r="AL21" s="542"/>
      <c r="AM21" s="542"/>
      <c r="AN21" s="542"/>
      <c r="AO21" s="542"/>
      <c r="AP21" s="542"/>
      <c r="AQ21" s="542"/>
      <c r="AR21" s="542"/>
      <c r="AS21" s="542"/>
      <c r="AT21" s="542"/>
      <c r="AU21" s="542"/>
      <c r="AV21" s="542"/>
      <c r="AW21" s="542"/>
      <c r="AX21" s="542"/>
      <c r="AY21" s="542"/>
      <c r="AZ21" s="542"/>
      <c r="BA21" s="542"/>
      <c r="BB21" s="542"/>
      <c r="BC21" s="542"/>
      <c r="BD21" s="542"/>
      <c r="BE21" s="542"/>
      <c r="BF21" s="542"/>
      <c r="BG21" s="542"/>
      <c r="BH21" s="542"/>
      <c r="BI21" s="542"/>
      <c r="BJ21" s="542"/>
      <c r="BK21" s="542"/>
      <c r="BL21" s="542"/>
      <c r="BM21" s="542"/>
      <c r="BN21" s="542"/>
      <c r="BO21" s="542"/>
      <c r="BP21" s="542"/>
      <c r="BQ21" s="542"/>
      <c r="BR21" s="542"/>
      <c r="BS21" s="542"/>
      <c r="BT21" s="542"/>
      <c r="BU21" s="542"/>
      <c r="BV21" s="542"/>
      <c r="BW21" s="542"/>
      <c r="BX21" s="542"/>
      <c r="BY21" s="542"/>
      <c r="BZ21" s="542"/>
      <c r="CA21" s="542"/>
      <c r="CB21" s="542"/>
      <c r="CC21" s="542"/>
      <c r="CD21" s="542"/>
      <c r="CE21" s="542"/>
      <c r="CF21" s="542"/>
      <c r="CG21" s="542"/>
      <c r="CH21" s="542"/>
      <c r="CI21" s="542"/>
      <c r="CJ21" s="542"/>
      <c r="CK21" s="542"/>
      <c r="CL21" s="542"/>
      <c r="CM21" s="542"/>
      <c r="CN21" s="542"/>
      <c r="CO21" s="542"/>
      <c r="CP21" s="542"/>
      <c r="CQ21" s="542"/>
      <c r="CR21" s="542"/>
      <c r="CS21" s="542"/>
      <c r="CT21" s="542"/>
      <c r="CU21" s="542"/>
      <c r="CV21" s="542"/>
      <c r="CW21" s="542"/>
      <c r="CX21" s="542"/>
      <c r="CY21" s="542"/>
      <c r="CZ21" s="542"/>
      <c r="DA21" s="542"/>
      <c r="DB21" s="542"/>
      <c r="DC21" s="542"/>
      <c r="DD21" s="542"/>
      <c r="DE21" s="542"/>
      <c r="DF21" s="542"/>
      <c r="DG21" s="542"/>
      <c r="DH21" s="542"/>
      <c r="DI21" s="542"/>
      <c r="DJ21" s="542"/>
      <c r="DK21" s="542"/>
      <c r="DL21" s="542"/>
      <c r="DM21" s="542"/>
      <c r="DN21" s="542"/>
      <c r="DO21" s="542"/>
      <c r="DP21" s="542"/>
      <c r="DQ21" s="542"/>
      <c r="DR21" s="542"/>
      <c r="DS21" s="542"/>
      <c r="DT21" s="542"/>
      <c r="DU21" s="542"/>
      <c r="DV21" s="542"/>
      <c r="DW21" s="542"/>
      <c r="DX21" s="542"/>
      <c r="DY21" s="542"/>
      <c r="DZ21" s="542"/>
      <c r="EA21" s="542"/>
      <c r="EB21" s="542"/>
      <c r="EC21" s="542"/>
      <c r="ED21" s="542"/>
      <c r="EE21" s="542"/>
      <c r="EF21" s="542"/>
      <c r="EG21" s="542"/>
      <c r="EH21" s="542"/>
      <c r="EI21" s="542"/>
      <c r="EJ21" s="542"/>
      <c r="EK21" s="542"/>
      <c r="EL21" s="542"/>
      <c r="EM21" s="542"/>
      <c r="EN21" s="542"/>
      <c r="EO21" s="542"/>
      <c r="EP21" s="542"/>
      <c r="EQ21" s="542"/>
      <c r="ER21" s="542"/>
      <c r="ES21" s="542"/>
      <c r="ET21" s="542"/>
      <c r="EU21" s="542"/>
      <c r="EV21" s="542"/>
      <c r="EW21" s="542"/>
      <c r="EX21" s="542"/>
      <c r="EY21" s="542"/>
      <c r="EZ21" s="542"/>
      <c r="FA21" s="542"/>
      <c r="FB21" s="542"/>
      <c r="FC21" s="542"/>
      <c r="FD21" s="542"/>
      <c r="FE21" s="542"/>
      <c r="FF21" s="542"/>
      <c r="FG21" s="542"/>
      <c r="FH21" s="542"/>
      <c r="FI21" s="542"/>
      <c r="FJ21" s="542"/>
      <c r="FK21" s="542"/>
      <c r="FL21" s="542"/>
      <c r="FM21" s="542"/>
      <c r="FN21" s="542"/>
      <c r="FO21" s="542"/>
      <c r="FP21" s="542"/>
      <c r="FQ21" s="542"/>
      <c r="FR21" s="542"/>
      <c r="FS21" s="542"/>
      <c r="FT21" s="542"/>
      <c r="FU21" s="542"/>
      <c r="FV21" s="542"/>
      <c r="FW21" s="542"/>
      <c r="GC21" s="534">
        <v>12</v>
      </c>
    </row>
    <row r="22" spans="1:185" ht="12.75" customHeight="1">
      <c r="GC22" s="534">
        <v>12</v>
      </c>
    </row>
    <row r="23" spans="1:185" ht="12.75" customHeight="1">
      <c r="GC23" s="535">
        <v>12</v>
      </c>
    </row>
    <row r="24" spans="1:185" ht="12.75" customHeight="1">
      <c r="GC24" s="535">
        <v>12</v>
      </c>
    </row>
    <row r="25" spans="1:185" ht="12" hidden="1" customHeight="1">
      <c r="A25" s="535" t="s">
        <v>18</v>
      </c>
      <c r="B25" s="552">
        <v>0</v>
      </c>
      <c r="C25" s="535">
        <v>0</v>
      </c>
      <c r="D25" s="535">
        <v>0</v>
      </c>
      <c r="E25" s="535">
        <v>3</v>
      </c>
      <c r="F25" s="535">
        <v>6</v>
      </c>
      <c r="G25" s="535">
        <v>18</v>
      </c>
      <c r="H25" s="535">
        <v>27</v>
      </c>
      <c r="I25" s="535">
        <v>18</v>
      </c>
      <c r="J25" s="535">
        <v>0</v>
      </c>
      <c r="K25" s="535">
        <v>0</v>
      </c>
      <c r="L25" s="535">
        <v>0</v>
      </c>
      <c r="M25" s="535">
        <v>0</v>
      </c>
      <c r="N25" s="535">
        <v>0</v>
      </c>
      <c r="O25" s="535">
        <v>0</v>
      </c>
      <c r="P25" s="535">
        <v>0</v>
      </c>
      <c r="Q25" s="535">
        <v>0</v>
      </c>
      <c r="R25" s="535">
        <v>0</v>
      </c>
      <c r="S25" s="535">
        <v>0</v>
      </c>
      <c r="T25" s="535">
        <v>0</v>
      </c>
      <c r="U25" s="535">
        <v>0</v>
      </c>
      <c r="V25" s="535">
        <v>0</v>
      </c>
      <c r="W25" s="535">
        <v>0</v>
      </c>
      <c r="X25" s="535">
        <v>0</v>
      </c>
      <c r="Y25" s="535">
        <v>0</v>
      </c>
      <c r="Z25" s="535">
        <v>0</v>
      </c>
      <c r="AA25" s="535">
        <v>0</v>
      </c>
      <c r="AB25" s="535">
        <v>0</v>
      </c>
      <c r="AC25" s="535">
        <v>0</v>
      </c>
      <c r="AD25" s="535">
        <v>0</v>
      </c>
      <c r="AE25" s="535">
        <v>0</v>
      </c>
      <c r="AF25" s="535">
        <v>0</v>
      </c>
      <c r="AG25" s="535">
        <v>0</v>
      </c>
      <c r="AH25" s="535">
        <v>0</v>
      </c>
      <c r="AI25" s="535">
        <v>0</v>
      </c>
      <c r="AJ25" s="535">
        <v>0</v>
      </c>
      <c r="AK25" s="535">
        <v>0</v>
      </c>
      <c r="AL25" s="535">
        <v>0</v>
      </c>
      <c r="AM25" s="535">
        <v>0</v>
      </c>
      <c r="AN25" s="535">
        <v>0</v>
      </c>
      <c r="AO25" s="535">
        <v>0</v>
      </c>
      <c r="AP25" s="535">
        <v>0</v>
      </c>
      <c r="AQ25" s="535">
        <v>0</v>
      </c>
      <c r="AR25" s="535">
        <v>0</v>
      </c>
      <c r="AS25" s="535">
        <v>0</v>
      </c>
      <c r="AT25" s="535">
        <v>0</v>
      </c>
      <c r="AU25" s="535">
        <v>0</v>
      </c>
      <c r="AV25" s="535">
        <v>0</v>
      </c>
      <c r="AW25" s="535">
        <v>0</v>
      </c>
      <c r="AX25" s="535">
        <v>0</v>
      </c>
      <c r="AY25" s="535">
        <v>0</v>
      </c>
      <c r="AZ25" s="535">
        <v>0</v>
      </c>
      <c r="BA25" s="535">
        <v>0</v>
      </c>
      <c r="BB25" s="535">
        <v>0</v>
      </c>
      <c r="BC25" s="535">
        <v>0</v>
      </c>
      <c r="BD25" s="535">
        <v>0</v>
      </c>
      <c r="BE25" s="535">
        <v>0</v>
      </c>
      <c r="BF25" s="535">
        <v>0</v>
      </c>
      <c r="BG25" s="535">
        <v>0</v>
      </c>
      <c r="BH25" s="535">
        <v>0</v>
      </c>
      <c r="BI25" s="535">
        <v>0</v>
      </c>
      <c r="BJ25" s="535">
        <v>0</v>
      </c>
      <c r="BK25" s="535">
        <v>0</v>
      </c>
      <c r="BL25" s="535">
        <v>0</v>
      </c>
      <c r="BM25" s="535">
        <v>0</v>
      </c>
      <c r="BN25" s="535">
        <v>0</v>
      </c>
      <c r="BO25" s="535">
        <v>0</v>
      </c>
      <c r="BP25" s="535">
        <v>0</v>
      </c>
      <c r="BQ25" s="535">
        <v>0</v>
      </c>
      <c r="BR25" s="535">
        <v>0</v>
      </c>
      <c r="BS25" s="535">
        <v>0</v>
      </c>
      <c r="BT25" s="535">
        <v>0</v>
      </c>
      <c r="BU25" s="535">
        <v>0</v>
      </c>
      <c r="BV25" s="535">
        <v>0</v>
      </c>
      <c r="BW25" s="535">
        <v>0</v>
      </c>
      <c r="BX25" s="535">
        <v>0</v>
      </c>
      <c r="BY25" s="535">
        <v>0</v>
      </c>
      <c r="BZ25" s="535">
        <v>0</v>
      </c>
      <c r="CA25" s="535">
        <v>0</v>
      </c>
      <c r="CB25" s="535">
        <v>0</v>
      </c>
      <c r="CC25" s="535">
        <v>0</v>
      </c>
      <c r="CD25" s="535">
        <v>0</v>
      </c>
      <c r="CE25" s="535">
        <v>0</v>
      </c>
      <c r="CF25" s="535">
        <v>0</v>
      </c>
      <c r="CG25" s="535">
        <v>0</v>
      </c>
      <c r="CH25" s="535">
        <v>0</v>
      </c>
      <c r="CI25" s="535">
        <v>0</v>
      </c>
      <c r="CJ25" s="535">
        <v>0</v>
      </c>
      <c r="CK25" s="535">
        <v>0</v>
      </c>
      <c r="CL25" s="535">
        <v>0</v>
      </c>
      <c r="CM25" s="535">
        <v>0</v>
      </c>
      <c r="CN25" s="535">
        <v>0</v>
      </c>
      <c r="CO25" s="535">
        <v>0</v>
      </c>
      <c r="CP25" s="535">
        <v>0</v>
      </c>
      <c r="CQ25" s="535">
        <v>0</v>
      </c>
      <c r="CR25" s="535">
        <v>0</v>
      </c>
      <c r="CS25" s="535">
        <v>0</v>
      </c>
      <c r="CT25" s="535">
        <v>0</v>
      </c>
      <c r="CU25" s="535">
        <v>0</v>
      </c>
      <c r="CV25" s="535">
        <v>0</v>
      </c>
      <c r="CW25" s="535">
        <v>0</v>
      </c>
      <c r="CX25" s="535">
        <v>0</v>
      </c>
      <c r="CY25" s="535">
        <v>0</v>
      </c>
      <c r="CZ25" s="535">
        <v>0</v>
      </c>
      <c r="DA25" s="535">
        <v>0</v>
      </c>
      <c r="DB25" s="535">
        <v>0</v>
      </c>
      <c r="DC25" s="535">
        <v>0</v>
      </c>
      <c r="DD25" s="535">
        <v>0</v>
      </c>
      <c r="DE25" s="535">
        <v>0</v>
      </c>
      <c r="DF25" s="535">
        <v>0</v>
      </c>
      <c r="DG25" s="535">
        <v>0</v>
      </c>
      <c r="DH25" s="535">
        <v>0</v>
      </c>
      <c r="DI25" s="535">
        <v>0</v>
      </c>
      <c r="DJ25" s="535">
        <v>0</v>
      </c>
      <c r="DK25" s="535">
        <v>0</v>
      </c>
      <c r="DL25" s="535">
        <v>0</v>
      </c>
      <c r="DM25" s="535">
        <v>0</v>
      </c>
      <c r="DN25" s="535">
        <v>0</v>
      </c>
      <c r="DO25" s="535">
        <v>0</v>
      </c>
      <c r="DP25" s="535">
        <v>0</v>
      </c>
      <c r="DQ25" s="535">
        <v>0</v>
      </c>
      <c r="DR25" s="535">
        <v>0</v>
      </c>
      <c r="DS25" s="535">
        <v>0</v>
      </c>
      <c r="DT25" s="535">
        <v>0</v>
      </c>
      <c r="DU25" s="535">
        <v>0</v>
      </c>
      <c r="DV25" s="535">
        <v>0</v>
      </c>
      <c r="DW25" s="535">
        <v>0</v>
      </c>
      <c r="DX25" s="535">
        <v>0</v>
      </c>
      <c r="DY25" s="535">
        <v>0</v>
      </c>
      <c r="DZ25" s="535">
        <v>0</v>
      </c>
      <c r="EA25" s="535">
        <v>0</v>
      </c>
      <c r="EB25" s="535">
        <v>0</v>
      </c>
      <c r="EC25" s="535">
        <v>0</v>
      </c>
      <c r="ED25" s="535">
        <v>0</v>
      </c>
      <c r="EE25" s="535">
        <v>0</v>
      </c>
      <c r="EF25" s="535">
        <v>0</v>
      </c>
      <c r="EG25" s="535">
        <v>0</v>
      </c>
      <c r="EH25" s="535">
        <v>0</v>
      </c>
      <c r="EI25" s="535">
        <v>0</v>
      </c>
      <c r="EJ25" s="535">
        <v>0</v>
      </c>
      <c r="EK25" s="535">
        <v>0</v>
      </c>
      <c r="EL25" s="535">
        <v>0</v>
      </c>
      <c r="EM25" s="535">
        <v>0</v>
      </c>
      <c r="EN25" s="535">
        <v>0</v>
      </c>
      <c r="EO25" s="535">
        <v>0</v>
      </c>
      <c r="EP25" s="535">
        <v>0</v>
      </c>
      <c r="EQ25" s="535">
        <v>0</v>
      </c>
      <c r="ER25" s="535">
        <v>0</v>
      </c>
      <c r="ES25" s="535">
        <v>0</v>
      </c>
      <c r="ET25" s="535">
        <v>0</v>
      </c>
      <c r="EU25" s="535">
        <v>0</v>
      </c>
      <c r="EV25" s="535">
        <v>0</v>
      </c>
      <c r="EW25" s="535">
        <v>0</v>
      </c>
      <c r="EX25" s="535">
        <v>0</v>
      </c>
      <c r="EY25" s="535">
        <v>0</v>
      </c>
      <c r="EZ25" s="535">
        <v>0</v>
      </c>
      <c r="FA25" s="535">
        <v>0</v>
      </c>
      <c r="FB25" s="535">
        <v>0</v>
      </c>
      <c r="FC25" s="535">
        <v>0</v>
      </c>
      <c r="FD25" s="535">
        <v>0</v>
      </c>
      <c r="FE25" s="535">
        <v>0</v>
      </c>
      <c r="FF25" s="535">
        <v>0</v>
      </c>
      <c r="FG25" s="535">
        <v>0</v>
      </c>
      <c r="FH25" s="535">
        <v>0</v>
      </c>
      <c r="FI25" s="535">
        <v>0</v>
      </c>
      <c r="FJ25" s="535">
        <v>0</v>
      </c>
      <c r="FK25" s="535">
        <v>0</v>
      </c>
      <c r="FL25" s="535">
        <v>0</v>
      </c>
      <c r="FM25" s="535">
        <v>0</v>
      </c>
      <c r="FN25" s="535">
        <v>0</v>
      </c>
      <c r="FO25" s="535">
        <v>0</v>
      </c>
      <c r="FP25" s="535">
        <v>0</v>
      </c>
      <c r="FQ25" s="535">
        <v>0</v>
      </c>
      <c r="FR25" s="535">
        <v>0</v>
      </c>
      <c r="FS25" s="535">
        <v>0</v>
      </c>
      <c r="FT25" s="535">
        <v>0</v>
      </c>
      <c r="FU25" s="535">
        <v>0</v>
      </c>
      <c r="FV25" s="535">
        <v>0</v>
      </c>
      <c r="FW25" s="535">
        <v>0</v>
      </c>
      <c r="FX25" s="535">
        <v>8</v>
      </c>
      <c r="FY25" s="535">
        <v>8</v>
      </c>
      <c r="FZ25" s="535">
        <v>8</v>
      </c>
      <c r="GA25" s="535">
        <v>8</v>
      </c>
      <c r="GB25" s="535">
        <v>8</v>
      </c>
      <c r="GC25" s="53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abSelected="1" topLeftCell="C4" zoomScale="90" workbookViewId="0">
      <selection activeCell="M17" sqref="M17"/>
    </sheetView>
  </sheetViews>
  <sheetFormatPr defaultColWidth="10.5703125" defaultRowHeight="15" customHeight="1"/>
  <cols>
    <col min="1" max="2" width="9.140625" hidden="1" customWidth="1"/>
    <col min="3" max="3" width="4" customWidth="1"/>
    <col min="4" max="4" width="6" customWidth="1"/>
    <col min="5" max="5" width="36" customWidth="1"/>
    <col min="6" max="6" width="9" customWidth="1"/>
    <col min="7" max="7" width="42.42578125" hidden="1" customWidth="1"/>
    <col min="8" max="8" width="40.7109375" customWidth="1"/>
    <col min="9" max="9" width="93" customWidth="1"/>
    <col min="10" max="17" width="10" customWidth="1"/>
  </cols>
  <sheetData>
    <row r="1" spans="3:9" ht="15" hidden="1" customHeight="1">
      <c r="H1" s="11">
        <v>4</v>
      </c>
    </row>
    <row r="2" spans="3:9" ht="22.5" hidden="1" customHeight="1">
      <c r="C2" s="516" t="s">
        <v>612</v>
      </c>
      <c r="D2" s="55"/>
      <c r="E2" s="204"/>
      <c r="F2" s="30" t="s">
        <v>3620</v>
      </c>
      <c r="G2" s="479"/>
      <c r="H2" s="479"/>
      <c r="I2" s="227"/>
    </row>
    <row r="3" spans="3:9" ht="15" hidden="1" customHeight="1"/>
    <row r="4" spans="3:9" ht="15.75" customHeight="1"/>
    <row r="5" spans="3:9" ht="48" customHeight="1">
      <c r="D5" s="982" t="s">
        <v>3621</v>
      </c>
      <c r="E5" s="982"/>
      <c r="F5" s="982"/>
      <c r="G5" s="982"/>
      <c r="H5" s="982"/>
    </row>
    <row r="6" spans="3:9" ht="15.75" customHeight="1">
      <c r="D6" s="955" t="s">
        <v>11</v>
      </c>
      <c r="E6" s="955"/>
      <c r="F6" s="955"/>
      <c r="G6" s="955"/>
      <c r="H6" s="955"/>
    </row>
    <row r="7" spans="3:9" ht="15.75" customHeight="1">
      <c r="H7" s="115"/>
    </row>
    <row r="8" spans="3:9" ht="1.1499999999999999" customHeight="1">
      <c r="H8" s="11" t="s">
        <v>42</v>
      </c>
    </row>
    <row r="9" spans="3:9" ht="48.75" customHeight="1">
      <c r="D9" s="380"/>
      <c r="E9" s="1086" t="s">
        <v>37</v>
      </c>
      <c r="F9" s="1087"/>
      <c r="G9" s="511" t="s">
        <v>4</v>
      </c>
      <c r="H9" s="511" t="s">
        <v>3622</v>
      </c>
      <c r="I9" s="894" t="s">
        <v>224</v>
      </c>
    </row>
    <row r="10" spans="3:9" ht="15.75" customHeight="1">
      <c r="D10" s="380"/>
      <c r="E10" s="1086" t="s">
        <v>487</v>
      </c>
      <c r="F10" s="1087"/>
      <c r="G10" s="511" t="s">
        <v>4</v>
      </c>
      <c r="H10" s="511" t="s">
        <v>3429</v>
      </c>
      <c r="I10" s="894"/>
    </row>
    <row r="11" spans="3:9" ht="15.75" customHeight="1">
      <c r="D11" s="380"/>
      <c r="E11" s="1086" t="s">
        <v>488</v>
      </c>
      <c r="F11" s="1087"/>
      <c r="G11" s="511" t="s">
        <v>4</v>
      </c>
      <c r="H11" s="511" t="s">
        <v>1139</v>
      </c>
      <c r="I11" s="894"/>
    </row>
    <row r="12" spans="3:9" ht="15.75" customHeight="1">
      <c r="D12" s="1088" t="s">
        <v>223</v>
      </c>
      <c r="E12" s="1089"/>
      <c r="F12" s="1089"/>
      <c r="G12" s="381"/>
      <c r="H12" s="381"/>
      <c r="I12" s="894"/>
    </row>
    <row r="13" spans="3:9" ht="35.65" customHeight="1">
      <c r="D13" s="30" t="s">
        <v>24</v>
      </c>
      <c r="E13" s="30" t="s">
        <v>225</v>
      </c>
      <c r="F13" s="30" t="s">
        <v>489</v>
      </c>
      <c r="G13" s="7" t="s">
        <v>226</v>
      </c>
      <c r="H13" s="7" t="s">
        <v>226</v>
      </c>
      <c r="I13" s="894"/>
    </row>
    <row r="14" spans="3:9" ht="15" hidden="1" customHeight="1">
      <c r="D14" s="553" t="s">
        <v>31</v>
      </c>
      <c r="E14" s="553" t="s">
        <v>39</v>
      </c>
      <c r="F14" s="553" t="s">
        <v>26</v>
      </c>
      <c r="G14" s="516" t="s">
        <v>3623</v>
      </c>
      <c r="H14" s="516" t="s">
        <v>677</v>
      </c>
      <c r="I14" s="227"/>
    </row>
    <row r="15" spans="3:9" ht="15.75" customHeight="1">
      <c r="D15" s="30">
        <v>1</v>
      </c>
      <c r="E15" s="71" t="s">
        <v>3624</v>
      </c>
      <c r="F15" s="30" t="s">
        <v>1038</v>
      </c>
      <c r="G15" s="554"/>
      <c r="H15" s="554">
        <v>67</v>
      </c>
      <c r="I15" s="458" t="s">
        <v>3625</v>
      </c>
    </row>
    <row r="16" spans="3:9" ht="15.75" customHeight="1">
      <c r="D16" s="30">
        <v>2</v>
      </c>
      <c r="E16" s="71" t="s">
        <v>3626</v>
      </c>
      <c r="F16" s="30" t="s">
        <v>1038</v>
      </c>
      <c r="G16" s="554"/>
      <c r="H16" s="554">
        <v>32</v>
      </c>
      <c r="I16" s="458" t="s">
        <v>3627</v>
      </c>
    </row>
    <row r="17" spans="1:17" ht="78" customHeight="1">
      <c r="D17" s="30">
        <v>3</v>
      </c>
      <c r="E17" s="71" t="s">
        <v>1955</v>
      </c>
      <c r="F17" s="30" t="s">
        <v>1038</v>
      </c>
      <c r="G17" s="554"/>
      <c r="H17" s="554">
        <v>9</v>
      </c>
      <c r="I17" s="458" t="s">
        <v>3628</v>
      </c>
    </row>
    <row r="18" spans="1:17" ht="83.25" customHeight="1">
      <c r="D18" s="30">
        <v>4</v>
      </c>
      <c r="E18" s="71" t="s">
        <v>3629</v>
      </c>
      <c r="F18" s="30" t="s">
        <v>229</v>
      </c>
      <c r="G18" s="356"/>
      <c r="H18" s="153" t="s">
        <v>1039</v>
      </c>
      <c r="I18" s="71" t="s">
        <v>3630</v>
      </c>
    </row>
    <row r="19" spans="1:17" ht="60" customHeight="1">
      <c r="D19" s="30">
        <v>5</v>
      </c>
      <c r="E19" s="71" t="s">
        <v>3631</v>
      </c>
      <c r="F19" s="30" t="s">
        <v>3620</v>
      </c>
      <c r="G19" s="555">
        <v>0</v>
      </c>
      <c r="H19" s="555">
        <v>0</v>
      </c>
      <c r="I19" s="458" t="s">
        <v>3632</v>
      </c>
    </row>
    <row r="20" spans="1:17" ht="15" hidden="1" customHeight="1">
      <c r="D20" s="3" t="s">
        <v>1040</v>
      </c>
      <c r="I20" s="556"/>
    </row>
    <row r="21" spans="1:17" ht="29.25" customHeight="1">
      <c r="D21" s="55" t="s">
        <v>236</v>
      </c>
      <c r="E21" s="15" t="s">
        <v>1041</v>
      </c>
      <c r="F21" s="30" t="s">
        <v>3620</v>
      </c>
      <c r="G21" s="479"/>
      <c r="H21" s="479">
        <v>0</v>
      </c>
      <c r="I21" s="920" t="s">
        <v>3633</v>
      </c>
    </row>
    <row r="22" spans="1:17" ht="15.75" customHeight="1">
      <c r="D22" s="465"/>
      <c r="E22" s="42" t="s">
        <v>1042</v>
      </c>
      <c r="F22" s="394"/>
      <c r="G22" s="394"/>
      <c r="H22" s="394"/>
      <c r="I22" s="922"/>
    </row>
    <row r="23" spans="1:17" ht="22.5" hidden="1" customHeight="1">
      <c r="A23" s="2" t="s">
        <v>18</v>
      </c>
      <c r="B23" s="3">
        <v>0</v>
      </c>
      <c r="C23" s="516">
        <v>4</v>
      </c>
      <c r="D23" s="3">
        <v>6</v>
      </c>
      <c r="E23" s="3">
        <v>36</v>
      </c>
      <c r="F23" s="3">
        <v>9</v>
      </c>
      <c r="G23" s="3">
        <v>0</v>
      </c>
      <c r="H23" s="3">
        <v>40</v>
      </c>
      <c r="I23" s="11">
        <v>93</v>
      </c>
      <c r="J23" s="3">
        <v>10</v>
      </c>
      <c r="K23" s="3">
        <v>10</v>
      </c>
      <c r="L23" s="3">
        <v>10</v>
      </c>
      <c r="M23" s="3">
        <v>10</v>
      </c>
      <c r="N23" s="3">
        <v>10</v>
      </c>
      <c r="O23" s="3">
        <v>10</v>
      </c>
      <c r="P23" s="3">
        <v>10</v>
      </c>
      <c r="Q23" s="3">
        <v>10</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703125" defaultRowHeight="14.25" customHeight="1"/>
  <cols>
    <col min="1" max="2" width="9.140625" hidden="1" customWidth="1"/>
    <col min="3" max="3" width="3" customWidth="1"/>
    <col min="4" max="4" width="6" customWidth="1"/>
    <col min="5" max="6" width="64" customWidth="1"/>
    <col min="7" max="7" width="140" customWidth="1"/>
    <col min="8" max="16" width="10" customWidth="1"/>
    <col min="17" max="17" width="10.5703125" hidden="1"/>
  </cols>
  <sheetData>
    <row r="1" spans="3:17" ht="22.5" hidden="1" customHeight="1">
      <c r="Q1" s="3" t="s">
        <v>1</v>
      </c>
    </row>
    <row r="2" spans="3:17" ht="14.25" hidden="1" customHeight="1">
      <c r="Q2" s="3">
        <v>0</v>
      </c>
    </row>
    <row r="3" spans="3:17" ht="14.25" hidden="1" customHeight="1">
      <c r="Q3" s="3">
        <v>0</v>
      </c>
    </row>
    <row r="4" spans="3:17" ht="3" customHeight="1">
      <c r="C4" s="264"/>
      <c r="D4" s="12"/>
      <c r="E4" s="12"/>
      <c r="F4" s="459"/>
      <c r="G4" s="459"/>
      <c r="Q4" s="3">
        <v>3</v>
      </c>
    </row>
    <row r="5" spans="3:17" ht="29.25" customHeight="1">
      <c r="C5" s="264"/>
      <c r="D5" s="92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927"/>
      <c r="F5" s="927"/>
      <c r="G5" s="928"/>
      <c r="Q5" s="3">
        <v>28</v>
      </c>
    </row>
    <row r="6" spans="3:17" ht="18.75" customHeight="1">
      <c r="C6" s="264"/>
      <c r="D6" s="976" t="e">
        <f>IF(org=0,"Не определено",org)</f>
        <v>#REF!</v>
      </c>
      <c r="E6" s="977"/>
      <c r="F6" s="977"/>
      <c r="G6" s="978"/>
      <c r="Q6" s="3">
        <v>18</v>
      </c>
    </row>
    <row r="7" spans="3:17" ht="14.65" customHeight="1">
      <c r="C7" s="264"/>
      <c r="D7" s="12"/>
      <c r="E7" s="8"/>
      <c r="F7" s="115"/>
      <c r="G7" s="460"/>
      <c r="Q7" s="3">
        <v>14</v>
      </c>
    </row>
    <row r="8" spans="3:17" ht="1.1499999999999999" customHeight="1">
      <c r="C8" s="264"/>
      <c r="D8" s="12"/>
      <c r="E8" s="8"/>
      <c r="F8" s="115"/>
      <c r="G8" s="460"/>
      <c r="Q8" s="3">
        <v>1</v>
      </c>
    </row>
    <row r="9" spans="3:17" ht="14.65" customHeight="1">
      <c r="C9" s="264"/>
      <c r="D9" s="962" t="s">
        <v>223</v>
      </c>
      <c r="E9" s="962"/>
      <c r="F9" s="962"/>
      <c r="G9" s="1101" t="s">
        <v>224</v>
      </c>
      <c r="Q9" s="3">
        <v>14</v>
      </c>
    </row>
    <row r="10" spans="3:17" ht="24" customHeight="1">
      <c r="C10" s="264"/>
      <c r="D10" s="120" t="s">
        <v>24</v>
      </c>
      <c r="E10" s="65" t="s">
        <v>225</v>
      </c>
      <c r="F10" s="65" t="s">
        <v>313</v>
      </c>
      <c r="G10" s="1101"/>
      <c r="Q10" s="3">
        <v>23</v>
      </c>
    </row>
    <row r="11" spans="3:17" ht="12" hidden="1" customHeight="1">
      <c r="C11" s="264"/>
      <c r="D11" s="184"/>
      <c r="E11" s="184"/>
      <c r="F11" s="184"/>
      <c r="G11" s="184"/>
      <c r="Q11" s="3">
        <v>0</v>
      </c>
    </row>
    <row r="12" spans="3:17" ht="65.25" customHeight="1">
      <c r="C12" s="264"/>
      <c r="D12" s="117">
        <v>1</v>
      </c>
      <c r="E12" s="55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65" t="s">
        <v>229</v>
      </c>
      <c r="G12" s="227"/>
      <c r="Q12" s="3">
        <v>62</v>
      </c>
    </row>
    <row r="13" spans="3:17" ht="24" customHeight="1">
      <c r="C13" s="264"/>
      <c r="D13" s="117" t="s">
        <v>945</v>
      </c>
      <c r="E13" s="51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65" t="s">
        <v>229</v>
      </c>
      <c r="G13" s="227"/>
      <c r="Q13" s="3">
        <v>23</v>
      </c>
    </row>
    <row r="14" spans="3:17" ht="14.65" customHeight="1">
      <c r="C14" s="264"/>
      <c r="D14" s="117" t="s">
        <v>981</v>
      </c>
      <c r="E14" s="558"/>
      <c r="F14" s="218"/>
      <c r="G14" s="92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3">
        <v>14</v>
      </c>
    </row>
    <row r="15" spans="3:17" ht="15.75" customHeight="1">
      <c r="C15" s="264"/>
      <c r="D15" s="465"/>
      <c r="E15" s="63" t="s">
        <v>1043</v>
      </c>
      <c r="F15" s="466"/>
      <c r="G15" s="922"/>
      <c r="Q15" s="3">
        <v>15</v>
      </c>
    </row>
    <row r="16" spans="3:17" ht="14.65" customHeight="1">
      <c r="C16" s="264"/>
      <c r="D16" s="117" t="s">
        <v>947</v>
      </c>
      <c r="E16" s="51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65" t="s">
        <v>229</v>
      </c>
      <c r="G16" s="272"/>
      <c r="Q16" s="3">
        <v>14</v>
      </c>
    </row>
    <row r="17" spans="1:17" ht="14.65" customHeight="1">
      <c r="C17" s="264"/>
      <c r="D17" s="117" t="s">
        <v>989</v>
      </c>
      <c r="E17" s="558"/>
      <c r="F17" s="456"/>
      <c r="G17" s="92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3">
        <v>14</v>
      </c>
    </row>
    <row r="18" spans="1:17" ht="21.95" customHeight="1">
      <c r="C18" s="264"/>
      <c r="D18" s="465"/>
      <c r="E18" s="63" t="s">
        <v>1044</v>
      </c>
      <c r="F18" s="559"/>
      <c r="G18" s="922"/>
      <c r="Q18" s="3">
        <v>21</v>
      </c>
    </row>
    <row r="19" spans="1:17" ht="256.5" hidden="1" customHeight="1">
      <c r="C19" s="264"/>
      <c r="D19" s="117" t="s">
        <v>949</v>
      </c>
      <c r="E19" s="519" t="s">
        <v>1045</v>
      </c>
      <c r="F19" s="456"/>
      <c r="G19" s="272" t="s">
        <v>1046</v>
      </c>
      <c r="Q19" s="3">
        <v>0</v>
      </c>
    </row>
    <row r="20" spans="1:17" ht="14.65" customHeight="1">
      <c r="C20" s="264"/>
      <c r="D20" s="119">
        <v>2</v>
      </c>
      <c r="E20" s="519" t="s">
        <v>1047</v>
      </c>
      <c r="F20" s="65" t="s">
        <v>229</v>
      </c>
      <c r="G20" s="272"/>
      <c r="Q20" s="3">
        <v>14</v>
      </c>
    </row>
    <row r="21" spans="1:17" ht="18.75" hidden="1" customHeight="1">
      <c r="C21" s="264"/>
      <c r="D21" s="560" t="s">
        <v>559</v>
      </c>
      <c r="E21" s="561"/>
      <c r="F21" s="562"/>
      <c r="G21" s="563"/>
      <c r="Q21" s="3">
        <v>0</v>
      </c>
    </row>
    <row r="22" spans="1:17" ht="15.75" customHeight="1">
      <c r="C22" s="264"/>
      <c r="D22" s="465"/>
      <c r="E22" s="42" t="s">
        <v>245</v>
      </c>
      <c r="F22" s="559"/>
      <c r="G22" s="419"/>
      <c r="Q22" s="3">
        <v>15</v>
      </c>
    </row>
    <row r="23" spans="1:17" ht="22.5" hidden="1" customHeight="1">
      <c r="C23" s="264"/>
      <c r="D23" s="117" t="s">
        <v>39</v>
      </c>
      <c r="E23" s="557" t="s">
        <v>1048</v>
      </c>
      <c r="F23" s="65" t="s">
        <v>229</v>
      </c>
      <c r="G23" s="227"/>
      <c r="Q23" s="3">
        <v>0</v>
      </c>
    </row>
    <row r="24" spans="1:17" ht="14.25" hidden="1" customHeight="1">
      <c r="C24" s="264"/>
      <c r="D24" s="117" t="s">
        <v>632</v>
      </c>
      <c r="E24" s="519" t="s">
        <v>1049</v>
      </c>
      <c r="F24" s="65" t="s">
        <v>229</v>
      </c>
      <c r="G24" s="272"/>
      <c r="Q24" s="3">
        <v>0</v>
      </c>
    </row>
    <row r="25" spans="1:17" ht="14.25" hidden="1" customHeight="1">
      <c r="C25" s="264"/>
      <c r="D25" s="117" t="s">
        <v>635</v>
      </c>
      <c r="E25" s="558"/>
      <c r="F25" s="456"/>
      <c r="G25" s="920" t="s">
        <v>1050</v>
      </c>
      <c r="Q25" s="3">
        <v>0</v>
      </c>
    </row>
    <row r="26" spans="1:17" ht="22.5" hidden="1" customHeight="1">
      <c r="C26" s="264"/>
      <c r="D26" s="465"/>
      <c r="E26" s="63" t="s">
        <v>1051</v>
      </c>
      <c r="F26" s="559"/>
      <c r="G26" s="922"/>
      <c r="Q26" s="3">
        <v>0</v>
      </c>
    </row>
    <row r="27" spans="1:17" ht="3" customHeight="1">
      <c r="Q27" s="3">
        <v>3</v>
      </c>
    </row>
    <row r="28" spans="1:17" ht="14.65" customHeight="1">
      <c r="Q28" s="3">
        <v>14</v>
      </c>
    </row>
    <row r="29" spans="1:17" ht="14.65" customHeight="1">
      <c r="Q29" s="3">
        <v>14</v>
      </c>
    </row>
    <row r="30" spans="1:17" ht="14.65" customHeight="1">
      <c r="Q30" s="3">
        <v>14</v>
      </c>
    </row>
    <row r="31" spans="1:17" ht="14.65" customHeight="1">
      <c r="Q31" s="3">
        <v>14</v>
      </c>
    </row>
    <row r="32" spans="1:17" ht="22.5" hidden="1" customHeight="1">
      <c r="A32" s="287" t="s">
        <v>18</v>
      </c>
      <c r="B32" s="11">
        <v>0</v>
      </c>
      <c r="C32" s="288">
        <v>3</v>
      </c>
      <c r="D32" s="3">
        <v>6</v>
      </c>
      <c r="E32" s="3">
        <v>64</v>
      </c>
      <c r="F32" s="3">
        <v>64</v>
      </c>
      <c r="G32" s="3">
        <v>140</v>
      </c>
      <c r="H32" s="3">
        <v>10</v>
      </c>
      <c r="I32" s="29">
        <v>10</v>
      </c>
      <c r="J32" s="29">
        <v>10</v>
      </c>
      <c r="K32" s="3">
        <v>10</v>
      </c>
      <c r="L32" s="3">
        <v>10</v>
      </c>
      <c r="M32" s="3">
        <v>10</v>
      </c>
      <c r="N32" s="3">
        <v>10</v>
      </c>
      <c r="O32" s="3">
        <v>10</v>
      </c>
      <c r="P32" s="3">
        <v>10</v>
      </c>
      <c r="Q32" s="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2" width="9.140625" hidden="1" customWidth="1"/>
    <col min="3" max="3" width="3" customWidth="1"/>
    <col min="4" max="4" width="6" customWidth="1"/>
    <col min="5" max="5" width="63" customWidth="1"/>
    <col min="6" max="6" width="1.7109375" hidden="1" customWidth="1"/>
    <col min="7" max="8" width="35" customWidth="1"/>
    <col min="9" max="9" width="91" customWidth="1"/>
    <col min="10" max="10" width="68" customWidth="1"/>
    <col min="11" max="12" width="10" customWidth="1"/>
    <col min="13" max="13" width="10.5703125" hidden="1"/>
  </cols>
  <sheetData>
    <row r="1" spans="3:13" ht="22.5" hidden="1" customHeight="1">
      <c r="M1" s="3" t="s">
        <v>1</v>
      </c>
    </row>
    <row r="2" spans="3:13" ht="18.75" hidden="1" customHeight="1">
      <c r="C2" s="457" t="s">
        <v>612</v>
      </c>
      <c r="D2" s="117"/>
      <c r="E2" s="14"/>
      <c r="F2" s="65"/>
      <c r="G2" s="65" t="s">
        <v>229</v>
      </c>
      <c r="H2" s="218"/>
      <c r="M2" s="3">
        <v>0</v>
      </c>
    </row>
    <row r="3" spans="3:13" ht="14.25" hidden="1" customHeight="1">
      <c r="M3" s="3">
        <v>0</v>
      </c>
    </row>
    <row r="4" spans="3:13" ht="18.75" hidden="1" customHeight="1">
      <c r="C4" s="457" t="s">
        <v>612</v>
      </c>
      <c r="D4" s="117"/>
      <c r="E4" s="519" t="s">
        <v>1052</v>
      </c>
      <c r="F4" s="65"/>
      <c r="G4" s="564"/>
      <c r="H4" s="65" t="s">
        <v>229</v>
      </c>
      <c r="M4" s="3">
        <v>0</v>
      </c>
    </row>
    <row r="5" spans="3:13" ht="14.25" hidden="1" customHeight="1">
      <c r="M5" s="3">
        <v>0</v>
      </c>
    </row>
    <row r="6" spans="3:13" ht="18.75" hidden="1" customHeight="1">
      <c r="C6" s="457" t="s">
        <v>612</v>
      </c>
      <c r="D6" s="117"/>
      <c r="E6" s="565" t="s">
        <v>1053</v>
      </c>
      <c r="F6" s="65"/>
      <c r="G6" s="564"/>
      <c r="H6" s="65" t="s">
        <v>229</v>
      </c>
      <c r="M6" s="3">
        <v>0</v>
      </c>
    </row>
    <row r="7" spans="3:13" ht="14.25" hidden="1" customHeight="1">
      <c r="M7" s="3">
        <v>0</v>
      </c>
    </row>
    <row r="8" spans="3:13" ht="18.75" hidden="1" customHeight="1">
      <c r="C8" s="457" t="s">
        <v>612</v>
      </c>
      <c r="D8" s="117"/>
      <c r="E8" s="565" t="s">
        <v>1054</v>
      </c>
      <c r="F8" s="65"/>
      <c r="G8" s="564"/>
      <c r="H8" s="65" t="s">
        <v>229</v>
      </c>
      <c r="M8" s="3">
        <v>0</v>
      </c>
    </row>
    <row r="9" spans="3:13" ht="14.25" hidden="1" customHeight="1">
      <c r="M9" s="3">
        <v>0</v>
      </c>
    </row>
    <row r="10" spans="3:13" ht="18.75" hidden="1" customHeight="1">
      <c r="C10" s="457" t="s">
        <v>612</v>
      </c>
      <c r="D10" s="117"/>
      <c r="E10" s="565" t="s">
        <v>1055</v>
      </c>
      <c r="F10" s="65"/>
      <c r="G10" s="157"/>
      <c r="H10" s="65" t="s">
        <v>229</v>
      </c>
      <c r="L10" s="29" t="s">
        <v>1056</v>
      </c>
      <c r="M10" s="3">
        <v>0</v>
      </c>
    </row>
    <row r="11" spans="3:13" ht="14.25" hidden="1" customHeight="1">
      <c r="M11" s="3">
        <v>0</v>
      </c>
    </row>
    <row r="12" spans="3:13" ht="14.25" hidden="1" customHeight="1">
      <c r="M12" s="3">
        <v>0</v>
      </c>
    </row>
    <row r="13" spans="3:13" ht="14.65" customHeight="1">
      <c r="C13" s="264"/>
      <c r="D13" s="12"/>
      <c r="E13" s="12"/>
      <c r="F13" s="12"/>
      <c r="G13" s="12"/>
      <c r="H13" s="459"/>
      <c r="I13" s="459"/>
      <c r="M13" s="3">
        <v>14</v>
      </c>
    </row>
    <row r="14" spans="3:13" ht="29.25" customHeight="1">
      <c r="C14" s="264"/>
      <c r="D14" s="92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927"/>
      <c r="F14" s="927"/>
      <c r="G14" s="927"/>
      <c r="H14" s="928"/>
      <c r="M14" s="3">
        <v>28</v>
      </c>
    </row>
    <row r="15" spans="3:13" ht="14.65" customHeight="1">
      <c r="C15" s="264"/>
      <c r="D15" s="976" t="e">
        <f>IF(org=0,"Не определено",org)</f>
        <v>#REF!</v>
      </c>
      <c r="E15" s="977"/>
      <c r="F15" s="977"/>
      <c r="G15" s="977"/>
      <c r="H15" s="978"/>
      <c r="M15" s="3">
        <v>14</v>
      </c>
    </row>
    <row r="16" spans="3:13" ht="14.65" customHeight="1">
      <c r="C16" s="264"/>
      <c r="D16" s="12"/>
      <c r="E16" s="8"/>
      <c r="F16" s="8"/>
      <c r="G16" s="8"/>
      <c r="H16" s="115"/>
      <c r="I16" s="460"/>
      <c r="M16" s="3">
        <v>14</v>
      </c>
    </row>
    <row r="17" spans="1:13" ht="14.25" hidden="1" customHeight="1">
      <c r="C17" s="264"/>
      <c r="D17" s="12"/>
      <c r="E17" s="8"/>
      <c r="F17" s="8"/>
      <c r="G17" s="8"/>
      <c r="H17" s="115"/>
      <c r="I17" s="460"/>
      <c r="M17" s="3">
        <v>0</v>
      </c>
    </row>
    <row r="18" spans="1:13" ht="21.95" customHeight="1">
      <c r="C18" s="264"/>
      <c r="D18" s="962" t="s">
        <v>223</v>
      </c>
      <c r="E18" s="962"/>
      <c r="F18" s="962"/>
      <c r="G18" s="962"/>
      <c r="H18" s="962"/>
      <c r="I18" s="1101" t="s">
        <v>224</v>
      </c>
      <c r="M18" s="3">
        <v>21</v>
      </c>
    </row>
    <row r="19" spans="1:13" ht="21.95" customHeight="1">
      <c r="C19" s="264"/>
      <c r="D19" s="120" t="s">
        <v>24</v>
      </c>
      <c r="E19" s="65" t="s">
        <v>225</v>
      </c>
      <c r="F19" s="65"/>
      <c r="G19" s="65" t="s">
        <v>226</v>
      </c>
      <c r="H19" s="65" t="s">
        <v>313</v>
      </c>
      <c r="I19" s="1101"/>
      <c r="M19" s="3">
        <v>21</v>
      </c>
    </row>
    <row r="20" spans="1:13" ht="12" hidden="1" customHeight="1">
      <c r="C20" s="264"/>
      <c r="D20" s="184"/>
      <c r="E20" s="184"/>
      <c r="F20" s="184"/>
      <c r="G20" s="184"/>
      <c r="H20" s="184"/>
      <c r="I20" s="184"/>
      <c r="M20" s="3">
        <v>0</v>
      </c>
    </row>
    <row r="21" spans="1:13" ht="14.65" customHeight="1">
      <c r="C21" s="264"/>
      <c r="D21" s="117">
        <v>1</v>
      </c>
      <c r="E21" s="1151" t="s">
        <v>1057</v>
      </c>
      <c r="F21" s="1151"/>
      <c r="G21" s="1151"/>
      <c r="H21" s="1151"/>
      <c r="I21" s="458"/>
      <c r="M21" s="3">
        <v>14</v>
      </c>
    </row>
    <row r="22" spans="1:13" ht="21" customHeight="1">
      <c r="C22" s="264"/>
      <c r="D22" s="117" t="s">
        <v>945</v>
      </c>
      <c r="E22" s="519" t="s">
        <v>1058</v>
      </c>
      <c r="F22" s="65"/>
      <c r="G22" s="566"/>
      <c r="H22" s="65" t="s">
        <v>229</v>
      </c>
      <c r="I22" s="227" t="s">
        <v>1059</v>
      </c>
      <c r="M22" s="3">
        <v>20</v>
      </c>
    </row>
    <row r="23" spans="1:13" ht="60" customHeight="1">
      <c r="C23" s="264"/>
      <c r="D23" s="117" t="s">
        <v>947</v>
      </c>
      <c r="E23" s="519" t="s">
        <v>1060</v>
      </c>
      <c r="F23" s="65"/>
      <c r="G23" s="564"/>
      <c r="H23" s="218"/>
      <c r="I23" s="71" t="s">
        <v>1061</v>
      </c>
      <c r="M23" s="3">
        <v>57</v>
      </c>
    </row>
    <row r="24" spans="1:13" ht="14.65" customHeight="1">
      <c r="B24" s="11">
        <v>3</v>
      </c>
      <c r="C24" s="264"/>
      <c r="D24" s="117">
        <v>2</v>
      </c>
      <c r="E24" s="46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65"/>
      <c r="G24" s="65" t="s">
        <v>229</v>
      </c>
      <c r="H24" s="218"/>
      <c r="I24" s="96" t="s">
        <v>554</v>
      </c>
      <c r="M24" s="3">
        <v>14</v>
      </c>
    </row>
    <row r="25" spans="1:13" ht="48.2" customHeight="1">
      <c r="C25" s="264"/>
      <c r="D25" s="117">
        <v>3</v>
      </c>
      <c r="E25" s="115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1151"/>
      <c r="G25" s="1151"/>
      <c r="H25" s="1151"/>
      <c r="I25" s="458"/>
      <c r="M25" s="3">
        <v>46</v>
      </c>
    </row>
    <row r="26" spans="1:13" ht="14.65" customHeight="1">
      <c r="C26" s="264"/>
      <c r="D26" s="117" t="s">
        <v>247</v>
      </c>
      <c r="E26" s="14"/>
      <c r="F26" s="65"/>
      <c r="G26" s="65" t="s">
        <v>229</v>
      </c>
      <c r="H26" s="218"/>
      <c r="I26" s="920" t="s">
        <v>1062</v>
      </c>
      <c r="M26" s="3">
        <v>14</v>
      </c>
    </row>
    <row r="27" spans="1:13" ht="15.75" customHeight="1">
      <c r="A27" s="567" t="s">
        <v>31</v>
      </c>
      <c r="C27" s="264"/>
      <c r="D27" s="465"/>
      <c r="E27" s="42" t="s">
        <v>245</v>
      </c>
      <c r="F27" s="63"/>
      <c r="G27" s="63"/>
      <c r="H27" s="466"/>
      <c r="I27" s="922"/>
      <c r="M27" s="3">
        <v>15</v>
      </c>
    </row>
    <row r="28" spans="1:13" ht="39.75" customHeight="1">
      <c r="B28" s="11">
        <v>3</v>
      </c>
      <c r="C28" s="264"/>
      <c r="D28" s="117">
        <v>4</v>
      </c>
      <c r="E28" s="115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1151"/>
      <c r="G28" s="1151"/>
      <c r="H28" s="1151"/>
      <c r="I28" s="458"/>
      <c r="M28" s="3">
        <v>38</v>
      </c>
    </row>
    <row r="29" spans="1:13" ht="21" customHeight="1">
      <c r="C29" s="264"/>
      <c r="D29" s="117" t="s">
        <v>677</v>
      </c>
      <c r="E29" s="519" t="s">
        <v>1052</v>
      </c>
      <c r="F29" s="65"/>
      <c r="G29" s="564"/>
      <c r="H29" s="65" t="s">
        <v>229</v>
      </c>
      <c r="I29" s="920" t="s">
        <v>1063</v>
      </c>
      <c r="M29" s="3">
        <v>20</v>
      </c>
    </row>
    <row r="30" spans="1:13" ht="15.75" customHeight="1">
      <c r="A30" s="567" t="s">
        <v>39</v>
      </c>
      <c r="C30" s="264"/>
      <c r="D30" s="465"/>
      <c r="E30" s="42" t="s">
        <v>245</v>
      </c>
      <c r="F30" s="63"/>
      <c r="G30" s="63"/>
      <c r="H30" s="466"/>
      <c r="I30" s="922"/>
      <c r="M30" s="3">
        <v>15</v>
      </c>
    </row>
    <row r="31" spans="1:13" ht="31.5" customHeight="1">
      <c r="B31" s="11">
        <v>3</v>
      </c>
      <c r="C31" s="264"/>
      <c r="D31" s="117">
        <v>5</v>
      </c>
      <c r="E31" s="115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1151"/>
      <c r="G31" s="1151"/>
      <c r="H31" s="1151"/>
      <c r="I31" s="458"/>
      <c r="M31" s="3">
        <v>30</v>
      </c>
    </row>
    <row r="32" spans="1:13" ht="27.4" customHeight="1">
      <c r="C32" s="264"/>
      <c r="D32" s="117" t="s">
        <v>236</v>
      </c>
      <c r="E32" s="111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1115"/>
      <c r="G32" s="1115"/>
      <c r="H32" s="1115"/>
      <c r="I32" s="458"/>
      <c r="M32" s="3">
        <v>26</v>
      </c>
    </row>
    <row r="33" spans="1:13" ht="14.65" customHeight="1">
      <c r="C33" s="264"/>
      <c r="D33" s="117" t="s">
        <v>1064</v>
      </c>
      <c r="E33" s="565" t="s">
        <v>1053</v>
      </c>
      <c r="F33" s="65"/>
      <c r="G33" s="564"/>
      <c r="H33" s="65" t="s">
        <v>229</v>
      </c>
      <c r="I33" s="920" t="s">
        <v>1065</v>
      </c>
      <c r="M33" s="3">
        <v>14</v>
      </c>
    </row>
    <row r="34" spans="1:13" ht="15.75" customHeight="1">
      <c r="A34" s="567" t="s">
        <v>26</v>
      </c>
      <c r="C34" s="264"/>
      <c r="D34" s="465"/>
      <c r="E34" s="63" t="s">
        <v>245</v>
      </c>
      <c r="F34" s="361"/>
      <c r="G34" s="361"/>
      <c r="H34" s="466"/>
      <c r="I34" s="922"/>
      <c r="M34" s="3">
        <v>15</v>
      </c>
    </row>
    <row r="35" spans="1:13" ht="25.15" customHeight="1">
      <c r="C35" s="264"/>
      <c r="D35" s="117" t="s">
        <v>805</v>
      </c>
      <c r="E35" s="111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1115"/>
      <c r="G35" s="1115"/>
      <c r="H35" s="1115"/>
      <c r="I35" s="458"/>
      <c r="M35" s="3">
        <v>24</v>
      </c>
    </row>
    <row r="36" spans="1:13" ht="14.65" customHeight="1">
      <c r="C36" s="264"/>
      <c r="D36" s="117" t="s">
        <v>1066</v>
      </c>
      <c r="E36" s="565" t="s">
        <v>1054</v>
      </c>
      <c r="F36" s="65"/>
      <c r="G36" s="564"/>
      <c r="H36" s="65" t="s">
        <v>229</v>
      </c>
      <c r="I36" s="903" t="s">
        <v>1067</v>
      </c>
      <c r="M36" s="3">
        <v>14</v>
      </c>
    </row>
    <row r="37" spans="1:13" ht="15.75" customHeight="1">
      <c r="A37" s="567" t="s">
        <v>27</v>
      </c>
      <c r="C37" s="264"/>
      <c r="D37" s="465"/>
      <c r="E37" s="63" t="s">
        <v>245</v>
      </c>
      <c r="F37" s="361"/>
      <c r="G37" s="361"/>
      <c r="H37" s="466"/>
      <c r="I37" s="903"/>
      <c r="M37" s="3">
        <v>15</v>
      </c>
    </row>
    <row r="38" spans="1:13" ht="27.4" customHeight="1">
      <c r="C38" s="264"/>
      <c r="D38" s="117" t="s">
        <v>806</v>
      </c>
      <c r="E38" s="111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1115"/>
      <c r="G38" s="1115"/>
      <c r="H38" s="1115"/>
      <c r="I38" s="458"/>
      <c r="M38" s="3">
        <v>26</v>
      </c>
    </row>
    <row r="39" spans="1:13" ht="14.65" customHeight="1">
      <c r="C39" s="264"/>
      <c r="D39" s="117" t="s">
        <v>807</v>
      </c>
      <c r="E39" s="565" t="s">
        <v>1055</v>
      </c>
      <c r="F39" s="65"/>
      <c r="G39" s="157"/>
      <c r="H39" s="65" t="s">
        <v>229</v>
      </c>
      <c r="I39" s="920" t="s">
        <v>1068</v>
      </c>
      <c r="L39" s="29" t="s">
        <v>1056</v>
      </c>
      <c r="M39" s="3">
        <v>14</v>
      </c>
    </row>
    <row r="40" spans="1:13" ht="15.75" customHeight="1">
      <c r="A40" s="567" t="s">
        <v>40</v>
      </c>
      <c r="C40" s="264"/>
      <c r="D40" s="465"/>
      <c r="E40" s="63" t="s">
        <v>245</v>
      </c>
      <c r="F40" s="361"/>
      <c r="G40" s="361"/>
      <c r="H40" s="466"/>
      <c r="I40" s="922"/>
      <c r="M40" s="3">
        <v>15</v>
      </c>
    </row>
    <row r="41" spans="1:13" ht="3" customHeight="1">
      <c r="M41" s="94">
        <v>3</v>
      </c>
    </row>
    <row r="42" spans="1:13" ht="26.25" customHeight="1">
      <c r="D42" s="474" t="s">
        <v>727</v>
      </c>
      <c r="E42" s="110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885"/>
      <c r="G42" s="885"/>
      <c r="H42" s="885"/>
      <c r="I42" s="885"/>
      <c r="M42" s="3">
        <v>25</v>
      </c>
    </row>
    <row r="43" spans="1:13" ht="22.5" hidden="1" customHeight="1">
      <c r="A43" s="13" t="s">
        <v>18</v>
      </c>
      <c r="B43" s="11">
        <v>0</v>
      </c>
      <c r="C43" s="288">
        <v>3</v>
      </c>
      <c r="D43" s="3">
        <v>6</v>
      </c>
      <c r="E43" s="3">
        <v>63</v>
      </c>
      <c r="F43" s="3">
        <v>0</v>
      </c>
      <c r="G43" s="3">
        <v>35</v>
      </c>
      <c r="H43" s="3">
        <v>35</v>
      </c>
      <c r="I43" s="3">
        <v>91</v>
      </c>
      <c r="J43" s="3">
        <v>68</v>
      </c>
      <c r="K43" s="29">
        <v>10</v>
      </c>
      <c r="L43" s="29">
        <v>10</v>
      </c>
      <c r="M43" s="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hidden="1" customWidth="1"/>
    <col min="3" max="3" width="9.140625" hidden="1" customWidth="1"/>
    <col min="4" max="4" width="3" customWidth="1"/>
    <col min="5" max="5" width="6" customWidth="1"/>
    <col min="6" max="6" width="46.7109375" customWidth="1"/>
    <col min="7" max="7" width="35" customWidth="1"/>
    <col min="8" max="8" width="3" customWidth="1"/>
    <col min="9" max="10" width="11" customWidth="1"/>
    <col min="11" max="12" width="35" customWidth="1"/>
    <col min="13" max="13" width="84" customWidth="1"/>
    <col min="14" max="33" width="10" customWidth="1"/>
    <col min="34" max="34" width="10.5703125" hidden="1"/>
  </cols>
  <sheetData>
    <row r="1" spans="1:34" ht="22.5" hidden="1" customHeight="1">
      <c r="N1" s="24">
        <f>IFERROR(MATCH("метод экономически обоснованных расходов (затрат)",OFFER_METHOD,0),0)</f>
        <v>0</v>
      </c>
      <c r="AH1" s="3" t="s">
        <v>1</v>
      </c>
    </row>
    <row r="2" spans="1:34" ht="18.75" hidden="1" customHeight="1">
      <c r="A2" s="94" t="s">
        <v>80</v>
      </c>
      <c r="B2" s="94" t="s">
        <v>81</v>
      </c>
      <c r="E2" s="274"/>
      <c r="F2" s="274"/>
      <c r="G2" s="1127" t="str">
        <f>INDEX(PT_DIFFERENTIATION_NTAR,MATCH(B2,PT_DIFFERENTIATION_NTAR_ID,0))</f>
        <v/>
      </c>
      <c r="H2" s="178"/>
      <c r="I2" s="568"/>
      <c r="J2" s="569"/>
      <c r="K2" s="309"/>
      <c r="L2" s="178" t="s">
        <v>229</v>
      </c>
      <c r="M2" s="326"/>
      <c r="AH2" s="3">
        <v>0</v>
      </c>
    </row>
    <row r="3" spans="1:34" ht="18.75" hidden="1" customHeight="1">
      <c r="C3" s="480" t="s">
        <v>1069</v>
      </c>
      <c r="E3" s="274"/>
      <c r="F3" s="274"/>
      <c r="G3" s="1127"/>
      <c r="H3" s="368"/>
      <c r="I3" s="45" t="s">
        <v>1070</v>
      </c>
      <c r="J3" s="63"/>
      <c r="K3" s="368"/>
      <c r="L3" s="466"/>
      <c r="M3" s="326"/>
      <c r="AH3" s="3">
        <v>0</v>
      </c>
    </row>
    <row r="4" spans="1:34" ht="14.25" hidden="1" customHeight="1">
      <c r="N4" s="24">
        <f>IFERROR(MATCH("метод экономически обоснованных расходов (затрат)",OFFER_METHOD,0),0)</f>
        <v>0</v>
      </c>
      <c r="AH4" s="3">
        <v>0</v>
      </c>
    </row>
    <row r="5" spans="1:34" ht="18.75" hidden="1" customHeight="1">
      <c r="A5" s="94" t="s">
        <v>80</v>
      </c>
      <c r="B5" s="94" t="s">
        <v>81</v>
      </c>
      <c r="E5" s="274"/>
      <c r="F5" s="274"/>
      <c r="G5" s="1127" t="str">
        <f>INDEX(PT_DIFFERENTIATION_NTAR,MATCH(B5,PT_DIFFERENTIATION_NTAR_ID,0))</f>
        <v/>
      </c>
      <c r="H5" s="178"/>
      <c r="I5" s="568"/>
      <c r="J5" s="569"/>
      <c r="K5" s="193"/>
      <c r="L5" s="178" t="s">
        <v>229</v>
      </c>
      <c r="M5" s="326"/>
      <c r="AH5" s="3">
        <v>0</v>
      </c>
    </row>
    <row r="6" spans="1:34" ht="18.75" hidden="1" customHeight="1">
      <c r="C6" s="480" t="s">
        <v>1071</v>
      </c>
      <c r="E6" s="274"/>
      <c r="F6" s="274"/>
      <c r="G6" s="1127"/>
      <c r="H6" s="368"/>
      <c r="I6" s="45" t="s">
        <v>1070</v>
      </c>
      <c r="J6" s="63"/>
      <c r="K6" s="368"/>
      <c r="L6" s="466"/>
      <c r="M6" s="326"/>
      <c r="AH6" s="3">
        <v>0</v>
      </c>
    </row>
    <row r="7" spans="1:34" ht="14.25" hidden="1" customHeight="1">
      <c r="N7" s="24">
        <f>IFERROR(MATCH("метод экономически обоснованных расходов (затрат)",OFFER_METHOD,0),0)</f>
        <v>0</v>
      </c>
      <c r="AH7" s="3">
        <v>0</v>
      </c>
    </row>
    <row r="8" spans="1:34" ht="56.25" hidden="1" customHeight="1">
      <c r="E8" s="274"/>
      <c r="F8" s="274"/>
      <c r="G8" s="274"/>
      <c r="H8" s="178"/>
      <c r="I8" s="568"/>
      <c r="J8" s="569"/>
      <c r="K8" s="309"/>
      <c r="L8" s="178" t="s">
        <v>229</v>
      </c>
      <c r="M8" s="326"/>
      <c r="AH8" s="3">
        <v>0</v>
      </c>
    </row>
    <row r="9" spans="1:34" ht="14.25" hidden="1" customHeight="1">
      <c r="AH9" s="3">
        <v>0</v>
      </c>
    </row>
    <row r="10" spans="1:34" ht="56.25" hidden="1" customHeight="1">
      <c r="E10" s="274"/>
      <c r="F10" s="274"/>
      <c r="G10" s="274"/>
      <c r="H10" s="65"/>
      <c r="I10" s="568"/>
      <c r="J10" s="569"/>
      <c r="K10" s="193"/>
      <c r="L10" s="178" t="s">
        <v>229</v>
      </c>
      <c r="M10" s="326"/>
      <c r="AH10" s="3">
        <v>0</v>
      </c>
    </row>
    <row r="11" spans="1:34" ht="14.25" hidden="1" customHeight="1">
      <c r="AH11" s="3">
        <v>0</v>
      </c>
    </row>
    <row r="12" spans="1:34" ht="14.25" hidden="1" customHeight="1">
      <c r="AH12" s="3">
        <v>0</v>
      </c>
    </row>
    <row r="13" spans="1:34" ht="6.4" customHeight="1">
      <c r="D13" s="264"/>
      <c r="E13" s="12"/>
      <c r="F13" s="12"/>
      <c r="G13" s="12"/>
      <c r="H13" s="12"/>
      <c r="I13" s="12"/>
      <c r="J13" s="12"/>
      <c r="K13" s="12"/>
      <c r="L13" s="459"/>
      <c r="M13" s="459"/>
      <c r="AH13" s="3">
        <v>6</v>
      </c>
    </row>
    <row r="14" spans="1:34" ht="14.65" customHeight="1">
      <c r="D14" s="264"/>
      <c r="E14" s="115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1153"/>
      <c r="G14" s="1153"/>
      <c r="H14" s="1153"/>
      <c r="I14" s="1153"/>
      <c r="J14" s="1153"/>
      <c r="K14" s="1153"/>
      <c r="L14" s="1153"/>
      <c r="AH14" s="3">
        <v>14</v>
      </c>
    </row>
    <row r="15" spans="1:34" ht="6.4" customHeight="1">
      <c r="D15" s="264"/>
      <c r="E15" s="12"/>
      <c r="F15" s="8"/>
      <c r="G15" s="8"/>
      <c r="H15" s="8"/>
      <c r="I15" s="8"/>
      <c r="J15" s="8"/>
      <c r="K15" s="8"/>
      <c r="L15" s="266"/>
      <c r="M15" s="460"/>
      <c r="AH15" s="3">
        <v>6</v>
      </c>
    </row>
    <row r="16" spans="1:34" ht="24" customHeight="1">
      <c r="D16" s="264"/>
      <c r="E16" s="12"/>
      <c r="F16" s="570" t="e">
        <f>"Дата подачи заявления об "&amp;IF(TITLE_DATE_PR_CHANGE="","утверждении","изменении")&amp;" тарифов"</f>
        <v>#REF!</v>
      </c>
      <c r="G16" s="993" t="e">
        <f>IF(TITLE_DATE_PR_CHANGE="",IF(TITLE_DATE_PR="","",TITLE_DATE_PR),TITLE_DATE_PR_CHANGE)</f>
        <v>#REF!</v>
      </c>
      <c r="H16" s="993"/>
      <c r="I16" s="993"/>
      <c r="J16" s="993"/>
      <c r="K16" s="993"/>
      <c r="L16" s="993"/>
      <c r="AH16" s="3">
        <v>23</v>
      </c>
    </row>
    <row r="17" spans="1:34" ht="24" customHeight="1">
      <c r="D17" s="264"/>
      <c r="E17" s="12"/>
      <c r="F17" s="570" t="e">
        <f>"Номер подачи заявления об "&amp;IF(TITLE_DATE_PR_CHANGE="","утверждении","изменении")&amp;" тарифов"</f>
        <v>#REF!</v>
      </c>
      <c r="G17" s="994" t="e">
        <f>IF(TITLE_NUMBER_PR_CHANGE="",IF(TITLE_NUMBER_PR="","",TITLE_NUMBER_PR),TITLE_NUMBER_PR_CHANGE)</f>
        <v>#REF!</v>
      </c>
      <c r="H17" s="994"/>
      <c r="I17" s="994"/>
      <c r="J17" s="994"/>
      <c r="K17" s="994"/>
      <c r="L17" s="994"/>
      <c r="AH17" s="3">
        <v>23</v>
      </c>
    </row>
    <row r="18" spans="1:34" ht="14.65" customHeight="1">
      <c r="D18" s="264"/>
      <c r="E18" s="12"/>
      <c r="F18" s="8"/>
      <c r="G18" s="8"/>
      <c r="H18" s="8"/>
      <c r="I18" s="8"/>
      <c r="J18" s="8"/>
      <c r="K18" s="8"/>
      <c r="L18" s="115"/>
      <c r="M18" s="460"/>
      <c r="AH18" s="3">
        <v>14</v>
      </c>
    </row>
    <row r="19" spans="1:34" ht="21.95" customHeight="1">
      <c r="D19" s="264"/>
      <c r="E19" s="962" t="s">
        <v>223</v>
      </c>
      <c r="F19" s="962"/>
      <c r="G19" s="962"/>
      <c r="H19" s="962"/>
      <c r="I19" s="962"/>
      <c r="J19" s="962"/>
      <c r="K19" s="962"/>
      <c r="L19" s="962"/>
      <c r="M19" s="1101" t="s">
        <v>224</v>
      </c>
      <c r="AH19" s="3">
        <v>21</v>
      </c>
    </row>
    <row r="20" spans="1:34" ht="21.95" customHeight="1">
      <c r="D20" s="264"/>
      <c r="E20" s="1017" t="s">
        <v>24</v>
      </c>
      <c r="F20" s="968" t="s">
        <v>47</v>
      </c>
      <c r="G20" s="968" t="s">
        <v>48</v>
      </c>
      <c r="H20" s="1098" t="s">
        <v>1072</v>
      </c>
      <c r="I20" s="1099"/>
      <c r="J20" s="1129"/>
      <c r="K20" s="968" t="s">
        <v>226</v>
      </c>
      <c r="L20" s="968" t="s">
        <v>313</v>
      </c>
      <c r="M20" s="1101"/>
      <c r="AH20" s="3">
        <v>21</v>
      </c>
    </row>
    <row r="21" spans="1:34" ht="21.95" customHeight="1">
      <c r="D21" s="264"/>
      <c r="E21" s="1019"/>
      <c r="F21" s="969"/>
      <c r="G21" s="969"/>
      <c r="H21" s="967" t="s">
        <v>1073</v>
      </c>
      <c r="I21" s="981"/>
      <c r="J21" s="65" t="s">
        <v>1074</v>
      </c>
      <c r="K21" s="969"/>
      <c r="L21" s="969"/>
      <c r="M21" s="1101"/>
      <c r="AH21" s="3">
        <v>21</v>
      </c>
    </row>
    <row r="22" spans="1:34" ht="12.75" customHeight="1">
      <c r="D22" s="264"/>
      <c r="E22" s="184"/>
      <c r="F22" s="184"/>
      <c r="G22" s="184"/>
      <c r="H22" s="1155"/>
      <c r="I22" s="1155"/>
      <c r="J22" s="184"/>
      <c r="K22" s="184"/>
      <c r="L22" s="184"/>
      <c r="M22" s="184"/>
      <c r="AH22" s="3">
        <v>12</v>
      </c>
    </row>
    <row r="23" spans="1:34" ht="19.899999999999999" customHeight="1">
      <c r="D23" s="264"/>
      <c r="E23" s="571" t="s">
        <v>31</v>
      </c>
      <c r="F23" s="1156" t="str">
        <f>"Предлагаемый метод регулирования"&amp;IF(TEMPLATE_SPHERE="HEAT"," в сфере "&amp;TEMPLATE_SPHERE_RUS,"")</f>
        <v>Предлагаемый метод регулирования</v>
      </c>
      <c r="G23" s="1156"/>
      <c r="H23" s="1151"/>
      <c r="I23" s="1151"/>
      <c r="J23" s="1151"/>
      <c r="K23" s="1156" t="s">
        <v>229</v>
      </c>
      <c r="L23" s="1151"/>
      <c r="M23" s="96"/>
      <c r="AH23" s="3">
        <v>19</v>
      </c>
    </row>
    <row r="24" spans="1:34" ht="60.75" hidden="1" customHeight="1">
      <c r="A24" s="94" t="s">
        <v>80</v>
      </c>
      <c r="B24" s="94" t="s">
        <v>81</v>
      </c>
      <c r="D24" s="1154"/>
      <c r="E24" s="957"/>
      <c r="F24" s="115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1127" t="str">
        <f>INDEX(PT_DIFFERENTIATION_NTAR,MATCH(B24,PT_DIFFERENTIATION_NTAR_ID,0))</f>
        <v/>
      </c>
      <c r="H24" s="178"/>
      <c r="I24" s="568"/>
      <c r="J24" s="569"/>
      <c r="K24" s="309"/>
      <c r="L24" s="178" t="s">
        <v>229</v>
      </c>
      <c r="M24" s="9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AH24" s="3">
        <v>0</v>
      </c>
    </row>
    <row r="25" spans="1:34" ht="18.75" hidden="1" customHeight="1">
      <c r="C25" s="480" t="s">
        <v>1069</v>
      </c>
      <c r="D25" s="1154"/>
      <c r="E25" s="957"/>
      <c r="F25" s="1157"/>
      <c r="G25" s="1127"/>
      <c r="H25" s="368"/>
      <c r="I25" s="45" t="s">
        <v>1070</v>
      </c>
      <c r="J25" s="63"/>
      <c r="K25" s="368"/>
      <c r="L25" s="466"/>
      <c r="M25" s="921"/>
      <c r="AH25" s="3">
        <v>0</v>
      </c>
    </row>
    <row r="26" spans="1:34" ht="0.75" hidden="1" customHeight="1">
      <c r="C26" s="480" t="s">
        <v>1075</v>
      </c>
      <c r="D26" s="1154"/>
      <c r="E26" s="957"/>
      <c r="F26" s="1093"/>
      <c r="G26" s="572"/>
      <c r="H26" s="368"/>
      <c r="I26" s="45"/>
      <c r="J26" s="63"/>
      <c r="K26" s="368"/>
      <c r="L26" s="466"/>
      <c r="M26" s="921"/>
      <c r="AH26" s="3">
        <v>0</v>
      </c>
    </row>
    <row r="27" spans="1:34" ht="45" hidden="1" customHeight="1">
      <c r="A27" s="94" t="s">
        <v>85</v>
      </c>
      <c r="B27" s="94" t="s">
        <v>86</v>
      </c>
      <c r="D27" s="1152"/>
      <c r="E27" s="1158"/>
      <c r="F27" s="1159" t="str">
        <f>INDEX(PT_DIFFERENTIATION_VTAR,MATCH(A27,PT_DIFFERENTIATION_VTAR_ID,0))</f>
        <v/>
      </c>
      <c r="G27" s="1127" t="str">
        <f>INDEX(PT_DIFFERENTIATION_NTAR,MATCH(B27,PT_DIFFERENTIATION_NTAR_ID,0))</f>
        <v/>
      </c>
      <c r="H27" s="178"/>
      <c r="I27" s="568"/>
      <c r="J27" s="569"/>
      <c r="K27" s="309"/>
      <c r="L27" s="178" t="s">
        <v>229</v>
      </c>
      <c r="M27" s="921"/>
      <c r="AH27" s="3">
        <v>0</v>
      </c>
    </row>
    <row r="28" spans="1:34" ht="18.75" hidden="1" customHeight="1">
      <c r="C28" s="480" t="s">
        <v>1069</v>
      </c>
      <c r="D28" s="1152"/>
      <c r="E28" s="1158"/>
      <c r="F28" s="1159"/>
      <c r="G28" s="1127"/>
      <c r="H28" s="368"/>
      <c r="I28" s="45" t="s">
        <v>1070</v>
      </c>
      <c r="J28" s="63"/>
      <c r="K28" s="368"/>
      <c r="L28" s="466"/>
      <c r="M28" s="921"/>
      <c r="AH28" s="3">
        <v>0</v>
      </c>
    </row>
    <row r="29" spans="1:34" ht="0.75" hidden="1" customHeight="1">
      <c r="C29" s="480" t="s">
        <v>1075</v>
      </c>
      <c r="D29" s="1152"/>
      <c r="E29" s="957"/>
      <c r="F29" s="1093"/>
      <c r="G29" s="572"/>
      <c r="H29" s="368"/>
      <c r="I29" s="45"/>
      <c r="J29" s="63"/>
      <c r="K29" s="368"/>
      <c r="L29" s="466"/>
      <c r="M29" s="921"/>
      <c r="AH29" s="3">
        <v>0</v>
      </c>
    </row>
    <row r="30" spans="1:34" ht="45" hidden="1" customHeight="1">
      <c r="A30" s="94" t="s">
        <v>92</v>
      </c>
      <c r="B30" s="94" t="s">
        <v>93</v>
      </c>
      <c r="D30" s="1152"/>
      <c r="E30" s="957"/>
      <c r="F30" s="109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1127" t="str">
        <f>INDEX(PT_DIFFERENTIATION_NTAR,MATCH(B30,PT_DIFFERENTIATION_NTAR_ID,0))</f>
        <v/>
      </c>
      <c r="H30" s="178"/>
      <c r="I30" s="568"/>
      <c r="J30" s="569"/>
      <c r="K30" s="309"/>
      <c r="L30" s="178" t="s">
        <v>229</v>
      </c>
      <c r="M30" s="921"/>
      <c r="AH30" s="3">
        <v>0</v>
      </c>
    </row>
    <row r="31" spans="1:34" ht="18.75" hidden="1" customHeight="1">
      <c r="C31" s="480" t="s">
        <v>1069</v>
      </c>
      <c r="D31" s="1152"/>
      <c r="E31" s="957"/>
      <c r="F31" s="1093"/>
      <c r="G31" s="1127"/>
      <c r="H31" s="368"/>
      <c r="I31" s="45" t="s">
        <v>1070</v>
      </c>
      <c r="J31" s="63"/>
      <c r="K31" s="368"/>
      <c r="L31" s="466"/>
      <c r="M31" s="921"/>
      <c r="AH31" s="3">
        <v>0</v>
      </c>
    </row>
    <row r="32" spans="1:34" ht="0.75" hidden="1" customHeight="1">
      <c r="C32" s="480" t="s">
        <v>1075</v>
      </c>
      <c r="D32" s="1152"/>
      <c r="E32" s="957"/>
      <c r="F32" s="1093"/>
      <c r="G32" s="572"/>
      <c r="H32" s="368"/>
      <c r="I32" s="45"/>
      <c r="J32" s="63"/>
      <c r="K32" s="368"/>
      <c r="L32" s="466"/>
      <c r="M32" s="921"/>
      <c r="AH32" s="3">
        <v>0</v>
      </c>
    </row>
    <row r="33" spans="1:34" ht="45" hidden="1" customHeight="1">
      <c r="A33" s="94" t="s">
        <v>98</v>
      </c>
      <c r="B33" s="94" t="s">
        <v>99</v>
      </c>
      <c r="D33" s="1152"/>
      <c r="E33" s="957"/>
      <c r="F33" s="109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1127" t="str">
        <f>INDEX(PT_DIFFERENTIATION_NTAR,MATCH(B33,PT_DIFFERENTIATION_NTAR_ID,0))</f>
        <v/>
      </c>
      <c r="H33" s="178"/>
      <c r="I33" s="568"/>
      <c r="J33" s="569"/>
      <c r="K33" s="309"/>
      <c r="L33" s="178" t="s">
        <v>229</v>
      </c>
      <c r="M33" s="921"/>
      <c r="AH33" s="3">
        <v>0</v>
      </c>
    </row>
    <row r="34" spans="1:34" ht="18.75" hidden="1" customHeight="1">
      <c r="C34" s="480" t="s">
        <v>1069</v>
      </c>
      <c r="D34" s="1152"/>
      <c r="E34" s="957"/>
      <c r="F34" s="1093"/>
      <c r="G34" s="1127"/>
      <c r="H34" s="368"/>
      <c r="I34" s="45" t="s">
        <v>1070</v>
      </c>
      <c r="J34" s="63"/>
      <c r="K34" s="368"/>
      <c r="L34" s="466"/>
      <c r="M34" s="921"/>
      <c r="AH34" s="3">
        <v>0</v>
      </c>
    </row>
    <row r="35" spans="1:34" ht="0.75" hidden="1" customHeight="1">
      <c r="C35" s="480" t="s">
        <v>1075</v>
      </c>
      <c r="D35" s="1152"/>
      <c r="E35" s="957"/>
      <c r="F35" s="1093"/>
      <c r="G35" s="572"/>
      <c r="H35" s="368"/>
      <c r="I35" s="45"/>
      <c r="J35" s="63"/>
      <c r="K35" s="368"/>
      <c r="L35" s="466"/>
      <c r="M35" s="921"/>
      <c r="AH35" s="3">
        <v>0</v>
      </c>
    </row>
    <row r="36" spans="1:34" ht="18.75" hidden="1" customHeight="1">
      <c r="A36" s="94" t="s">
        <v>104</v>
      </c>
      <c r="B36" s="94" t="s">
        <v>105</v>
      </c>
      <c r="D36" s="1152"/>
      <c r="E36" s="957"/>
      <c r="F36" s="1093" t="str">
        <f>INDEX(PT_DIFFERENTIATION_VTAR,MATCH(A36,PT_DIFFERENTIATION_VTAR_ID,0))</f>
        <v>Тарифы на услуги по передаче тепловой энергии</v>
      </c>
      <c r="G36" s="1127" t="str">
        <f>INDEX(PT_DIFFERENTIATION_NTAR,MATCH(B36,PT_DIFFERENTIATION_NTAR_ID,0))</f>
        <v/>
      </c>
      <c r="H36" s="178"/>
      <c r="I36" s="568"/>
      <c r="J36" s="569"/>
      <c r="K36" s="309"/>
      <c r="L36" s="178" t="s">
        <v>229</v>
      </c>
      <c r="M36" s="921"/>
      <c r="AH36" s="3">
        <v>0</v>
      </c>
    </row>
    <row r="37" spans="1:34" ht="18.75" hidden="1" customHeight="1">
      <c r="C37" s="480" t="s">
        <v>1069</v>
      </c>
      <c r="D37" s="1152"/>
      <c r="E37" s="957"/>
      <c r="F37" s="1093"/>
      <c r="G37" s="1127"/>
      <c r="H37" s="368"/>
      <c r="I37" s="45" t="s">
        <v>1070</v>
      </c>
      <c r="J37" s="63"/>
      <c r="K37" s="368"/>
      <c r="L37" s="466"/>
      <c r="M37" s="921"/>
      <c r="AH37" s="3">
        <v>0</v>
      </c>
    </row>
    <row r="38" spans="1:34" ht="0.75" hidden="1" customHeight="1">
      <c r="C38" s="480" t="s">
        <v>1075</v>
      </c>
      <c r="D38" s="1152"/>
      <c r="E38" s="957"/>
      <c r="F38" s="1093"/>
      <c r="G38" s="572"/>
      <c r="H38" s="368"/>
      <c r="I38" s="45"/>
      <c r="J38" s="63"/>
      <c r="K38" s="368"/>
      <c r="L38" s="466"/>
      <c r="M38" s="921"/>
      <c r="AH38" s="3">
        <v>0</v>
      </c>
    </row>
    <row r="39" spans="1:34" ht="18.75" hidden="1" customHeight="1">
      <c r="A39" s="94" t="s">
        <v>110</v>
      </c>
      <c r="B39" s="94" t="s">
        <v>111</v>
      </c>
      <c r="D39" s="1152"/>
      <c r="E39" s="957"/>
      <c r="F39" s="1093" t="str">
        <f>INDEX(PT_DIFFERENTIATION_VTAR,MATCH(A39,PT_DIFFERENTIATION_VTAR_ID,0))</f>
        <v>Тарифы на услуги по передаче теплоносителя</v>
      </c>
      <c r="G39" s="1127" t="str">
        <f>INDEX(PT_DIFFERENTIATION_NTAR,MATCH(B39,PT_DIFFERENTIATION_NTAR_ID,0))</f>
        <v/>
      </c>
      <c r="H39" s="178"/>
      <c r="I39" s="568"/>
      <c r="J39" s="569"/>
      <c r="K39" s="309"/>
      <c r="L39" s="178" t="s">
        <v>229</v>
      </c>
      <c r="M39" s="921"/>
      <c r="AH39" s="3">
        <v>0</v>
      </c>
    </row>
    <row r="40" spans="1:34" ht="18.75" hidden="1" customHeight="1">
      <c r="C40" s="480" t="s">
        <v>1069</v>
      </c>
      <c r="D40" s="1152"/>
      <c r="E40" s="957"/>
      <c r="F40" s="1093"/>
      <c r="G40" s="1127"/>
      <c r="H40" s="368"/>
      <c r="I40" s="45" t="s">
        <v>1070</v>
      </c>
      <c r="J40" s="63"/>
      <c r="K40" s="368"/>
      <c r="L40" s="466"/>
      <c r="M40" s="921"/>
      <c r="AH40" s="3">
        <v>0</v>
      </c>
    </row>
    <row r="41" spans="1:34" ht="0.75" hidden="1" customHeight="1">
      <c r="C41" s="480" t="s">
        <v>1075</v>
      </c>
      <c r="D41" s="1152"/>
      <c r="E41" s="957"/>
      <c r="F41" s="1093"/>
      <c r="G41" s="572"/>
      <c r="H41" s="368"/>
      <c r="I41" s="45"/>
      <c r="J41" s="63"/>
      <c r="K41" s="368"/>
      <c r="L41" s="466"/>
      <c r="M41" s="921"/>
      <c r="AH41" s="3">
        <v>0</v>
      </c>
    </row>
    <row r="42" spans="1:34" ht="18.75" hidden="1" customHeight="1">
      <c r="A42" s="94" t="s">
        <v>116</v>
      </c>
      <c r="B42" s="94" t="s">
        <v>117</v>
      </c>
      <c r="D42" s="1152"/>
      <c r="E42" s="957"/>
      <c r="F42" s="1093" t="str">
        <f>INDEX(PT_DIFFERENTIATION_VTAR,MATCH(A42,PT_DIFFERENTIATION_VTAR_ID,0))</f>
        <v>Плата за услуги по поддержанию резервной тепловой мощности при отсутствии потребления тепловой энергии</v>
      </c>
      <c r="G42" s="1127" t="str">
        <f>INDEX(PT_DIFFERENTIATION_NTAR,MATCH(B42,PT_DIFFERENTIATION_NTAR_ID,0))</f>
        <v/>
      </c>
      <c r="H42" s="178"/>
      <c r="I42" s="568"/>
      <c r="J42" s="569"/>
      <c r="K42" s="309"/>
      <c r="L42" s="178" t="s">
        <v>229</v>
      </c>
      <c r="M42" s="921"/>
      <c r="AH42" s="3">
        <v>0</v>
      </c>
    </row>
    <row r="43" spans="1:34" ht="18.75" hidden="1" customHeight="1">
      <c r="C43" s="480" t="s">
        <v>1069</v>
      </c>
      <c r="D43" s="1152"/>
      <c r="E43" s="957"/>
      <c r="F43" s="1093"/>
      <c r="G43" s="1127"/>
      <c r="H43" s="368"/>
      <c r="I43" s="45" t="s">
        <v>1070</v>
      </c>
      <c r="J43" s="63"/>
      <c r="K43" s="368"/>
      <c r="L43" s="466"/>
      <c r="M43" s="921"/>
      <c r="AH43" s="3">
        <v>0</v>
      </c>
    </row>
    <row r="44" spans="1:34" ht="0.75" hidden="1" customHeight="1">
      <c r="C44" s="480" t="s">
        <v>1075</v>
      </c>
      <c r="D44" s="1152"/>
      <c r="E44" s="957"/>
      <c r="F44" s="1093"/>
      <c r="G44" s="572"/>
      <c r="H44" s="368"/>
      <c r="I44" s="45"/>
      <c r="J44" s="63"/>
      <c r="K44" s="368"/>
      <c r="L44" s="466"/>
      <c r="M44" s="921"/>
      <c r="AH44" s="3">
        <v>0</v>
      </c>
    </row>
    <row r="45" spans="1:34" ht="18.75" hidden="1" customHeight="1">
      <c r="A45" s="94" t="s">
        <v>122</v>
      </c>
      <c r="B45" s="94" t="s">
        <v>123</v>
      </c>
      <c r="D45" s="1152"/>
      <c r="E45" s="957"/>
      <c r="F45" s="1093" t="str">
        <f>INDEX(PT_DIFFERENTIATION_VTAR,MATCH(A45,PT_DIFFERENTIATION_VTAR_ID,0))</f>
        <v>Плата за подключение (технологическое присоединение) к системе теплоснабжения</v>
      </c>
      <c r="G45" s="1127" t="str">
        <f>INDEX(PT_DIFFERENTIATION_NTAR,MATCH(B45,PT_DIFFERENTIATION_NTAR_ID,0))</f>
        <v/>
      </c>
      <c r="H45" s="178"/>
      <c r="I45" s="568"/>
      <c r="J45" s="569"/>
      <c r="K45" s="309"/>
      <c r="L45" s="178" t="s">
        <v>229</v>
      </c>
      <c r="M45" s="921"/>
      <c r="AH45" s="3">
        <v>0</v>
      </c>
    </row>
    <row r="46" spans="1:34" ht="18.75" hidden="1" customHeight="1">
      <c r="C46" s="480" t="s">
        <v>1069</v>
      </c>
      <c r="D46" s="1152"/>
      <c r="E46" s="957"/>
      <c r="F46" s="1093"/>
      <c r="G46" s="1127"/>
      <c r="H46" s="368"/>
      <c r="I46" s="45" t="s">
        <v>1070</v>
      </c>
      <c r="J46" s="63"/>
      <c r="K46" s="368"/>
      <c r="L46" s="466"/>
      <c r="M46" s="921"/>
      <c r="AH46" s="3">
        <v>0</v>
      </c>
    </row>
    <row r="47" spans="1:34" ht="0.75" hidden="1" customHeight="1">
      <c r="C47" s="480" t="s">
        <v>1075</v>
      </c>
      <c r="D47" s="1152"/>
      <c r="E47" s="957"/>
      <c r="F47" s="1093"/>
      <c r="G47" s="572"/>
      <c r="H47" s="368"/>
      <c r="I47" s="45"/>
      <c r="J47" s="63"/>
      <c r="K47" s="368"/>
      <c r="L47" s="466"/>
      <c r="M47" s="921"/>
      <c r="AH47" s="3">
        <v>0</v>
      </c>
    </row>
    <row r="48" spans="1:34" ht="18.75" hidden="1" customHeight="1">
      <c r="A48" s="94" t="s">
        <v>128</v>
      </c>
      <c r="B48" s="94" t="s">
        <v>129</v>
      </c>
      <c r="D48" s="1152"/>
      <c r="E48" s="957"/>
      <c r="F48" s="1093" t="str">
        <f>INDEX(PT_DIFFERENTIATION_VTAR,MATCH(A48,PT_DIFFERENTIATION_VTAR_ID,0))</f>
        <v>Плата за подключение (технологическое присоединение) к системе теплоснабжения (индивидуальная)</v>
      </c>
      <c r="G48" s="1127" t="str">
        <f>INDEX(PT_DIFFERENTIATION_NTAR,MATCH(B48,PT_DIFFERENTIATION_NTAR_ID,0))</f>
        <v/>
      </c>
      <c r="H48" s="178"/>
      <c r="I48" s="568"/>
      <c r="J48" s="569"/>
      <c r="K48" s="309"/>
      <c r="L48" s="178" t="s">
        <v>229</v>
      </c>
      <c r="M48" s="921"/>
      <c r="AH48" s="3">
        <v>0</v>
      </c>
    </row>
    <row r="49" spans="1:34" ht="18.75" hidden="1" customHeight="1">
      <c r="C49" s="480" t="s">
        <v>1069</v>
      </c>
      <c r="D49" s="1152"/>
      <c r="E49" s="957"/>
      <c r="F49" s="1093"/>
      <c r="G49" s="1127"/>
      <c r="H49" s="368"/>
      <c r="I49" s="45" t="s">
        <v>1070</v>
      </c>
      <c r="J49" s="63"/>
      <c r="K49" s="368"/>
      <c r="L49" s="466"/>
      <c r="M49" s="921"/>
      <c r="AH49" s="3">
        <v>0</v>
      </c>
    </row>
    <row r="50" spans="1:34" ht="0.75" hidden="1" customHeight="1">
      <c r="C50" s="480" t="s">
        <v>1075</v>
      </c>
      <c r="D50" s="1152"/>
      <c r="E50" s="957"/>
      <c r="F50" s="1093"/>
      <c r="G50" s="572"/>
      <c r="H50" s="368"/>
      <c r="I50" s="45"/>
      <c r="J50" s="63"/>
      <c r="K50" s="368"/>
      <c r="L50" s="466"/>
      <c r="M50" s="921"/>
      <c r="AH50" s="3">
        <v>0</v>
      </c>
    </row>
    <row r="51" spans="1:34" ht="18.75" hidden="1" customHeight="1">
      <c r="A51" s="94" t="s">
        <v>148</v>
      </c>
      <c r="B51" s="94" t="s">
        <v>149</v>
      </c>
      <c r="D51" s="1152"/>
      <c r="E51" s="957"/>
      <c r="F51" s="1093" t="str">
        <f>INDEX(PT_DIFFERENTIATION_VTAR,MATCH(A51,PT_DIFFERENTIATION_VTAR_ID,0))</f>
        <v>Тариф на питьевую воду (питьевое водоснабжение)</v>
      </c>
      <c r="G51" s="1127" t="str">
        <f>INDEX(PT_DIFFERENTIATION_NTAR,MATCH(B51,PT_DIFFERENTIATION_NTAR_ID,0))</f>
        <v/>
      </c>
      <c r="H51" s="178"/>
      <c r="I51" s="568"/>
      <c r="J51" s="569"/>
      <c r="K51" s="309"/>
      <c r="L51" s="178" t="s">
        <v>229</v>
      </c>
      <c r="M51" s="921"/>
      <c r="AH51" s="3">
        <v>0</v>
      </c>
    </row>
    <row r="52" spans="1:34" ht="18.75" hidden="1" customHeight="1">
      <c r="C52" s="480" t="s">
        <v>1069</v>
      </c>
      <c r="D52" s="1152"/>
      <c r="E52" s="957"/>
      <c r="F52" s="1093"/>
      <c r="G52" s="1127"/>
      <c r="H52" s="368"/>
      <c r="I52" s="45" t="s">
        <v>1070</v>
      </c>
      <c r="J52" s="63"/>
      <c r="K52" s="368"/>
      <c r="L52" s="466"/>
      <c r="M52" s="921"/>
      <c r="AH52" s="3">
        <v>0</v>
      </c>
    </row>
    <row r="53" spans="1:34" ht="0.75" hidden="1" customHeight="1">
      <c r="C53" s="480" t="s">
        <v>1075</v>
      </c>
      <c r="D53" s="1152"/>
      <c r="E53" s="957"/>
      <c r="F53" s="1093"/>
      <c r="G53" s="572"/>
      <c r="H53" s="368"/>
      <c r="I53" s="45"/>
      <c r="J53" s="63"/>
      <c r="K53" s="368"/>
      <c r="L53" s="466"/>
      <c r="M53" s="921"/>
      <c r="AH53" s="3">
        <v>0</v>
      </c>
    </row>
    <row r="54" spans="1:34" ht="18.75" hidden="1" customHeight="1">
      <c r="A54" s="94" t="s">
        <v>153</v>
      </c>
      <c r="B54" s="94" t="s">
        <v>154</v>
      </c>
      <c r="D54" s="1152"/>
      <c r="E54" s="957"/>
      <c r="F54" s="1093" t="str">
        <f>INDEX(PT_DIFFERENTIATION_VTAR,MATCH(A54,PT_DIFFERENTIATION_VTAR_ID,0))</f>
        <v>Тариф на техническую воду</v>
      </c>
      <c r="G54" s="1127" t="str">
        <f>INDEX(PT_DIFFERENTIATION_NTAR,MATCH(B54,PT_DIFFERENTIATION_NTAR_ID,0))</f>
        <v/>
      </c>
      <c r="H54" s="178"/>
      <c r="I54" s="568"/>
      <c r="J54" s="569"/>
      <c r="K54" s="309"/>
      <c r="L54" s="178" t="s">
        <v>229</v>
      </c>
      <c r="M54" s="921"/>
      <c r="AH54" s="3">
        <v>0</v>
      </c>
    </row>
    <row r="55" spans="1:34" ht="18.75" hidden="1" customHeight="1">
      <c r="C55" s="480" t="s">
        <v>1069</v>
      </c>
      <c r="D55" s="1152"/>
      <c r="E55" s="957"/>
      <c r="F55" s="1093"/>
      <c r="G55" s="1127"/>
      <c r="H55" s="368"/>
      <c r="I55" s="45" t="s">
        <v>1070</v>
      </c>
      <c r="J55" s="63"/>
      <c r="K55" s="368"/>
      <c r="L55" s="466"/>
      <c r="M55" s="921"/>
      <c r="AH55" s="3">
        <v>0</v>
      </c>
    </row>
    <row r="56" spans="1:34" ht="0.75" hidden="1" customHeight="1">
      <c r="C56" s="480" t="s">
        <v>1075</v>
      </c>
      <c r="D56" s="1152"/>
      <c r="E56" s="957"/>
      <c r="F56" s="1093"/>
      <c r="G56" s="572"/>
      <c r="H56" s="368"/>
      <c r="I56" s="45"/>
      <c r="J56" s="63"/>
      <c r="K56" s="368"/>
      <c r="L56" s="466"/>
      <c r="M56" s="921"/>
      <c r="AH56" s="3">
        <v>0</v>
      </c>
    </row>
    <row r="57" spans="1:34" ht="18.75" hidden="1" customHeight="1">
      <c r="A57" s="94" t="s">
        <v>158</v>
      </c>
      <c r="B57" s="94" t="s">
        <v>159</v>
      </c>
      <c r="D57" s="1152"/>
      <c r="E57" s="957"/>
      <c r="F57" s="1093" t="str">
        <f>INDEX(PT_DIFFERENTIATION_VTAR,MATCH(A57,PT_DIFFERENTIATION_VTAR_ID,0))</f>
        <v>Тариф на транспортировку воды</v>
      </c>
      <c r="G57" s="1127" t="str">
        <f>INDEX(PT_DIFFERENTIATION_NTAR,MATCH(B57,PT_DIFFERENTIATION_NTAR_ID,0))</f>
        <v/>
      </c>
      <c r="H57" s="178"/>
      <c r="I57" s="568"/>
      <c r="J57" s="569"/>
      <c r="K57" s="309"/>
      <c r="L57" s="178" t="s">
        <v>229</v>
      </c>
      <c r="M57" s="921"/>
      <c r="AH57" s="3">
        <v>0</v>
      </c>
    </row>
    <row r="58" spans="1:34" ht="18.75" hidden="1" customHeight="1">
      <c r="C58" s="480" t="s">
        <v>1069</v>
      </c>
      <c r="D58" s="1152"/>
      <c r="E58" s="957"/>
      <c r="F58" s="1093"/>
      <c r="G58" s="1127"/>
      <c r="H58" s="368"/>
      <c r="I58" s="45" t="s">
        <v>1070</v>
      </c>
      <c r="J58" s="63"/>
      <c r="K58" s="368"/>
      <c r="L58" s="466"/>
      <c r="M58" s="921"/>
      <c r="AH58" s="3">
        <v>0</v>
      </c>
    </row>
    <row r="59" spans="1:34" ht="0.75" hidden="1" customHeight="1">
      <c r="C59" s="480" t="s">
        <v>1075</v>
      </c>
      <c r="D59" s="1152"/>
      <c r="E59" s="957"/>
      <c r="F59" s="1093"/>
      <c r="G59" s="572"/>
      <c r="H59" s="368"/>
      <c r="I59" s="45"/>
      <c r="J59" s="63"/>
      <c r="K59" s="368"/>
      <c r="L59" s="466"/>
      <c r="M59" s="921"/>
      <c r="AH59" s="3">
        <v>0</v>
      </c>
    </row>
    <row r="60" spans="1:34" ht="18.75" hidden="1" customHeight="1">
      <c r="A60" s="94" t="s">
        <v>163</v>
      </c>
      <c r="B60" s="94" t="s">
        <v>164</v>
      </c>
      <c r="D60" s="1152"/>
      <c r="E60" s="957"/>
      <c r="F60" s="1093" t="str">
        <f>INDEX(PT_DIFFERENTIATION_VTAR,MATCH(A60,PT_DIFFERENTIATION_VTAR_ID,0))</f>
        <v>Тариф на подвоз воды</v>
      </c>
      <c r="G60" s="1127" t="str">
        <f>INDEX(PT_DIFFERENTIATION_NTAR,MATCH(B60,PT_DIFFERENTIATION_NTAR_ID,0))</f>
        <v/>
      </c>
      <c r="H60" s="178"/>
      <c r="I60" s="568"/>
      <c r="J60" s="569"/>
      <c r="K60" s="309"/>
      <c r="L60" s="178" t="s">
        <v>229</v>
      </c>
      <c r="M60" s="921"/>
      <c r="AH60" s="3">
        <v>0</v>
      </c>
    </row>
    <row r="61" spans="1:34" ht="18.75" hidden="1" customHeight="1">
      <c r="C61" s="480" t="s">
        <v>1069</v>
      </c>
      <c r="D61" s="1152"/>
      <c r="E61" s="957"/>
      <c r="F61" s="1093"/>
      <c r="G61" s="1127"/>
      <c r="H61" s="368"/>
      <c r="I61" s="45" t="s">
        <v>1070</v>
      </c>
      <c r="J61" s="63"/>
      <c r="K61" s="368"/>
      <c r="L61" s="466"/>
      <c r="M61" s="921"/>
      <c r="AH61" s="3">
        <v>0</v>
      </c>
    </row>
    <row r="62" spans="1:34" ht="0.75" hidden="1" customHeight="1">
      <c r="C62" s="480" t="s">
        <v>1075</v>
      </c>
      <c r="D62" s="1152"/>
      <c r="E62" s="957"/>
      <c r="F62" s="1093"/>
      <c r="G62" s="572"/>
      <c r="H62" s="368"/>
      <c r="I62" s="45"/>
      <c r="J62" s="63"/>
      <c r="K62" s="368"/>
      <c r="L62" s="466"/>
      <c r="M62" s="921"/>
      <c r="AH62" s="3">
        <v>0</v>
      </c>
    </row>
    <row r="63" spans="1:34" ht="18.75" hidden="1" customHeight="1">
      <c r="A63" s="94" t="s">
        <v>168</v>
      </c>
      <c r="B63" s="94" t="s">
        <v>169</v>
      </c>
      <c r="D63" s="1152"/>
      <c r="E63" s="957"/>
      <c r="F63" s="1093" t="str">
        <f>INDEX(PT_DIFFERENTIATION_VTAR,MATCH(A63,PT_DIFFERENTIATION_VTAR_ID,0))</f>
        <v>Тариф на подключение (технологическое присоединение) к централизованной системе холодного водоснабжения</v>
      </c>
      <c r="G63" s="1127" t="str">
        <f>INDEX(PT_DIFFERENTIATION_NTAR,MATCH(B63,PT_DIFFERENTIATION_NTAR_ID,0))</f>
        <v/>
      </c>
      <c r="H63" s="178"/>
      <c r="I63" s="568"/>
      <c r="J63" s="569"/>
      <c r="K63" s="309"/>
      <c r="L63" s="178" t="s">
        <v>229</v>
      </c>
      <c r="M63" s="921"/>
      <c r="AH63" s="3">
        <v>0</v>
      </c>
    </row>
    <row r="64" spans="1:34" ht="18.75" hidden="1" customHeight="1">
      <c r="C64" s="480" t="s">
        <v>1069</v>
      </c>
      <c r="D64" s="1152"/>
      <c r="E64" s="957"/>
      <c r="F64" s="1093"/>
      <c r="G64" s="1127"/>
      <c r="H64" s="368"/>
      <c r="I64" s="45" t="s">
        <v>1070</v>
      </c>
      <c r="J64" s="63"/>
      <c r="K64" s="368"/>
      <c r="L64" s="466"/>
      <c r="M64" s="921"/>
      <c r="AH64" s="3">
        <v>0</v>
      </c>
    </row>
    <row r="65" spans="1:34" ht="0.75" hidden="1" customHeight="1">
      <c r="C65" s="480" t="s">
        <v>1075</v>
      </c>
      <c r="D65" s="1152"/>
      <c r="E65" s="957"/>
      <c r="F65" s="1093"/>
      <c r="G65" s="572"/>
      <c r="H65" s="368"/>
      <c r="I65" s="45"/>
      <c r="J65" s="63"/>
      <c r="K65" s="368"/>
      <c r="L65" s="466"/>
      <c r="M65" s="921"/>
      <c r="AH65" s="3">
        <v>0</v>
      </c>
    </row>
    <row r="66" spans="1:34" ht="18.75" hidden="1" customHeight="1">
      <c r="A66" s="94" t="s">
        <v>173</v>
      </c>
      <c r="B66" s="94" t="s">
        <v>174</v>
      </c>
      <c r="D66" s="1152"/>
      <c r="E66" s="957"/>
      <c r="F66" s="1093" t="str">
        <f>INDEX(PT_DIFFERENTIATION_VTAR,MATCH(A66,PT_DIFFERENTIATION_VTAR_ID,0))</f>
        <v>Тариф на горячую воду (горячее водоснабжение)</v>
      </c>
      <c r="G66" s="1127" t="str">
        <f>INDEX(PT_DIFFERENTIATION_NTAR,MATCH(B66,PT_DIFFERENTIATION_NTAR_ID,0))</f>
        <v/>
      </c>
      <c r="H66" s="178"/>
      <c r="I66" s="568"/>
      <c r="J66" s="569"/>
      <c r="K66" s="309"/>
      <c r="L66" s="178" t="s">
        <v>229</v>
      </c>
      <c r="M66" s="921"/>
      <c r="AH66" s="3">
        <v>0</v>
      </c>
    </row>
    <row r="67" spans="1:34" ht="18.75" hidden="1" customHeight="1">
      <c r="C67" s="480" t="s">
        <v>1069</v>
      </c>
      <c r="D67" s="1152"/>
      <c r="E67" s="957"/>
      <c r="F67" s="1093"/>
      <c r="G67" s="1127"/>
      <c r="H67" s="368"/>
      <c r="I67" s="45" t="s">
        <v>1070</v>
      </c>
      <c r="J67" s="63"/>
      <c r="K67" s="368"/>
      <c r="L67" s="466"/>
      <c r="M67" s="921"/>
      <c r="AH67" s="3">
        <v>0</v>
      </c>
    </row>
    <row r="68" spans="1:34" ht="0.75" hidden="1" customHeight="1">
      <c r="C68" s="480" t="s">
        <v>1075</v>
      </c>
      <c r="D68" s="1152"/>
      <c r="E68" s="957"/>
      <c r="F68" s="1093"/>
      <c r="G68" s="572"/>
      <c r="H68" s="368"/>
      <c r="I68" s="45"/>
      <c r="J68" s="63"/>
      <c r="K68" s="368"/>
      <c r="L68" s="466"/>
      <c r="M68" s="921"/>
      <c r="AH68" s="3">
        <v>0</v>
      </c>
    </row>
    <row r="69" spans="1:34" ht="18.75" hidden="1" customHeight="1">
      <c r="A69" s="94" t="s">
        <v>178</v>
      </c>
      <c r="B69" s="94" t="s">
        <v>179</v>
      </c>
      <c r="D69" s="1152"/>
      <c r="E69" s="957"/>
      <c r="F69" s="1093" t="str">
        <f>INDEX(PT_DIFFERENTIATION_VTAR,MATCH(A69,PT_DIFFERENTIATION_VTAR_ID,0))</f>
        <v>Тариф на транспортировку горячей воды</v>
      </c>
      <c r="G69" s="1127" t="str">
        <f>INDEX(PT_DIFFERENTIATION_NTAR,MATCH(B69,PT_DIFFERENTIATION_NTAR_ID,0))</f>
        <v/>
      </c>
      <c r="H69" s="178"/>
      <c r="I69" s="568"/>
      <c r="J69" s="569"/>
      <c r="K69" s="309"/>
      <c r="L69" s="178" t="s">
        <v>229</v>
      </c>
      <c r="M69" s="921"/>
      <c r="AH69" s="3">
        <v>0</v>
      </c>
    </row>
    <row r="70" spans="1:34" ht="18.75" hidden="1" customHeight="1">
      <c r="C70" s="480" t="s">
        <v>1069</v>
      </c>
      <c r="D70" s="1152"/>
      <c r="E70" s="957"/>
      <c r="F70" s="1093"/>
      <c r="G70" s="1127"/>
      <c r="H70" s="368"/>
      <c r="I70" s="45" t="s">
        <v>1070</v>
      </c>
      <c r="J70" s="63"/>
      <c r="K70" s="368"/>
      <c r="L70" s="466"/>
      <c r="M70" s="921"/>
      <c r="AH70" s="3">
        <v>0</v>
      </c>
    </row>
    <row r="71" spans="1:34" ht="0.75" hidden="1" customHeight="1">
      <c r="C71" s="480" t="s">
        <v>1075</v>
      </c>
      <c r="D71" s="1152"/>
      <c r="E71" s="957"/>
      <c r="F71" s="1093"/>
      <c r="G71" s="572"/>
      <c r="H71" s="368"/>
      <c r="I71" s="45"/>
      <c r="J71" s="63"/>
      <c r="K71" s="368"/>
      <c r="L71" s="466"/>
      <c r="M71" s="921"/>
      <c r="AH71" s="3">
        <v>0</v>
      </c>
    </row>
    <row r="72" spans="1:34" ht="18.75" hidden="1" customHeight="1">
      <c r="A72" s="94" t="s">
        <v>183</v>
      </c>
      <c r="B72" s="94" t="s">
        <v>184</v>
      </c>
      <c r="D72" s="1152"/>
      <c r="E72" s="957"/>
      <c r="F72" s="1093" t="str">
        <f>INDEX(PT_DIFFERENTIATION_VTAR,MATCH(A72,PT_DIFFERENTIATION_VTAR_ID,0))</f>
        <v>Тариф на подключение (технологическое присоединение) к централизованной системе горячего водоснабжения</v>
      </c>
      <c r="G72" s="1127" t="str">
        <f>INDEX(PT_DIFFERENTIATION_NTAR,MATCH(B72,PT_DIFFERENTIATION_NTAR_ID,0))</f>
        <v/>
      </c>
      <c r="H72" s="178"/>
      <c r="I72" s="568"/>
      <c r="J72" s="569"/>
      <c r="K72" s="309"/>
      <c r="L72" s="178" t="s">
        <v>229</v>
      </c>
      <c r="M72" s="921"/>
      <c r="AH72" s="3">
        <v>0</v>
      </c>
    </row>
    <row r="73" spans="1:34" ht="18.75" hidden="1" customHeight="1">
      <c r="C73" s="480" t="s">
        <v>1069</v>
      </c>
      <c r="D73" s="1152"/>
      <c r="E73" s="957"/>
      <c r="F73" s="1093"/>
      <c r="G73" s="1127"/>
      <c r="H73" s="368"/>
      <c r="I73" s="45" t="s">
        <v>1070</v>
      </c>
      <c r="J73" s="63"/>
      <c r="K73" s="368"/>
      <c r="L73" s="466"/>
      <c r="M73" s="921"/>
      <c r="AH73" s="3">
        <v>0</v>
      </c>
    </row>
    <row r="74" spans="1:34" ht="0.75" hidden="1" customHeight="1">
      <c r="C74" s="480" t="s">
        <v>1075</v>
      </c>
      <c r="D74" s="1152"/>
      <c r="E74" s="957"/>
      <c r="F74" s="1093"/>
      <c r="G74" s="572"/>
      <c r="H74" s="368"/>
      <c r="I74" s="45"/>
      <c r="J74" s="63"/>
      <c r="K74" s="368"/>
      <c r="L74" s="466"/>
      <c r="M74" s="921"/>
      <c r="AH74" s="3">
        <v>0</v>
      </c>
    </row>
    <row r="75" spans="1:34" ht="18.75" hidden="1" customHeight="1">
      <c r="A75" s="94" t="s">
        <v>188</v>
      </c>
      <c r="B75" s="94" t="s">
        <v>189</v>
      </c>
      <c r="D75" s="1152"/>
      <c r="E75" s="957"/>
      <c r="F75" s="1093" t="str">
        <f>INDEX(PT_DIFFERENTIATION_VTAR,MATCH(A75,PT_DIFFERENTIATION_VTAR_ID,0))</f>
        <v>Тариф на водоотведение</v>
      </c>
      <c r="G75" s="1127" t="str">
        <f>INDEX(PT_DIFFERENTIATION_NTAR,MATCH(B75,PT_DIFFERENTIATION_NTAR_ID,0))</f>
        <v/>
      </c>
      <c r="H75" s="178"/>
      <c r="I75" s="568"/>
      <c r="J75" s="569"/>
      <c r="K75" s="309"/>
      <c r="L75" s="178" t="s">
        <v>229</v>
      </c>
      <c r="M75" s="921"/>
      <c r="AH75" s="3">
        <v>0</v>
      </c>
    </row>
    <row r="76" spans="1:34" ht="18.75" hidden="1" customHeight="1">
      <c r="C76" s="480" t="s">
        <v>1069</v>
      </c>
      <c r="D76" s="1152"/>
      <c r="E76" s="957"/>
      <c r="F76" s="1093"/>
      <c r="G76" s="1127"/>
      <c r="H76" s="368"/>
      <c r="I76" s="45" t="s">
        <v>1070</v>
      </c>
      <c r="J76" s="63"/>
      <c r="K76" s="368"/>
      <c r="L76" s="466"/>
      <c r="M76" s="921"/>
      <c r="AH76" s="3">
        <v>0</v>
      </c>
    </row>
    <row r="77" spans="1:34" ht="0.75" hidden="1" customHeight="1">
      <c r="C77" s="480" t="s">
        <v>1075</v>
      </c>
      <c r="D77" s="1152"/>
      <c r="E77" s="957"/>
      <c r="F77" s="1093"/>
      <c r="G77" s="572"/>
      <c r="H77" s="368"/>
      <c r="I77" s="45"/>
      <c r="J77" s="63"/>
      <c r="K77" s="368"/>
      <c r="L77" s="466"/>
      <c r="M77" s="921"/>
      <c r="AH77" s="3">
        <v>0</v>
      </c>
    </row>
    <row r="78" spans="1:34" ht="18.75" hidden="1" customHeight="1">
      <c r="A78" s="94" t="s">
        <v>193</v>
      </c>
      <c r="B78" s="94" t="s">
        <v>194</v>
      </c>
      <c r="D78" s="1152"/>
      <c r="E78" s="957"/>
      <c r="F78" s="1093" t="str">
        <f>INDEX(PT_DIFFERENTIATION_VTAR,MATCH(A78,PT_DIFFERENTIATION_VTAR_ID,0))</f>
        <v>Тариф на транспортировку сточных вод</v>
      </c>
      <c r="G78" s="1127" t="str">
        <f>INDEX(PT_DIFFERENTIATION_NTAR,MATCH(B78,PT_DIFFERENTIATION_NTAR_ID,0))</f>
        <v/>
      </c>
      <c r="H78" s="178"/>
      <c r="I78" s="568"/>
      <c r="J78" s="569"/>
      <c r="K78" s="309"/>
      <c r="L78" s="178" t="s">
        <v>229</v>
      </c>
      <c r="M78" s="921"/>
      <c r="AH78" s="3">
        <v>0</v>
      </c>
    </row>
    <row r="79" spans="1:34" ht="18.75" hidden="1" customHeight="1">
      <c r="C79" s="480" t="s">
        <v>1069</v>
      </c>
      <c r="D79" s="1152"/>
      <c r="E79" s="957"/>
      <c r="F79" s="1093"/>
      <c r="G79" s="1127"/>
      <c r="H79" s="368"/>
      <c r="I79" s="45" t="s">
        <v>1070</v>
      </c>
      <c r="J79" s="63"/>
      <c r="K79" s="368"/>
      <c r="L79" s="466"/>
      <c r="M79" s="921"/>
      <c r="AH79" s="3">
        <v>0</v>
      </c>
    </row>
    <row r="80" spans="1:34" ht="0.75" hidden="1" customHeight="1">
      <c r="C80" s="480" t="s">
        <v>1075</v>
      </c>
      <c r="D80" s="1152"/>
      <c r="E80" s="957"/>
      <c r="F80" s="1093"/>
      <c r="G80" s="572"/>
      <c r="H80" s="368"/>
      <c r="I80" s="45"/>
      <c r="J80" s="63"/>
      <c r="K80" s="368"/>
      <c r="L80" s="466"/>
      <c r="M80" s="921"/>
      <c r="AH80" s="3">
        <v>0</v>
      </c>
    </row>
    <row r="81" spans="1:34" ht="18.75" hidden="1" customHeight="1">
      <c r="A81" s="94" t="s">
        <v>198</v>
      </c>
      <c r="B81" s="94" t="s">
        <v>199</v>
      </c>
      <c r="D81" s="1152"/>
      <c r="E81" s="957"/>
      <c r="F81" s="1093" t="str">
        <f>INDEX(PT_DIFFERENTIATION_VTAR,MATCH(A81,PT_DIFFERENTIATION_VTAR_ID,0))</f>
        <v>Тариф на подключение (технологическое присоединение) к централизованной системе водоотведения</v>
      </c>
      <c r="G81" s="1127" t="str">
        <f>INDEX(PT_DIFFERENTIATION_NTAR,MATCH(B81,PT_DIFFERENTIATION_NTAR_ID,0))</f>
        <v/>
      </c>
      <c r="H81" s="178"/>
      <c r="I81" s="568"/>
      <c r="J81" s="569"/>
      <c r="K81" s="309"/>
      <c r="L81" s="178" t="s">
        <v>229</v>
      </c>
      <c r="M81" s="921"/>
      <c r="AH81" s="3">
        <v>0</v>
      </c>
    </row>
    <row r="82" spans="1:34" ht="18.75" hidden="1" customHeight="1">
      <c r="C82" s="480" t="s">
        <v>1069</v>
      </c>
      <c r="D82" s="1152"/>
      <c r="E82" s="957"/>
      <c r="F82" s="1093"/>
      <c r="G82" s="1127"/>
      <c r="H82" s="368"/>
      <c r="I82" s="45" t="s">
        <v>1070</v>
      </c>
      <c r="J82" s="63"/>
      <c r="K82" s="368"/>
      <c r="L82" s="466"/>
      <c r="M82" s="921"/>
      <c r="AH82" s="3">
        <v>0</v>
      </c>
    </row>
    <row r="83" spans="1:34" ht="1.1499999999999999" customHeight="1">
      <c r="C83" s="480" t="s">
        <v>1075</v>
      </c>
      <c r="D83" s="1152"/>
      <c r="E83" s="957"/>
      <c r="F83" s="1093"/>
      <c r="G83" s="572"/>
      <c r="H83" s="368"/>
      <c r="I83" s="45"/>
      <c r="J83" s="63"/>
      <c r="K83" s="368"/>
      <c r="L83" s="466"/>
      <c r="M83" s="921"/>
      <c r="AH83" s="3">
        <v>1</v>
      </c>
    </row>
    <row r="84" spans="1:34" ht="19.899999999999999" customHeight="1">
      <c r="D84" s="264"/>
      <c r="E84" s="117" t="s">
        <v>39</v>
      </c>
      <c r="F84" s="115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1151"/>
      <c r="H84" s="1151"/>
      <c r="I84" s="1151"/>
      <c r="J84" s="1151"/>
      <c r="K84" s="1151"/>
      <c r="L84" s="1151"/>
      <c r="M84" s="458"/>
      <c r="AH84" s="3">
        <v>19</v>
      </c>
    </row>
    <row r="85" spans="1:34" ht="35.65" customHeight="1">
      <c r="D85" s="264"/>
      <c r="E85" s="573"/>
      <c r="F85" s="65" t="s">
        <v>229</v>
      </c>
      <c r="G85" s="65" t="s">
        <v>229</v>
      </c>
      <c r="H85" s="967" t="s">
        <v>229</v>
      </c>
      <c r="I85" s="981"/>
      <c r="J85" s="65" t="s">
        <v>229</v>
      </c>
      <c r="K85" s="65" t="s">
        <v>229</v>
      </c>
      <c r="L85" s="408"/>
      <c r="M85" s="227" t="s">
        <v>1076</v>
      </c>
      <c r="AH85" s="3">
        <v>34</v>
      </c>
    </row>
    <row r="86" spans="1:34" ht="19.899999999999999" customHeight="1">
      <c r="D86" s="264"/>
      <c r="E86" s="117" t="s">
        <v>26</v>
      </c>
      <c r="F86" s="1151" t="s">
        <v>1077</v>
      </c>
      <c r="G86" s="1151"/>
      <c r="H86" s="1151"/>
      <c r="I86" s="1151"/>
      <c r="J86" s="1151"/>
      <c r="K86" s="1151"/>
      <c r="L86" s="1151"/>
      <c r="M86" s="458"/>
      <c r="AH86" s="3">
        <v>19</v>
      </c>
    </row>
    <row r="87" spans="1:34" ht="60.75" hidden="1" customHeight="1">
      <c r="A87" s="94" t="s">
        <v>80</v>
      </c>
      <c r="B87" s="94" t="s">
        <v>81</v>
      </c>
      <c r="D87" s="1152"/>
      <c r="E87" s="957"/>
      <c r="F87" s="109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1127" t="str">
        <f>INDEX(PT_DIFFERENTIATION_NTAR,MATCH(B87,PT_DIFFERENTIATION_NTAR_ID,0))</f>
        <v/>
      </c>
      <c r="H87" s="178"/>
      <c r="I87" s="568"/>
      <c r="J87" s="569"/>
      <c r="K87" s="193"/>
      <c r="L87" s="178" t="s">
        <v>229</v>
      </c>
      <c r="M87" s="9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AH87" s="3">
        <v>0</v>
      </c>
    </row>
    <row r="88" spans="1:34" ht="18.75" hidden="1" customHeight="1">
      <c r="C88" s="480" t="s">
        <v>1071</v>
      </c>
      <c r="D88" s="1152"/>
      <c r="E88" s="957"/>
      <c r="F88" s="1093"/>
      <c r="G88" s="1127"/>
      <c r="H88" s="368"/>
      <c r="I88" s="45" t="s">
        <v>1070</v>
      </c>
      <c r="J88" s="63"/>
      <c r="K88" s="368"/>
      <c r="L88" s="466"/>
      <c r="M88" s="921"/>
      <c r="AH88" s="3">
        <v>0</v>
      </c>
    </row>
    <row r="89" spans="1:34" ht="0.75" hidden="1" customHeight="1">
      <c r="C89" s="480" t="s">
        <v>1078</v>
      </c>
      <c r="D89" s="1152"/>
      <c r="E89" s="957"/>
      <c r="F89" s="1093"/>
      <c r="G89" s="572"/>
      <c r="H89" s="368"/>
      <c r="I89" s="45"/>
      <c r="J89" s="63"/>
      <c r="K89" s="368"/>
      <c r="L89" s="466"/>
      <c r="M89" s="921"/>
      <c r="AH89" s="3">
        <v>0</v>
      </c>
    </row>
    <row r="90" spans="1:34" ht="45" hidden="1" customHeight="1">
      <c r="A90" s="94" t="s">
        <v>85</v>
      </c>
      <c r="B90" s="94" t="s">
        <v>86</v>
      </c>
      <c r="D90" s="1152"/>
      <c r="E90" s="957"/>
      <c r="F90" s="1093" t="str">
        <f>INDEX(PT_DIFFERENTIATION_VTAR,MATCH(A90,PT_DIFFERENTIATION_VTAR_ID,0))</f>
        <v/>
      </c>
      <c r="G90" s="1127" t="str">
        <f>INDEX(PT_DIFFERENTIATION_NTAR,MATCH(B90,PT_DIFFERENTIATION_NTAR_ID,0))</f>
        <v/>
      </c>
      <c r="H90" s="178"/>
      <c r="I90" s="568"/>
      <c r="J90" s="569"/>
      <c r="K90" s="193"/>
      <c r="L90" s="178" t="s">
        <v>229</v>
      </c>
      <c r="M90" s="922"/>
      <c r="AH90" s="3">
        <v>0</v>
      </c>
    </row>
    <row r="91" spans="1:34" ht="18.75" hidden="1" customHeight="1">
      <c r="C91" s="480" t="s">
        <v>1071</v>
      </c>
      <c r="D91" s="1152"/>
      <c r="E91" s="957"/>
      <c r="F91" s="1093"/>
      <c r="G91" s="1127"/>
      <c r="H91" s="368"/>
      <c r="I91" s="45" t="s">
        <v>1070</v>
      </c>
      <c r="J91" s="63"/>
      <c r="K91" s="368"/>
      <c r="L91" s="466"/>
      <c r="M91" s="85"/>
      <c r="AH91" s="3">
        <v>0</v>
      </c>
    </row>
    <row r="92" spans="1:34" ht="0.75" hidden="1" customHeight="1">
      <c r="C92" s="480" t="s">
        <v>1078</v>
      </c>
      <c r="D92" s="1152"/>
      <c r="E92" s="957"/>
      <c r="F92" s="1093"/>
      <c r="G92" s="572"/>
      <c r="H92" s="368"/>
      <c r="I92" s="45"/>
      <c r="J92" s="63"/>
      <c r="K92" s="368"/>
      <c r="L92" s="466"/>
      <c r="M92" s="563"/>
      <c r="AH92" s="3">
        <v>0</v>
      </c>
    </row>
    <row r="93" spans="1:34" ht="45" hidden="1" customHeight="1">
      <c r="A93" s="94" t="s">
        <v>92</v>
      </c>
      <c r="B93" s="94" t="s">
        <v>93</v>
      </c>
      <c r="D93" s="1152"/>
      <c r="E93" s="957"/>
      <c r="F93" s="109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1127" t="str">
        <f>INDEX(PT_DIFFERENTIATION_NTAR,MATCH(B93,PT_DIFFERENTIATION_NTAR_ID,0))</f>
        <v/>
      </c>
      <c r="H93" s="178"/>
      <c r="I93" s="568"/>
      <c r="J93" s="569"/>
      <c r="K93" s="193"/>
      <c r="L93" s="178" t="s">
        <v>229</v>
      </c>
      <c r="M93" s="563"/>
      <c r="AH93" s="3">
        <v>0</v>
      </c>
    </row>
    <row r="94" spans="1:34" ht="18.75" hidden="1" customHeight="1">
      <c r="C94" s="480" t="s">
        <v>1071</v>
      </c>
      <c r="D94" s="1152"/>
      <c r="E94" s="957"/>
      <c r="F94" s="1093"/>
      <c r="G94" s="1127"/>
      <c r="H94" s="368"/>
      <c r="I94" s="45" t="s">
        <v>1070</v>
      </c>
      <c r="J94" s="63"/>
      <c r="K94" s="368"/>
      <c r="L94" s="466"/>
      <c r="M94" s="563"/>
      <c r="AH94" s="3">
        <v>0</v>
      </c>
    </row>
    <row r="95" spans="1:34" ht="0.75" hidden="1" customHeight="1">
      <c r="C95" s="480" t="s">
        <v>1078</v>
      </c>
      <c r="D95" s="1152"/>
      <c r="E95" s="957"/>
      <c r="F95" s="1093"/>
      <c r="G95" s="572"/>
      <c r="H95" s="368"/>
      <c r="I95" s="45"/>
      <c r="J95" s="63"/>
      <c r="K95" s="368"/>
      <c r="L95" s="466"/>
      <c r="M95" s="563"/>
      <c r="AH95" s="3">
        <v>0</v>
      </c>
    </row>
    <row r="96" spans="1:34" ht="45" hidden="1" customHeight="1">
      <c r="A96" s="94" t="s">
        <v>98</v>
      </c>
      <c r="B96" s="94" t="s">
        <v>99</v>
      </c>
      <c r="D96" s="1152"/>
      <c r="E96" s="957"/>
      <c r="F96" s="109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1127" t="str">
        <f>INDEX(PT_DIFFERENTIATION_NTAR,MATCH(B96,PT_DIFFERENTIATION_NTAR_ID,0))</f>
        <v/>
      </c>
      <c r="H96" s="178"/>
      <c r="I96" s="568"/>
      <c r="J96" s="569"/>
      <c r="K96" s="193"/>
      <c r="L96" s="178" t="s">
        <v>229</v>
      </c>
      <c r="M96" s="563"/>
      <c r="AH96" s="3">
        <v>0</v>
      </c>
    </row>
    <row r="97" spans="1:34" ht="18.75" hidden="1" customHeight="1">
      <c r="C97" s="480" t="s">
        <v>1071</v>
      </c>
      <c r="D97" s="1152"/>
      <c r="E97" s="957"/>
      <c r="F97" s="1093"/>
      <c r="G97" s="1127"/>
      <c r="H97" s="368"/>
      <c r="I97" s="45" t="s">
        <v>1070</v>
      </c>
      <c r="J97" s="63"/>
      <c r="K97" s="368"/>
      <c r="L97" s="466"/>
      <c r="M97" s="563"/>
      <c r="AH97" s="3">
        <v>0</v>
      </c>
    </row>
    <row r="98" spans="1:34" ht="0.75" hidden="1" customHeight="1">
      <c r="C98" s="480" t="s">
        <v>1078</v>
      </c>
      <c r="D98" s="1152"/>
      <c r="E98" s="957"/>
      <c r="F98" s="1093"/>
      <c r="G98" s="572"/>
      <c r="H98" s="368"/>
      <c r="I98" s="45"/>
      <c r="J98" s="63"/>
      <c r="K98" s="368"/>
      <c r="L98" s="466"/>
      <c r="M98" s="563"/>
      <c r="AH98" s="3">
        <v>0</v>
      </c>
    </row>
    <row r="99" spans="1:34" ht="18.75" hidden="1" customHeight="1">
      <c r="A99" s="94" t="s">
        <v>104</v>
      </c>
      <c r="B99" s="94" t="s">
        <v>105</v>
      </c>
      <c r="D99" s="1152"/>
      <c r="E99" s="957"/>
      <c r="F99" s="1093" t="str">
        <f>INDEX(PT_DIFFERENTIATION_VTAR,MATCH(A99,PT_DIFFERENTIATION_VTAR_ID,0))</f>
        <v>Тарифы на услуги по передаче тепловой энергии</v>
      </c>
      <c r="G99" s="1127" t="str">
        <f>INDEX(PT_DIFFERENTIATION_NTAR,MATCH(B99,PT_DIFFERENTIATION_NTAR_ID,0))</f>
        <v/>
      </c>
      <c r="H99" s="178"/>
      <c r="I99" s="568"/>
      <c r="J99" s="569"/>
      <c r="K99" s="193"/>
      <c r="L99" s="178" t="s">
        <v>229</v>
      </c>
      <c r="M99" s="563"/>
      <c r="AH99" s="3">
        <v>0</v>
      </c>
    </row>
    <row r="100" spans="1:34" ht="18.75" hidden="1" customHeight="1">
      <c r="C100" s="480" t="s">
        <v>1071</v>
      </c>
      <c r="D100" s="1152"/>
      <c r="E100" s="957"/>
      <c r="F100" s="1093"/>
      <c r="G100" s="1127"/>
      <c r="H100" s="368"/>
      <c r="I100" s="45" t="s">
        <v>1070</v>
      </c>
      <c r="J100" s="63"/>
      <c r="K100" s="368"/>
      <c r="L100" s="466"/>
      <c r="M100" s="563"/>
      <c r="AH100" s="3">
        <v>0</v>
      </c>
    </row>
    <row r="101" spans="1:34" ht="0.75" hidden="1" customHeight="1">
      <c r="C101" s="480" t="s">
        <v>1078</v>
      </c>
      <c r="D101" s="1152"/>
      <c r="E101" s="957"/>
      <c r="F101" s="1093"/>
      <c r="G101" s="572"/>
      <c r="H101" s="368"/>
      <c r="I101" s="45"/>
      <c r="J101" s="63"/>
      <c r="K101" s="368"/>
      <c r="L101" s="466"/>
      <c r="M101" s="563"/>
      <c r="AH101" s="3">
        <v>0</v>
      </c>
    </row>
    <row r="102" spans="1:34" ht="18.75" hidden="1" customHeight="1">
      <c r="A102" s="94" t="s">
        <v>110</v>
      </c>
      <c r="B102" s="94" t="s">
        <v>111</v>
      </c>
      <c r="D102" s="1152"/>
      <c r="E102" s="957"/>
      <c r="F102" s="1093" t="str">
        <f>INDEX(PT_DIFFERENTIATION_VTAR,MATCH(A102,PT_DIFFERENTIATION_VTAR_ID,0))</f>
        <v>Тарифы на услуги по передаче теплоносителя</v>
      </c>
      <c r="G102" s="1127" t="str">
        <f>INDEX(PT_DIFFERENTIATION_NTAR,MATCH(B102,PT_DIFFERENTIATION_NTAR_ID,0))</f>
        <v/>
      </c>
      <c r="H102" s="178"/>
      <c r="I102" s="568"/>
      <c r="J102" s="569"/>
      <c r="K102" s="193"/>
      <c r="L102" s="178" t="s">
        <v>229</v>
      </c>
      <c r="M102" s="563"/>
      <c r="AH102" s="3">
        <v>0</v>
      </c>
    </row>
    <row r="103" spans="1:34" ht="18.75" hidden="1" customHeight="1">
      <c r="C103" s="480" t="s">
        <v>1071</v>
      </c>
      <c r="D103" s="1152"/>
      <c r="E103" s="957"/>
      <c r="F103" s="1093"/>
      <c r="G103" s="1127"/>
      <c r="H103" s="368"/>
      <c r="I103" s="45" t="s">
        <v>1070</v>
      </c>
      <c r="J103" s="63"/>
      <c r="K103" s="368"/>
      <c r="L103" s="466"/>
      <c r="M103" s="563"/>
      <c r="AH103" s="3">
        <v>0</v>
      </c>
    </row>
    <row r="104" spans="1:34" ht="0.75" hidden="1" customHeight="1">
      <c r="C104" s="480" t="s">
        <v>1078</v>
      </c>
      <c r="D104" s="1152"/>
      <c r="E104" s="957"/>
      <c r="F104" s="1093"/>
      <c r="G104" s="572"/>
      <c r="H104" s="368"/>
      <c r="I104" s="45"/>
      <c r="J104" s="63"/>
      <c r="K104" s="368"/>
      <c r="L104" s="466"/>
      <c r="M104" s="563"/>
      <c r="AH104" s="3">
        <v>0</v>
      </c>
    </row>
    <row r="105" spans="1:34" ht="18.75" hidden="1" customHeight="1">
      <c r="A105" s="94" t="s">
        <v>116</v>
      </c>
      <c r="B105" s="94" t="s">
        <v>117</v>
      </c>
      <c r="D105" s="1152"/>
      <c r="E105" s="957"/>
      <c r="F105" s="109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1127" t="str">
        <f>INDEX(PT_DIFFERENTIATION_NTAR,MATCH(B105,PT_DIFFERENTIATION_NTAR_ID,0))</f>
        <v/>
      </c>
      <c r="H105" s="178"/>
      <c r="I105" s="568"/>
      <c r="J105" s="569"/>
      <c r="K105" s="193"/>
      <c r="L105" s="178" t="s">
        <v>229</v>
      </c>
      <c r="M105" s="563"/>
      <c r="AH105" s="3">
        <v>0</v>
      </c>
    </row>
    <row r="106" spans="1:34" ht="18.75" hidden="1" customHeight="1">
      <c r="C106" s="480" t="s">
        <v>1071</v>
      </c>
      <c r="D106" s="1152"/>
      <c r="E106" s="957"/>
      <c r="F106" s="1093"/>
      <c r="G106" s="1127"/>
      <c r="H106" s="368"/>
      <c r="I106" s="45" t="s">
        <v>1070</v>
      </c>
      <c r="J106" s="63"/>
      <c r="K106" s="368"/>
      <c r="L106" s="466"/>
      <c r="M106" s="563"/>
      <c r="AH106" s="3">
        <v>0</v>
      </c>
    </row>
    <row r="107" spans="1:34" ht="0.75" hidden="1" customHeight="1">
      <c r="C107" s="480" t="s">
        <v>1078</v>
      </c>
      <c r="D107" s="1152"/>
      <c r="E107" s="957"/>
      <c r="F107" s="1093"/>
      <c r="G107" s="572"/>
      <c r="H107" s="368"/>
      <c r="I107" s="45"/>
      <c r="J107" s="63"/>
      <c r="K107" s="368"/>
      <c r="L107" s="466"/>
      <c r="M107" s="563"/>
      <c r="AH107" s="3">
        <v>0</v>
      </c>
    </row>
    <row r="108" spans="1:34" ht="18.75" hidden="1" customHeight="1">
      <c r="A108" s="94" t="s">
        <v>122</v>
      </c>
      <c r="B108" s="94" t="s">
        <v>123</v>
      </c>
      <c r="D108" s="1152"/>
      <c r="E108" s="957"/>
      <c r="F108" s="1093" t="str">
        <f>INDEX(PT_DIFFERENTIATION_VTAR,MATCH(A108,PT_DIFFERENTIATION_VTAR_ID,0))</f>
        <v>Плата за подключение (технологическое присоединение) к системе теплоснабжения</v>
      </c>
      <c r="G108" s="1127" t="str">
        <f>INDEX(PT_DIFFERENTIATION_NTAR,MATCH(B108,PT_DIFFERENTIATION_NTAR_ID,0))</f>
        <v/>
      </c>
      <c r="H108" s="178"/>
      <c r="I108" s="568"/>
      <c r="J108" s="569"/>
      <c r="K108" s="193"/>
      <c r="L108" s="178" t="s">
        <v>229</v>
      </c>
      <c r="M108" s="563"/>
      <c r="AH108" s="3">
        <v>0</v>
      </c>
    </row>
    <row r="109" spans="1:34" ht="18.75" hidden="1" customHeight="1">
      <c r="C109" s="480" t="s">
        <v>1071</v>
      </c>
      <c r="D109" s="1152"/>
      <c r="E109" s="957"/>
      <c r="F109" s="1093"/>
      <c r="G109" s="1127"/>
      <c r="H109" s="368"/>
      <c r="I109" s="45" t="s">
        <v>1070</v>
      </c>
      <c r="J109" s="63"/>
      <c r="K109" s="368"/>
      <c r="L109" s="466"/>
      <c r="M109" s="563"/>
      <c r="AH109" s="3">
        <v>0</v>
      </c>
    </row>
    <row r="110" spans="1:34" ht="0.75" hidden="1" customHeight="1">
      <c r="C110" s="480" t="s">
        <v>1078</v>
      </c>
      <c r="D110" s="1152"/>
      <c r="E110" s="957"/>
      <c r="F110" s="1093"/>
      <c r="G110" s="572"/>
      <c r="H110" s="368"/>
      <c r="I110" s="45"/>
      <c r="J110" s="63"/>
      <c r="K110" s="368"/>
      <c r="L110" s="466"/>
      <c r="M110" s="563"/>
      <c r="AH110" s="3">
        <v>0</v>
      </c>
    </row>
    <row r="111" spans="1:34" ht="18.75" hidden="1" customHeight="1">
      <c r="A111" s="94" t="s">
        <v>128</v>
      </c>
      <c r="B111" s="94" t="s">
        <v>129</v>
      </c>
      <c r="D111" s="1152"/>
      <c r="E111" s="957"/>
      <c r="F111" s="1093" t="str">
        <f>INDEX(PT_DIFFERENTIATION_VTAR,MATCH(A111,PT_DIFFERENTIATION_VTAR_ID,0))</f>
        <v>Плата за подключение (технологическое присоединение) к системе теплоснабжения (индивидуальная)</v>
      </c>
      <c r="G111" s="1127" t="str">
        <f>INDEX(PT_DIFFERENTIATION_NTAR,MATCH(B111,PT_DIFFERENTIATION_NTAR_ID,0))</f>
        <v/>
      </c>
      <c r="H111" s="178"/>
      <c r="I111" s="568"/>
      <c r="J111" s="569"/>
      <c r="K111" s="193"/>
      <c r="L111" s="178" t="s">
        <v>229</v>
      </c>
      <c r="M111" s="563"/>
      <c r="AH111" s="3">
        <v>0</v>
      </c>
    </row>
    <row r="112" spans="1:34" ht="18.75" hidden="1" customHeight="1">
      <c r="C112" s="480" t="s">
        <v>1071</v>
      </c>
      <c r="D112" s="1152"/>
      <c r="E112" s="957"/>
      <c r="F112" s="1093"/>
      <c r="G112" s="1127"/>
      <c r="H112" s="368"/>
      <c r="I112" s="45" t="s">
        <v>1070</v>
      </c>
      <c r="J112" s="63"/>
      <c r="K112" s="368"/>
      <c r="L112" s="466"/>
      <c r="M112" s="563"/>
      <c r="AH112" s="3">
        <v>0</v>
      </c>
    </row>
    <row r="113" spans="1:34" ht="0.75" hidden="1" customHeight="1">
      <c r="C113" s="480" t="s">
        <v>1078</v>
      </c>
      <c r="D113" s="1152"/>
      <c r="E113" s="957"/>
      <c r="F113" s="1093"/>
      <c r="G113" s="572"/>
      <c r="H113" s="368"/>
      <c r="I113" s="45"/>
      <c r="J113" s="63"/>
      <c r="K113" s="368"/>
      <c r="L113" s="466"/>
      <c r="M113" s="563"/>
      <c r="AH113" s="3">
        <v>0</v>
      </c>
    </row>
    <row r="114" spans="1:34" ht="18.75" hidden="1" customHeight="1">
      <c r="A114" s="94" t="s">
        <v>148</v>
      </c>
      <c r="B114" s="94" t="s">
        <v>149</v>
      </c>
      <c r="D114" s="1152"/>
      <c r="E114" s="957"/>
      <c r="F114" s="1093" t="str">
        <f>INDEX(PT_DIFFERENTIATION_VTAR,MATCH(A114,PT_DIFFERENTIATION_VTAR_ID,0))</f>
        <v>Тариф на питьевую воду (питьевое водоснабжение)</v>
      </c>
      <c r="G114" s="1127" t="str">
        <f>INDEX(PT_DIFFERENTIATION_NTAR,MATCH(B114,PT_DIFFERENTIATION_NTAR_ID,0))</f>
        <v/>
      </c>
      <c r="H114" s="178"/>
      <c r="I114" s="568"/>
      <c r="J114" s="569"/>
      <c r="K114" s="193"/>
      <c r="L114" s="178" t="s">
        <v>229</v>
      </c>
      <c r="M114" s="563"/>
      <c r="AH114" s="3">
        <v>0</v>
      </c>
    </row>
    <row r="115" spans="1:34" ht="18.75" hidden="1" customHeight="1">
      <c r="C115" s="480" t="s">
        <v>1071</v>
      </c>
      <c r="D115" s="1152"/>
      <c r="E115" s="957"/>
      <c r="F115" s="1093"/>
      <c r="G115" s="1127"/>
      <c r="H115" s="368"/>
      <c r="I115" s="45" t="s">
        <v>1070</v>
      </c>
      <c r="J115" s="63"/>
      <c r="K115" s="368"/>
      <c r="L115" s="466"/>
      <c r="M115" s="563"/>
      <c r="AH115" s="3">
        <v>0</v>
      </c>
    </row>
    <row r="116" spans="1:34" ht="0.75" hidden="1" customHeight="1">
      <c r="C116" s="480" t="s">
        <v>1078</v>
      </c>
      <c r="D116" s="1152"/>
      <c r="E116" s="957"/>
      <c r="F116" s="1093"/>
      <c r="G116" s="572"/>
      <c r="H116" s="368"/>
      <c r="I116" s="45"/>
      <c r="J116" s="63"/>
      <c r="K116" s="368"/>
      <c r="L116" s="466"/>
      <c r="M116" s="563"/>
      <c r="AH116" s="3">
        <v>0</v>
      </c>
    </row>
    <row r="117" spans="1:34" ht="18.75" hidden="1" customHeight="1">
      <c r="A117" s="94" t="s">
        <v>153</v>
      </c>
      <c r="B117" s="94" t="s">
        <v>154</v>
      </c>
      <c r="D117" s="1152"/>
      <c r="E117" s="957"/>
      <c r="F117" s="1093" t="str">
        <f>INDEX(PT_DIFFERENTIATION_VTAR,MATCH(A117,PT_DIFFERENTIATION_VTAR_ID,0))</f>
        <v>Тариф на техническую воду</v>
      </c>
      <c r="G117" s="1127" t="str">
        <f>INDEX(PT_DIFFERENTIATION_NTAR,MATCH(B117,PT_DIFFERENTIATION_NTAR_ID,0))</f>
        <v/>
      </c>
      <c r="H117" s="178"/>
      <c r="I117" s="568"/>
      <c r="J117" s="569"/>
      <c r="K117" s="193"/>
      <c r="L117" s="178" t="s">
        <v>229</v>
      </c>
      <c r="M117" s="563"/>
      <c r="AH117" s="3">
        <v>0</v>
      </c>
    </row>
    <row r="118" spans="1:34" ht="18.75" hidden="1" customHeight="1">
      <c r="C118" s="480" t="s">
        <v>1071</v>
      </c>
      <c r="D118" s="1152"/>
      <c r="E118" s="957"/>
      <c r="F118" s="1093"/>
      <c r="G118" s="1127"/>
      <c r="H118" s="368"/>
      <c r="I118" s="45" t="s">
        <v>1070</v>
      </c>
      <c r="J118" s="63"/>
      <c r="K118" s="368"/>
      <c r="L118" s="466"/>
      <c r="M118" s="563"/>
      <c r="AH118" s="3">
        <v>0</v>
      </c>
    </row>
    <row r="119" spans="1:34" ht="0.75" hidden="1" customHeight="1">
      <c r="C119" s="480" t="s">
        <v>1078</v>
      </c>
      <c r="D119" s="1152"/>
      <c r="E119" s="957"/>
      <c r="F119" s="1093"/>
      <c r="G119" s="572"/>
      <c r="H119" s="368"/>
      <c r="I119" s="45"/>
      <c r="J119" s="63"/>
      <c r="K119" s="368"/>
      <c r="L119" s="466"/>
      <c r="M119" s="563"/>
      <c r="AH119" s="3">
        <v>0</v>
      </c>
    </row>
    <row r="120" spans="1:34" ht="18.75" hidden="1" customHeight="1">
      <c r="A120" s="94" t="s">
        <v>158</v>
      </c>
      <c r="B120" s="94" t="s">
        <v>159</v>
      </c>
      <c r="D120" s="1152"/>
      <c r="E120" s="957"/>
      <c r="F120" s="1093" t="str">
        <f>INDEX(PT_DIFFERENTIATION_VTAR,MATCH(A120,PT_DIFFERENTIATION_VTAR_ID,0))</f>
        <v>Тариф на транспортировку воды</v>
      </c>
      <c r="G120" s="1127" t="str">
        <f>INDEX(PT_DIFFERENTIATION_NTAR,MATCH(B120,PT_DIFFERENTIATION_NTAR_ID,0))</f>
        <v/>
      </c>
      <c r="H120" s="178"/>
      <c r="I120" s="568"/>
      <c r="J120" s="569"/>
      <c r="K120" s="193"/>
      <c r="L120" s="178" t="s">
        <v>229</v>
      </c>
      <c r="M120" s="563"/>
      <c r="AH120" s="3">
        <v>0</v>
      </c>
    </row>
    <row r="121" spans="1:34" ht="18.75" hidden="1" customHeight="1">
      <c r="C121" s="480" t="s">
        <v>1071</v>
      </c>
      <c r="D121" s="1152"/>
      <c r="E121" s="957"/>
      <c r="F121" s="1093"/>
      <c r="G121" s="1127"/>
      <c r="H121" s="368"/>
      <c r="I121" s="45" t="s">
        <v>1070</v>
      </c>
      <c r="J121" s="63"/>
      <c r="K121" s="368"/>
      <c r="L121" s="466"/>
      <c r="M121" s="563"/>
      <c r="AH121" s="3">
        <v>0</v>
      </c>
    </row>
    <row r="122" spans="1:34" ht="0.75" hidden="1" customHeight="1">
      <c r="C122" s="480" t="s">
        <v>1078</v>
      </c>
      <c r="D122" s="1152"/>
      <c r="E122" s="957"/>
      <c r="F122" s="1093"/>
      <c r="G122" s="572"/>
      <c r="H122" s="368"/>
      <c r="I122" s="45"/>
      <c r="J122" s="63"/>
      <c r="K122" s="368"/>
      <c r="L122" s="466"/>
      <c r="M122" s="563"/>
      <c r="AH122" s="3">
        <v>0</v>
      </c>
    </row>
    <row r="123" spans="1:34" ht="18.75" hidden="1" customHeight="1">
      <c r="A123" s="94" t="s">
        <v>163</v>
      </c>
      <c r="B123" s="94" t="s">
        <v>164</v>
      </c>
      <c r="D123" s="1152"/>
      <c r="E123" s="957"/>
      <c r="F123" s="1093" t="str">
        <f>INDEX(PT_DIFFERENTIATION_VTAR,MATCH(A123,PT_DIFFERENTIATION_VTAR_ID,0))</f>
        <v>Тариф на подвоз воды</v>
      </c>
      <c r="G123" s="1127" t="str">
        <f>INDEX(PT_DIFFERENTIATION_NTAR,MATCH(B123,PT_DIFFERENTIATION_NTAR_ID,0))</f>
        <v/>
      </c>
      <c r="H123" s="178"/>
      <c r="I123" s="568"/>
      <c r="J123" s="569"/>
      <c r="K123" s="193"/>
      <c r="L123" s="178" t="s">
        <v>229</v>
      </c>
      <c r="M123" s="563"/>
      <c r="AH123" s="3">
        <v>0</v>
      </c>
    </row>
    <row r="124" spans="1:34" ht="18.75" hidden="1" customHeight="1">
      <c r="C124" s="480" t="s">
        <v>1071</v>
      </c>
      <c r="D124" s="1152"/>
      <c r="E124" s="957"/>
      <c r="F124" s="1093"/>
      <c r="G124" s="1127"/>
      <c r="H124" s="368"/>
      <c r="I124" s="45" t="s">
        <v>1070</v>
      </c>
      <c r="J124" s="63"/>
      <c r="K124" s="368"/>
      <c r="L124" s="466"/>
      <c r="M124" s="563"/>
      <c r="AH124" s="3">
        <v>0</v>
      </c>
    </row>
    <row r="125" spans="1:34" ht="0.75" hidden="1" customHeight="1">
      <c r="C125" s="480" t="s">
        <v>1078</v>
      </c>
      <c r="D125" s="1152"/>
      <c r="E125" s="957"/>
      <c r="F125" s="1093"/>
      <c r="G125" s="572"/>
      <c r="H125" s="368"/>
      <c r="I125" s="45"/>
      <c r="J125" s="63"/>
      <c r="K125" s="368"/>
      <c r="L125" s="466"/>
      <c r="M125" s="563"/>
      <c r="AH125" s="3">
        <v>0</v>
      </c>
    </row>
    <row r="126" spans="1:34" ht="18.75" hidden="1" customHeight="1">
      <c r="A126" s="94" t="s">
        <v>168</v>
      </c>
      <c r="B126" s="94" t="s">
        <v>169</v>
      </c>
      <c r="D126" s="1152"/>
      <c r="E126" s="957"/>
      <c r="F126" s="109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1127" t="str">
        <f>INDEX(PT_DIFFERENTIATION_NTAR,MATCH(B126,PT_DIFFERENTIATION_NTAR_ID,0))</f>
        <v/>
      </c>
      <c r="H126" s="178"/>
      <c r="I126" s="568"/>
      <c r="J126" s="569"/>
      <c r="K126" s="193"/>
      <c r="L126" s="178" t="s">
        <v>229</v>
      </c>
      <c r="M126" s="563"/>
      <c r="AH126" s="3">
        <v>0</v>
      </c>
    </row>
    <row r="127" spans="1:34" ht="18.75" hidden="1" customHeight="1">
      <c r="C127" s="480" t="s">
        <v>1071</v>
      </c>
      <c r="D127" s="1152"/>
      <c r="E127" s="957"/>
      <c r="F127" s="1093"/>
      <c r="G127" s="1127"/>
      <c r="H127" s="368"/>
      <c r="I127" s="45" t="s">
        <v>1070</v>
      </c>
      <c r="J127" s="63"/>
      <c r="K127" s="368"/>
      <c r="L127" s="466"/>
      <c r="M127" s="563"/>
      <c r="AH127" s="3">
        <v>0</v>
      </c>
    </row>
    <row r="128" spans="1:34" ht="0.75" hidden="1" customHeight="1">
      <c r="C128" s="480" t="s">
        <v>1078</v>
      </c>
      <c r="D128" s="1152"/>
      <c r="E128" s="957"/>
      <c r="F128" s="1093"/>
      <c r="G128" s="572"/>
      <c r="H128" s="368"/>
      <c r="I128" s="45"/>
      <c r="J128" s="63"/>
      <c r="K128" s="368"/>
      <c r="L128" s="466"/>
      <c r="M128" s="563"/>
      <c r="AH128" s="3">
        <v>0</v>
      </c>
    </row>
    <row r="129" spans="1:34" ht="18.75" hidden="1" customHeight="1">
      <c r="A129" s="94" t="s">
        <v>173</v>
      </c>
      <c r="B129" s="94" t="s">
        <v>174</v>
      </c>
      <c r="D129" s="1152"/>
      <c r="E129" s="957"/>
      <c r="F129" s="1093" t="str">
        <f>INDEX(PT_DIFFERENTIATION_VTAR,MATCH(A129,PT_DIFFERENTIATION_VTAR_ID,0))</f>
        <v>Тариф на горячую воду (горячее водоснабжение)</v>
      </c>
      <c r="G129" s="1127" t="str">
        <f>INDEX(PT_DIFFERENTIATION_NTAR,MATCH(B129,PT_DIFFERENTIATION_NTAR_ID,0))</f>
        <v/>
      </c>
      <c r="H129" s="178"/>
      <c r="I129" s="568"/>
      <c r="J129" s="569"/>
      <c r="K129" s="193"/>
      <c r="L129" s="178" t="s">
        <v>229</v>
      </c>
      <c r="M129" s="563"/>
      <c r="AH129" s="3">
        <v>0</v>
      </c>
    </row>
    <row r="130" spans="1:34" ht="18.75" hidden="1" customHeight="1">
      <c r="C130" s="480" t="s">
        <v>1071</v>
      </c>
      <c r="D130" s="1152"/>
      <c r="E130" s="957"/>
      <c r="F130" s="1093"/>
      <c r="G130" s="1127"/>
      <c r="H130" s="368"/>
      <c r="I130" s="45" t="s">
        <v>1070</v>
      </c>
      <c r="J130" s="63"/>
      <c r="K130" s="368"/>
      <c r="L130" s="466"/>
      <c r="M130" s="563"/>
      <c r="AH130" s="3">
        <v>0</v>
      </c>
    </row>
    <row r="131" spans="1:34" ht="0.75" hidden="1" customHeight="1">
      <c r="C131" s="480" t="s">
        <v>1078</v>
      </c>
      <c r="D131" s="1152"/>
      <c r="E131" s="957"/>
      <c r="F131" s="1093"/>
      <c r="G131" s="572"/>
      <c r="H131" s="368"/>
      <c r="I131" s="45"/>
      <c r="J131" s="63"/>
      <c r="K131" s="368"/>
      <c r="L131" s="466"/>
      <c r="M131" s="563"/>
      <c r="AH131" s="3">
        <v>0</v>
      </c>
    </row>
    <row r="132" spans="1:34" ht="18.75" hidden="1" customHeight="1">
      <c r="A132" s="94" t="s">
        <v>178</v>
      </c>
      <c r="B132" s="94" t="s">
        <v>179</v>
      </c>
      <c r="D132" s="1152"/>
      <c r="E132" s="957"/>
      <c r="F132" s="1093" t="str">
        <f>INDEX(PT_DIFFERENTIATION_VTAR,MATCH(A132,PT_DIFFERENTIATION_VTAR_ID,0))</f>
        <v>Тариф на транспортировку горячей воды</v>
      </c>
      <c r="G132" s="1127" t="str">
        <f>INDEX(PT_DIFFERENTIATION_NTAR,MATCH(B132,PT_DIFFERENTIATION_NTAR_ID,0))</f>
        <v/>
      </c>
      <c r="H132" s="178"/>
      <c r="I132" s="568"/>
      <c r="J132" s="569"/>
      <c r="K132" s="193"/>
      <c r="L132" s="178" t="s">
        <v>229</v>
      </c>
      <c r="M132" s="563"/>
      <c r="AH132" s="3">
        <v>0</v>
      </c>
    </row>
    <row r="133" spans="1:34" ht="18.75" hidden="1" customHeight="1">
      <c r="C133" s="480" t="s">
        <v>1071</v>
      </c>
      <c r="D133" s="1152"/>
      <c r="E133" s="957"/>
      <c r="F133" s="1093"/>
      <c r="G133" s="1127"/>
      <c r="H133" s="368"/>
      <c r="I133" s="45" t="s">
        <v>1070</v>
      </c>
      <c r="J133" s="63"/>
      <c r="K133" s="368"/>
      <c r="L133" s="466"/>
      <c r="M133" s="563"/>
      <c r="AH133" s="3">
        <v>0</v>
      </c>
    </row>
    <row r="134" spans="1:34" ht="0.75" hidden="1" customHeight="1">
      <c r="C134" s="480" t="s">
        <v>1078</v>
      </c>
      <c r="D134" s="1152"/>
      <c r="E134" s="957"/>
      <c r="F134" s="1093"/>
      <c r="G134" s="572"/>
      <c r="H134" s="368"/>
      <c r="I134" s="45"/>
      <c r="J134" s="63"/>
      <c r="K134" s="368"/>
      <c r="L134" s="466"/>
      <c r="M134" s="563"/>
      <c r="AH134" s="3">
        <v>0</v>
      </c>
    </row>
    <row r="135" spans="1:34" ht="18.75" hidden="1" customHeight="1">
      <c r="A135" s="94" t="s">
        <v>183</v>
      </c>
      <c r="B135" s="94" t="s">
        <v>184</v>
      </c>
      <c r="D135" s="1152"/>
      <c r="E135" s="957"/>
      <c r="F135" s="1093" t="str">
        <f>INDEX(PT_DIFFERENTIATION_VTAR,MATCH(A135,PT_DIFFERENTIATION_VTAR_ID,0))</f>
        <v>Тариф на подключение (технологическое присоединение) к централизованной системе горячего водоснабжения</v>
      </c>
      <c r="G135" s="1127" t="str">
        <f>INDEX(PT_DIFFERENTIATION_NTAR,MATCH(B135,PT_DIFFERENTIATION_NTAR_ID,0))</f>
        <v/>
      </c>
      <c r="H135" s="178"/>
      <c r="I135" s="568"/>
      <c r="J135" s="569"/>
      <c r="K135" s="193"/>
      <c r="L135" s="178" t="s">
        <v>229</v>
      </c>
      <c r="M135" s="563"/>
      <c r="AH135" s="3">
        <v>0</v>
      </c>
    </row>
    <row r="136" spans="1:34" ht="18.75" hidden="1" customHeight="1">
      <c r="C136" s="480" t="s">
        <v>1071</v>
      </c>
      <c r="D136" s="1152"/>
      <c r="E136" s="957"/>
      <c r="F136" s="1093"/>
      <c r="G136" s="1127"/>
      <c r="H136" s="368"/>
      <c r="I136" s="45" t="s">
        <v>1070</v>
      </c>
      <c r="J136" s="63"/>
      <c r="K136" s="368"/>
      <c r="L136" s="466"/>
      <c r="M136" s="563"/>
      <c r="AH136" s="3">
        <v>0</v>
      </c>
    </row>
    <row r="137" spans="1:34" ht="0.75" hidden="1" customHeight="1">
      <c r="C137" s="480" t="s">
        <v>1078</v>
      </c>
      <c r="D137" s="1152"/>
      <c r="E137" s="957"/>
      <c r="F137" s="1093"/>
      <c r="G137" s="572"/>
      <c r="H137" s="368"/>
      <c r="I137" s="45"/>
      <c r="J137" s="63"/>
      <c r="K137" s="368"/>
      <c r="L137" s="466"/>
      <c r="M137" s="563"/>
      <c r="AH137" s="3">
        <v>0</v>
      </c>
    </row>
    <row r="138" spans="1:34" ht="18.75" hidden="1" customHeight="1">
      <c r="A138" s="94" t="s">
        <v>188</v>
      </c>
      <c r="B138" s="94" t="s">
        <v>189</v>
      </c>
      <c r="D138" s="1152"/>
      <c r="E138" s="957"/>
      <c r="F138" s="1093" t="str">
        <f>INDEX(PT_DIFFERENTIATION_VTAR,MATCH(A138,PT_DIFFERENTIATION_VTAR_ID,0))</f>
        <v>Тариф на водоотведение</v>
      </c>
      <c r="G138" s="1127" t="str">
        <f>INDEX(PT_DIFFERENTIATION_NTAR,MATCH(B138,PT_DIFFERENTIATION_NTAR_ID,0))</f>
        <v/>
      </c>
      <c r="H138" s="178"/>
      <c r="I138" s="568"/>
      <c r="J138" s="569"/>
      <c r="K138" s="193"/>
      <c r="L138" s="178" t="s">
        <v>229</v>
      </c>
      <c r="M138" s="563"/>
      <c r="AH138" s="3">
        <v>0</v>
      </c>
    </row>
    <row r="139" spans="1:34" ht="18.75" hidden="1" customHeight="1">
      <c r="C139" s="480" t="s">
        <v>1071</v>
      </c>
      <c r="D139" s="1152"/>
      <c r="E139" s="957"/>
      <c r="F139" s="1093"/>
      <c r="G139" s="1127"/>
      <c r="H139" s="368"/>
      <c r="I139" s="45" t="s">
        <v>1070</v>
      </c>
      <c r="J139" s="63"/>
      <c r="K139" s="368"/>
      <c r="L139" s="466"/>
      <c r="M139" s="563"/>
      <c r="AH139" s="3">
        <v>0</v>
      </c>
    </row>
    <row r="140" spans="1:34" ht="0.75" hidden="1" customHeight="1">
      <c r="C140" s="480" t="s">
        <v>1078</v>
      </c>
      <c r="D140" s="1152"/>
      <c r="E140" s="957"/>
      <c r="F140" s="1093"/>
      <c r="G140" s="572"/>
      <c r="H140" s="368"/>
      <c r="I140" s="45"/>
      <c r="J140" s="63"/>
      <c r="K140" s="368"/>
      <c r="L140" s="466"/>
      <c r="M140" s="563"/>
      <c r="AH140" s="3">
        <v>0</v>
      </c>
    </row>
    <row r="141" spans="1:34" ht="18.75" hidden="1" customHeight="1">
      <c r="A141" s="94" t="s">
        <v>193</v>
      </c>
      <c r="B141" s="94" t="s">
        <v>194</v>
      </c>
      <c r="D141" s="1152"/>
      <c r="E141" s="957"/>
      <c r="F141" s="1093" t="str">
        <f>INDEX(PT_DIFFERENTIATION_VTAR,MATCH(A141,PT_DIFFERENTIATION_VTAR_ID,0))</f>
        <v>Тариф на транспортировку сточных вод</v>
      </c>
      <c r="G141" s="1127" t="str">
        <f>INDEX(PT_DIFFERENTIATION_NTAR,MATCH(B141,PT_DIFFERENTIATION_NTAR_ID,0))</f>
        <v/>
      </c>
      <c r="H141" s="178"/>
      <c r="I141" s="568"/>
      <c r="J141" s="569"/>
      <c r="K141" s="193"/>
      <c r="L141" s="178" t="s">
        <v>229</v>
      </c>
      <c r="M141" s="563"/>
      <c r="AH141" s="3">
        <v>0</v>
      </c>
    </row>
    <row r="142" spans="1:34" ht="18.75" hidden="1" customHeight="1">
      <c r="C142" s="480" t="s">
        <v>1071</v>
      </c>
      <c r="D142" s="1152"/>
      <c r="E142" s="957"/>
      <c r="F142" s="1093"/>
      <c r="G142" s="1127"/>
      <c r="H142" s="368"/>
      <c r="I142" s="45" t="s">
        <v>1070</v>
      </c>
      <c r="J142" s="63"/>
      <c r="K142" s="368"/>
      <c r="L142" s="466"/>
      <c r="M142" s="563"/>
      <c r="AH142" s="3">
        <v>0</v>
      </c>
    </row>
    <row r="143" spans="1:34" ht="0.75" hidden="1" customHeight="1">
      <c r="C143" s="480" t="s">
        <v>1078</v>
      </c>
      <c r="D143" s="1152"/>
      <c r="E143" s="957"/>
      <c r="F143" s="1093"/>
      <c r="G143" s="572"/>
      <c r="H143" s="368"/>
      <c r="I143" s="45"/>
      <c r="J143" s="63"/>
      <c r="K143" s="368"/>
      <c r="L143" s="466"/>
      <c r="M143" s="563"/>
      <c r="AH143" s="3">
        <v>0</v>
      </c>
    </row>
    <row r="144" spans="1:34" ht="18.75" hidden="1" customHeight="1">
      <c r="A144" s="94" t="s">
        <v>198</v>
      </c>
      <c r="B144" s="94" t="s">
        <v>199</v>
      </c>
      <c r="D144" s="1152"/>
      <c r="E144" s="957"/>
      <c r="F144" s="1093" t="str">
        <f>INDEX(PT_DIFFERENTIATION_VTAR,MATCH(A144,PT_DIFFERENTIATION_VTAR_ID,0))</f>
        <v>Тариф на подключение (технологическое присоединение) к централизованной системе водоотведения</v>
      </c>
      <c r="G144" s="1127" t="str">
        <f>INDEX(PT_DIFFERENTIATION_NTAR,MATCH(B144,PT_DIFFERENTIATION_NTAR_ID,0))</f>
        <v/>
      </c>
      <c r="H144" s="178"/>
      <c r="I144" s="568"/>
      <c r="J144" s="569"/>
      <c r="K144" s="193"/>
      <c r="L144" s="178" t="s">
        <v>229</v>
      </c>
      <c r="M144" s="563"/>
      <c r="AH144" s="3">
        <v>0</v>
      </c>
    </row>
    <row r="145" spans="1:34" ht="18.75" hidden="1" customHeight="1">
      <c r="C145" s="480" t="s">
        <v>1071</v>
      </c>
      <c r="D145" s="1152"/>
      <c r="E145" s="957"/>
      <c r="F145" s="1093"/>
      <c r="G145" s="1127"/>
      <c r="H145" s="368"/>
      <c r="I145" s="45" t="s">
        <v>1070</v>
      </c>
      <c r="J145" s="63"/>
      <c r="K145" s="368"/>
      <c r="L145" s="466"/>
      <c r="M145" s="563"/>
      <c r="AH145" s="3">
        <v>0</v>
      </c>
    </row>
    <row r="146" spans="1:34" ht="1.1499999999999999" customHeight="1">
      <c r="C146" s="480" t="s">
        <v>1078</v>
      </c>
      <c r="D146" s="1152"/>
      <c r="E146" s="957"/>
      <c r="F146" s="1093"/>
      <c r="G146" s="572"/>
      <c r="H146" s="368"/>
      <c r="I146" s="45"/>
      <c r="J146" s="63"/>
      <c r="K146" s="368"/>
      <c r="L146" s="466"/>
      <c r="M146" s="563"/>
      <c r="AH146" s="3">
        <v>1</v>
      </c>
    </row>
    <row r="147" spans="1:34" ht="19.899999999999999" customHeight="1">
      <c r="D147" s="264"/>
      <c r="E147" s="117" t="s">
        <v>27</v>
      </c>
      <c r="F147" s="115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1151"/>
      <c r="H147" s="1151"/>
      <c r="I147" s="1151"/>
      <c r="J147" s="1151"/>
      <c r="K147" s="1151"/>
      <c r="L147" s="1151"/>
      <c r="M147" s="458"/>
      <c r="AH147" s="3">
        <v>19</v>
      </c>
    </row>
    <row r="148" spans="1:34" ht="60.75" hidden="1" customHeight="1">
      <c r="A148" s="94" t="s">
        <v>80</v>
      </c>
      <c r="B148" s="94" t="s">
        <v>81</v>
      </c>
      <c r="D148" s="1152"/>
      <c r="E148" s="957"/>
      <c r="F148" s="109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1127" t="str">
        <f>INDEX(PT_DIFFERENTIATION_NTAR,MATCH(B148,PT_DIFFERENTIATION_NTAR_ID,0))</f>
        <v/>
      </c>
      <c r="H148" s="178"/>
      <c r="I148" s="568"/>
      <c r="J148" s="569"/>
      <c r="K148" s="193"/>
      <c r="L148" s="178" t="s">
        <v>229</v>
      </c>
      <c r="M148" s="9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AH148" s="3">
        <v>0</v>
      </c>
    </row>
    <row r="149" spans="1:34" ht="18.75" hidden="1" customHeight="1">
      <c r="C149" s="480" t="s">
        <v>1071</v>
      </c>
      <c r="D149" s="1152"/>
      <c r="E149" s="957"/>
      <c r="F149" s="1093"/>
      <c r="G149" s="1127"/>
      <c r="H149" s="368"/>
      <c r="I149" s="45" t="s">
        <v>1070</v>
      </c>
      <c r="J149" s="63"/>
      <c r="K149" s="368"/>
      <c r="L149" s="466"/>
      <c r="M149" s="921"/>
      <c r="AH149" s="3">
        <v>0</v>
      </c>
    </row>
    <row r="150" spans="1:34" ht="0.75" hidden="1" customHeight="1">
      <c r="C150" s="480" t="s">
        <v>1078</v>
      </c>
      <c r="D150" s="1152"/>
      <c r="E150" s="957"/>
      <c r="F150" s="1093"/>
      <c r="G150" s="572"/>
      <c r="H150" s="368"/>
      <c r="I150" s="45"/>
      <c r="J150" s="63"/>
      <c r="K150" s="368"/>
      <c r="L150" s="466"/>
      <c r="M150" s="921"/>
      <c r="AH150" s="3">
        <v>0</v>
      </c>
    </row>
    <row r="151" spans="1:34" ht="45" hidden="1" customHeight="1">
      <c r="A151" s="94" t="s">
        <v>85</v>
      </c>
      <c r="B151" s="94" t="s">
        <v>86</v>
      </c>
      <c r="D151" s="1152"/>
      <c r="E151" s="957"/>
      <c r="F151" s="1093" t="str">
        <f>INDEX(PT_DIFFERENTIATION_VTAR,MATCH(A151,PT_DIFFERENTIATION_VTAR_ID,0))</f>
        <v/>
      </c>
      <c r="G151" s="1127" t="str">
        <f>INDEX(PT_DIFFERENTIATION_NTAR,MATCH(B151,PT_DIFFERENTIATION_NTAR_ID,0))</f>
        <v/>
      </c>
      <c r="H151" s="178"/>
      <c r="I151" s="568"/>
      <c r="J151" s="569"/>
      <c r="K151" s="193"/>
      <c r="L151" s="178" t="s">
        <v>229</v>
      </c>
      <c r="M151" s="922"/>
      <c r="AH151" s="3">
        <v>0</v>
      </c>
    </row>
    <row r="152" spans="1:34" ht="18.75" hidden="1" customHeight="1">
      <c r="C152" s="480" t="s">
        <v>1071</v>
      </c>
      <c r="D152" s="1152"/>
      <c r="E152" s="957"/>
      <c r="F152" s="1093"/>
      <c r="G152" s="1127"/>
      <c r="H152" s="368"/>
      <c r="I152" s="45" t="s">
        <v>1070</v>
      </c>
      <c r="J152" s="63"/>
      <c r="K152" s="368"/>
      <c r="L152" s="466"/>
      <c r="M152" s="85"/>
      <c r="AH152" s="3">
        <v>0</v>
      </c>
    </row>
    <row r="153" spans="1:34" ht="0.75" hidden="1" customHeight="1">
      <c r="C153" s="480" t="s">
        <v>1078</v>
      </c>
      <c r="D153" s="1152"/>
      <c r="E153" s="957"/>
      <c r="F153" s="1093"/>
      <c r="G153" s="572"/>
      <c r="H153" s="368"/>
      <c r="I153" s="45"/>
      <c r="J153" s="63"/>
      <c r="K153" s="368"/>
      <c r="L153" s="466"/>
      <c r="M153" s="563"/>
      <c r="AH153" s="3">
        <v>0</v>
      </c>
    </row>
    <row r="154" spans="1:34" ht="45" hidden="1" customHeight="1">
      <c r="A154" s="94" t="s">
        <v>92</v>
      </c>
      <c r="B154" s="94" t="s">
        <v>93</v>
      </c>
      <c r="D154" s="1152"/>
      <c r="E154" s="957"/>
      <c r="F154" s="109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1127" t="str">
        <f>INDEX(PT_DIFFERENTIATION_NTAR,MATCH(B154,PT_DIFFERENTIATION_NTAR_ID,0))</f>
        <v/>
      </c>
      <c r="H154" s="178"/>
      <c r="I154" s="568"/>
      <c r="J154" s="569"/>
      <c r="K154" s="193"/>
      <c r="L154" s="178" t="s">
        <v>229</v>
      </c>
      <c r="M154" s="563"/>
      <c r="AH154" s="3">
        <v>0</v>
      </c>
    </row>
    <row r="155" spans="1:34" ht="18.75" hidden="1" customHeight="1">
      <c r="C155" s="480" t="s">
        <v>1071</v>
      </c>
      <c r="D155" s="1152"/>
      <c r="E155" s="957"/>
      <c r="F155" s="1093"/>
      <c r="G155" s="1127"/>
      <c r="H155" s="368"/>
      <c r="I155" s="45" t="s">
        <v>1070</v>
      </c>
      <c r="J155" s="63"/>
      <c r="K155" s="368"/>
      <c r="L155" s="466"/>
      <c r="M155" s="563"/>
      <c r="AH155" s="3">
        <v>0</v>
      </c>
    </row>
    <row r="156" spans="1:34" ht="0.75" hidden="1" customHeight="1">
      <c r="C156" s="480" t="s">
        <v>1078</v>
      </c>
      <c r="D156" s="1152"/>
      <c r="E156" s="957"/>
      <c r="F156" s="1093"/>
      <c r="G156" s="572"/>
      <c r="H156" s="368"/>
      <c r="I156" s="45"/>
      <c r="J156" s="63"/>
      <c r="K156" s="368"/>
      <c r="L156" s="466"/>
      <c r="M156" s="563"/>
      <c r="AH156" s="3">
        <v>0</v>
      </c>
    </row>
    <row r="157" spans="1:34" ht="45" hidden="1" customHeight="1">
      <c r="A157" s="94" t="s">
        <v>98</v>
      </c>
      <c r="B157" s="94" t="s">
        <v>99</v>
      </c>
      <c r="D157" s="1152"/>
      <c r="E157" s="957"/>
      <c r="F157" s="109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1127" t="str">
        <f>INDEX(PT_DIFFERENTIATION_NTAR,MATCH(B157,PT_DIFFERENTIATION_NTAR_ID,0))</f>
        <v/>
      </c>
      <c r="H157" s="178"/>
      <c r="I157" s="568"/>
      <c r="J157" s="569"/>
      <c r="K157" s="193"/>
      <c r="L157" s="178" t="s">
        <v>229</v>
      </c>
      <c r="M157" s="563"/>
      <c r="AH157" s="3">
        <v>0</v>
      </c>
    </row>
    <row r="158" spans="1:34" ht="18.75" hidden="1" customHeight="1">
      <c r="C158" s="480" t="s">
        <v>1071</v>
      </c>
      <c r="D158" s="1152"/>
      <c r="E158" s="957"/>
      <c r="F158" s="1093"/>
      <c r="G158" s="1127"/>
      <c r="H158" s="368"/>
      <c r="I158" s="45" t="s">
        <v>1070</v>
      </c>
      <c r="J158" s="63"/>
      <c r="K158" s="368"/>
      <c r="L158" s="466"/>
      <c r="M158" s="563"/>
      <c r="AH158" s="3">
        <v>0</v>
      </c>
    </row>
    <row r="159" spans="1:34" ht="0.75" hidden="1" customHeight="1">
      <c r="C159" s="480" t="s">
        <v>1078</v>
      </c>
      <c r="D159" s="1152"/>
      <c r="E159" s="957"/>
      <c r="F159" s="1093"/>
      <c r="G159" s="572"/>
      <c r="H159" s="368"/>
      <c r="I159" s="45"/>
      <c r="J159" s="63"/>
      <c r="K159" s="368"/>
      <c r="L159" s="466"/>
      <c r="M159" s="563"/>
      <c r="AH159" s="3">
        <v>0</v>
      </c>
    </row>
    <row r="160" spans="1:34" ht="18.75" hidden="1" customHeight="1">
      <c r="A160" s="94" t="s">
        <v>104</v>
      </c>
      <c r="B160" s="94" t="s">
        <v>105</v>
      </c>
      <c r="D160" s="1152"/>
      <c r="E160" s="957"/>
      <c r="F160" s="1093" t="str">
        <f>INDEX(PT_DIFFERENTIATION_VTAR,MATCH(A160,PT_DIFFERENTIATION_VTAR_ID,0))</f>
        <v>Тарифы на услуги по передаче тепловой энергии</v>
      </c>
      <c r="G160" s="1127" t="str">
        <f>INDEX(PT_DIFFERENTIATION_NTAR,MATCH(B160,PT_DIFFERENTIATION_NTAR_ID,0))</f>
        <v/>
      </c>
      <c r="H160" s="178"/>
      <c r="I160" s="568"/>
      <c r="J160" s="569"/>
      <c r="K160" s="193"/>
      <c r="L160" s="178" t="s">
        <v>229</v>
      </c>
      <c r="M160" s="563"/>
      <c r="AH160" s="3">
        <v>0</v>
      </c>
    </row>
    <row r="161" spans="1:34" ht="18.75" hidden="1" customHeight="1">
      <c r="C161" s="480" t="s">
        <v>1071</v>
      </c>
      <c r="D161" s="1152"/>
      <c r="E161" s="957"/>
      <c r="F161" s="1093"/>
      <c r="G161" s="1127"/>
      <c r="H161" s="368"/>
      <c r="I161" s="45" t="s">
        <v>1070</v>
      </c>
      <c r="J161" s="63"/>
      <c r="K161" s="368"/>
      <c r="L161" s="466"/>
      <c r="M161" s="563"/>
      <c r="AH161" s="3">
        <v>0</v>
      </c>
    </row>
    <row r="162" spans="1:34" ht="0.75" hidden="1" customHeight="1">
      <c r="C162" s="480" t="s">
        <v>1078</v>
      </c>
      <c r="D162" s="1152"/>
      <c r="E162" s="957"/>
      <c r="F162" s="1093"/>
      <c r="G162" s="572"/>
      <c r="H162" s="368"/>
      <c r="I162" s="45"/>
      <c r="J162" s="63"/>
      <c r="K162" s="368"/>
      <c r="L162" s="466"/>
      <c r="M162" s="563"/>
      <c r="AH162" s="3">
        <v>0</v>
      </c>
    </row>
    <row r="163" spans="1:34" ht="18.75" hidden="1" customHeight="1">
      <c r="A163" s="94" t="s">
        <v>110</v>
      </c>
      <c r="B163" s="94" t="s">
        <v>111</v>
      </c>
      <c r="D163" s="1152"/>
      <c r="E163" s="957"/>
      <c r="F163" s="1093" t="str">
        <f>INDEX(PT_DIFFERENTIATION_VTAR,MATCH(A163,PT_DIFFERENTIATION_VTAR_ID,0))</f>
        <v>Тарифы на услуги по передаче теплоносителя</v>
      </c>
      <c r="G163" s="1127" t="str">
        <f>INDEX(PT_DIFFERENTIATION_NTAR,MATCH(B163,PT_DIFFERENTIATION_NTAR_ID,0))</f>
        <v/>
      </c>
      <c r="H163" s="178"/>
      <c r="I163" s="568"/>
      <c r="J163" s="569"/>
      <c r="K163" s="193"/>
      <c r="L163" s="178" t="s">
        <v>229</v>
      </c>
      <c r="M163" s="563"/>
      <c r="AH163" s="3">
        <v>0</v>
      </c>
    </row>
    <row r="164" spans="1:34" ht="18.75" hidden="1" customHeight="1">
      <c r="C164" s="480" t="s">
        <v>1071</v>
      </c>
      <c r="D164" s="1152"/>
      <c r="E164" s="957"/>
      <c r="F164" s="1093"/>
      <c r="G164" s="1127"/>
      <c r="H164" s="368"/>
      <c r="I164" s="45" t="s">
        <v>1070</v>
      </c>
      <c r="J164" s="63"/>
      <c r="K164" s="368"/>
      <c r="L164" s="466"/>
      <c r="M164" s="563"/>
      <c r="AH164" s="3">
        <v>0</v>
      </c>
    </row>
    <row r="165" spans="1:34" ht="0.75" hidden="1" customHeight="1">
      <c r="C165" s="480" t="s">
        <v>1078</v>
      </c>
      <c r="D165" s="1152"/>
      <c r="E165" s="957"/>
      <c r="F165" s="1093"/>
      <c r="G165" s="572"/>
      <c r="H165" s="368"/>
      <c r="I165" s="45"/>
      <c r="J165" s="63"/>
      <c r="K165" s="368"/>
      <c r="L165" s="466"/>
      <c r="M165" s="563"/>
      <c r="AH165" s="3">
        <v>0</v>
      </c>
    </row>
    <row r="166" spans="1:34" ht="18.75" hidden="1" customHeight="1">
      <c r="A166" s="94" t="s">
        <v>116</v>
      </c>
      <c r="B166" s="94" t="s">
        <v>117</v>
      </c>
      <c r="D166" s="1152"/>
      <c r="E166" s="957"/>
      <c r="F166" s="109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1127" t="str">
        <f>INDEX(PT_DIFFERENTIATION_NTAR,MATCH(B166,PT_DIFFERENTIATION_NTAR_ID,0))</f>
        <v/>
      </c>
      <c r="H166" s="178"/>
      <c r="I166" s="568"/>
      <c r="J166" s="569"/>
      <c r="K166" s="193"/>
      <c r="L166" s="178" t="s">
        <v>229</v>
      </c>
      <c r="M166" s="563"/>
      <c r="AH166" s="3">
        <v>0</v>
      </c>
    </row>
    <row r="167" spans="1:34" ht="18.75" hidden="1" customHeight="1">
      <c r="C167" s="480" t="s">
        <v>1071</v>
      </c>
      <c r="D167" s="1152"/>
      <c r="E167" s="957"/>
      <c r="F167" s="1093"/>
      <c r="G167" s="1127"/>
      <c r="H167" s="368"/>
      <c r="I167" s="45" t="s">
        <v>1070</v>
      </c>
      <c r="J167" s="63"/>
      <c r="K167" s="368"/>
      <c r="L167" s="466"/>
      <c r="M167" s="563"/>
      <c r="AH167" s="3">
        <v>0</v>
      </c>
    </row>
    <row r="168" spans="1:34" ht="0.75" hidden="1" customHeight="1">
      <c r="C168" s="480" t="s">
        <v>1078</v>
      </c>
      <c r="D168" s="1152"/>
      <c r="E168" s="957"/>
      <c r="F168" s="1093"/>
      <c r="G168" s="572"/>
      <c r="H168" s="368"/>
      <c r="I168" s="45"/>
      <c r="J168" s="63"/>
      <c r="K168" s="368"/>
      <c r="L168" s="466"/>
      <c r="M168" s="563"/>
      <c r="AH168" s="3">
        <v>0</v>
      </c>
    </row>
    <row r="169" spans="1:34" ht="18.75" hidden="1" customHeight="1">
      <c r="A169" s="94" t="s">
        <v>122</v>
      </c>
      <c r="B169" s="94" t="s">
        <v>123</v>
      </c>
      <c r="D169" s="1152"/>
      <c r="E169" s="957"/>
      <c r="F169" s="1093" t="str">
        <f>INDEX(PT_DIFFERENTIATION_VTAR,MATCH(A169,PT_DIFFERENTIATION_VTAR_ID,0))</f>
        <v>Плата за подключение (технологическое присоединение) к системе теплоснабжения</v>
      </c>
      <c r="G169" s="1127" t="str">
        <f>INDEX(PT_DIFFERENTIATION_NTAR,MATCH(B169,PT_DIFFERENTIATION_NTAR_ID,0))</f>
        <v/>
      </c>
      <c r="H169" s="178"/>
      <c r="I169" s="568"/>
      <c r="J169" s="569"/>
      <c r="K169" s="193"/>
      <c r="L169" s="178" t="s">
        <v>229</v>
      </c>
      <c r="M169" s="563"/>
      <c r="AH169" s="3">
        <v>0</v>
      </c>
    </row>
    <row r="170" spans="1:34" ht="18.75" hidden="1" customHeight="1">
      <c r="C170" s="480" t="s">
        <v>1071</v>
      </c>
      <c r="D170" s="1152"/>
      <c r="E170" s="957"/>
      <c r="F170" s="1093"/>
      <c r="G170" s="1127"/>
      <c r="H170" s="368"/>
      <c r="I170" s="45" t="s">
        <v>1070</v>
      </c>
      <c r="J170" s="63"/>
      <c r="K170" s="368"/>
      <c r="L170" s="466"/>
      <c r="M170" s="563"/>
      <c r="AH170" s="3">
        <v>0</v>
      </c>
    </row>
    <row r="171" spans="1:34" ht="0.75" hidden="1" customHeight="1">
      <c r="C171" s="480" t="s">
        <v>1078</v>
      </c>
      <c r="D171" s="1152"/>
      <c r="E171" s="957"/>
      <c r="F171" s="1093"/>
      <c r="G171" s="572"/>
      <c r="H171" s="368"/>
      <c r="I171" s="45"/>
      <c r="J171" s="63"/>
      <c r="K171" s="368"/>
      <c r="L171" s="466"/>
      <c r="M171" s="563"/>
      <c r="AH171" s="3">
        <v>0</v>
      </c>
    </row>
    <row r="172" spans="1:34" ht="18.75" hidden="1" customHeight="1">
      <c r="A172" s="94" t="s">
        <v>128</v>
      </c>
      <c r="B172" s="94" t="s">
        <v>129</v>
      </c>
      <c r="D172" s="1152"/>
      <c r="E172" s="957"/>
      <c r="F172" s="1093" t="str">
        <f>INDEX(PT_DIFFERENTIATION_VTAR,MATCH(A172,PT_DIFFERENTIATION_VTAR_ID,0))</f>
        <v>Плата за подключение (технологическое присоединение) к системе теплоснабжения (индивидуальная)</v>
      </c>
      <c r="G172" s="1127" t="str">
        <f>INDEX(PT_DIFFERENTIATION_NTAR,MATCH(B172,PT_DIFFERENTIATION_NTAR_ID,0))</f>
        <v/>
      </c>
      <c r="H172" s="178"/>
      <c r="I172" s="568"/>
      <c r="J172" s="569"/>
      <c r="K172" s="193"/>
      <c r="L172" s="178" t="s">
        <v>229</v>
      </c>
      <c r="M172" s="563"/>
      <c r="AH172" s="3">
        <v>0</v>
      </c>
    </row>
    <row r="173" spans="1:34" ht="18.75" hidden="1" customHeight="1">
      <c r="C173" s="480" t="s">
        <v>1071</v>
      </c>
      <c r="D173" s="1152"/>
      <c r="E173" s="957"/>
      <c r="F173" s="1093"/>
      <c r="G173" s="1127"/>
      <c r="H173" s="368"/>
      <c r="I173" s="45" t="s">
        <v>1070</v>
      </c>
      <c r="J173" s="63"/>
      <c r="K173" s="368"/>
      <c r="L173" s="466"/>
      <c r="M173" s="563"/>
      <c r="AH173" s="3">
        <v>0</v>
      </c>
    </row>
    <row r="174" spans="1:34" ht="0.75" hidden="1" customHeight="1">
      <c r="C174" s="480" t="s">
        <v>1078</v>
      </c>
      <c r="D174" s="1152"/>
      <c r="E174" s="957"/>
      <c r="F174" s="1093"/>
      <c r="G174" s="572"/>
      <c r="H174" s="368"/>
      <c r="I174" s="45"/>
      <c r="J174" s="63"/>
      <c r="K174" s="368"/>
      <c r="L174" s="466"/>
      <c r="M174" s="563"/>
      <c r="AH174" s="3">
        <v>0</v>
      </c>
    </row>
    <row r="175" spans="1:34" ht="18.75" hidden="1" customHeight="1">
      <c r="A175" s="94" t="s">
        <v>148</v>
      </c>
      <c r="B175" s="94" t="s">
        <v>149</v>
      </c>
      <c r="D175" s="1152"/>
      <c r="E175" s="957"/>
      <c r="F175" s="1093" t="str">
        <f>INDEX(PT_DIFFERENTIATION_VTAR,MATCH(A175,PT_DIFFERENTIATION_VTAR_ID,0))</f>
        <v>Тариф на питьевую воду (питьевое водоснабжение)</v>
      </c>
      <c r="G175" s="1127" t="str">
        <f>INDEX(PT_DIFFERENTIATION_NTAR,MATCH(B175,PT_DIFFERENTIATION_NTAR_ID,0))</f>
        <v/>
      </c>
      <c r="H175" s="178"/>
      <c r="I175" s="568"/>
      <c r="J175" s="569"/>
      <c r="K175" s="193"/>
      <c r="L175" s="178" t="s">
        <v>229</v>
      </c>
      <c r="M175" s="563"/>
      <c r="AH175" s="3">
        <v>0</v>
      </c>
    </row>
    <row r="176" spans="1:34" ht="18.75" hidden="1" customHeight="1">
      <c r="C176" s="480" t="s">
        <v>1071</v>
      </c>
      <c r="D176" s="1152"/>
      <c r="E176" s="957"/>
      <c r="F176" s="1093"/>
      <c r="G176" s="1127"/>
      <c r="H176" s="368"/>
      <c r="I176" s="45" t="s">
        <v>1070</v>
      </c>
      <c r="J176" s="63"/>
      <c r="K176" s="368"/>
      <c r="L176" s="466"/>
      <c r="M176" s="563"/>
      <c r="AH176" s="3">
        <v>0</v>
      </c>
    </row>
    <row r="177" spans="1:34" ht="0.75" hidden="1" customHeight="1">
      <c r="C177" s="480" t="s">
        <v>1078</v>
      </c>
      <c r="D177" s="1152"/>
      <c r="E177" s="957"/>
      <c r="F177" s="1093"/>
      <c r="G177" s="572"/>
      <c r="H177" s="368"/>
      <c r="I177" s="45"/>
      <c r="J177" s="63"/>
      <c r="K177" s="368"/>
      <c r="L177" s="466"/>
      <c r="M177" s="563"/>
      <c r="AH177" s="3">
        <v>0</v>
      </c>
    </row>
    <row r="178" spans="1:34" ht="18.75" hidden="1" customHeight="1">
      <c r="A178" s="94" t="s">
        <v>153</v>
      </c>
      <c r="B178" s="94" t="s">
        <v>154</v>
      </c>
      <c r="D178" s="1152"/>
      <c r="E178" s="957"/>
      <c r="F178" s="1093" t="str">
        <f>INDEX(PT_DIFFERENTIATION_VTAR,MATCH(A178,PT_DIFFERENTIATION_VTAR_ID,0))</f>
        <v>Тариф на техническую воду</v>
      </c>
      <c r="G178" s="1127" t="str">
        <f>INDEX(PT_DIFFERENTIATION_NTAR,MATCH(B178,PT_DIFFERENTIATION_NTAR_ID,0))</f>
        <v/>
      </c>
      <c r="H178" s="178"/>
      <c r="I178" s="568"/>
      <c r="J178" s="569"/>
      <c r="K178" s="193"/>
      <c r="L178" s="178" t="s">
        <v>229</v>
      </c>
      <c r="M178" s="563"/>
      <c r="AH178" s="3">
        <v>0</v>
      </c>
    </row>
    <row r="179" spans="1:34" ht="18.75" hidden="1" customHeight="1">
      <c r="C179" s="480" t="s">
        <v>1071</v>
      </c>
      <c r="D179" s="1152"/>
      <c r="E179" s="957"/>
      <c r="F179" s="1093"/>
      <c r="G179" s="1127"/>
      <c r="H179" s="368"/>
      <c r="I179" s="45" t="s">
        <v>1070</v>
      </c>
      <c r="J179" s="63"/>
      <c r="K179" s="368"/>
      <c r="L179" s="466"/>
      <c r="M179" s="563"/>
      <c r="AH179" s="3">
        <v>0</v>
      </c>
    </row>
    <row r="180" spans="1:34" ht="0.75" hidden="1" customHeight="1">
      <c r="C180" s="480" t="s">
        <v>1078</v>
      </c>
      <c r="D180" s="1152"/>
      <c r="E180" s="957"/>
      <c r="F180" s="1093"/>
      <c r="G180" s="572"/>
      <c r="H180" s="368"/>
      <c r="I180" s="45"/>
      <c r="J180" s="63"/>
      <c r="K180" s="368"/>
      <c r="L180" s="466"/>
      <c r="M180" s="563"/>
      <c r="AH180" s="3">
        <v>0</v>
      </c>
    </row>
    <row r="181" spans="1:34" ht="18.75" hidden="1" customHeight="1">
      <c r="A181" s="94" t="s">
        <v>158</v>
      </c>
      <c r="B181" s="94" t="s">
        <v>159</v>
      </c>
      <c r="D181" s="1152"/>
      <c r="E181" s="957"/>
      <c r="F181" s="1093" t="str">
        <f>INDEX(PT_DIFFERENTIATION_VTAR,MATCH(A181,PT_DIFFERENTIATION_VTAR_ID,0))</f>
        <v>Тариф на транспортировку воды</v>
      </c>
      <c r="G181" s="1127" t="str">
        <f>INDEX(PT_DIFFERENTIATION_NTAR,MATCH(B181,PT_DIFFERENTIATION_NTAR_ID,0))</f>
        <v/>
      </c>
      <c r="H181" s="178"/>
      <c r="I181" s="568"/>
      <c r="J181" s="569"/>
      <c r="K181" s="193"/>
      <c r="L181" s="178" t="s">
        <v>229</v>
      </c>
      <c r="M181" s="563"/>
      <c r="AH181" s="3">
        <v>0</v>
      </c>
    </row>
    <row r="182" spans="1:34" ht="18.75" hidden="1" customHeight="1">
      <c r="C182" s="480" t="s">
        <v>1071</v>
      </c>
      <c r="D182" s="1152"/>
      <c r="E182" s="957"/>
      <c r="F182" s="1093"/>
      <c r="G182" s="1127"/>
      <c r="H182" s="368"/>
      <c r="I182" s="45" t="s">
        <v>1070</v>
      </c>
      <c r="J182" s="63"/>
      <c r="K182" s="368"/>
      <c r="L182" s="466"/>
      <c r="M182" s="563"/>
      <c r="AH182" s="3">
        <v>0</v>
      </c>
    </row>
    <row r="183" spans="1:34" ht="0.75" hidden="1" customHeight="1">
      <c r="C183" s="480" t="s">
        <v>1078</v>
      </c>
      <c r="D183" s="1152"/>
      <c r="E183" s="957"/>
      <c r="F183" s="1093"/>
      <c r="G183" s="572"/>
      <c r="H183" s="368"/>
      <c r="I183" s="45"/>
      <c r="J183" s="63"/>
      <c r="K183" s="368"/>
      <c r="L183" s="466"/>
      <c r="M183" s="563"/>
      <c r="AH183" s="3">
        <v>0</v>
      </c>
    </row>
    <row r="184" spans="1:34" ht="18.75" hidden="1" customHeight="1">
      <c r="A184" s="94" t="s">
        <v>163</v>
      </c>
      <c r="B184" s="94" t="s">
        <v>164</v>
      </c>
      <c r="D184" s="1152"/>
      <c r="E184" s="957"/>
      <c r="F184" s="1093" t="str">
        <f>INDEX(PT_DIFFERENTIATION_VTAR,MATCH(A184,PT_DIFFERENTIATION_VTAR_ID,0))</f>
        <v>Тариф на подвоз воды</v>
      </c>
      <c r="G184" s="1127" t="str">
        <f>INDEX(PT_DIFFERENTIATION_NTAR,MATCH(B184,PT_DIFFERENTIATION_NTAR_ID,0))</f>
        <v/>
      </c>
      <c r="H184" s="178"/>
      <c r="I184" s="568"/>
      <c r="J184" s="569"/>
      <c r="K184" s="193"/>
      <c r="L184" s="178" t="s">
        <v>229</v>
      </c>
      <c r="M184" s="563"/>
      <c r="AH184" s="3">
        <v>0</v>
      </c>
    </row>
    <row r="185" spans="1:34" ht="18.75" hidden="1" customHeight="1">
      <c r="C185" s="480" t="s">
        <v>1071</v>
      </c>
      <c r="D185" s="1152"/>
      <c r="E185" s="957"/>
      <c r="F185" s="1093"/>
      <c r="G185" s="1127"/>
      <c r="H185" s="368"/>
      <c r="I185" s="45" t="s">
        <v>1070</v>
      </c>
      <c r="J185" s="63"/>
      <c r="K185" s="368"/>
      <c r="L185" s="466"/>
      <c r="M185" s="563"/>
      <c r="AH185" s="3">
        <v>0</v>
      </c>
    </row>
    <row r="186" spans="1:34" ht="0.75" hidden="1" customHeight="1">
      <c r="C186" s="480" t="s">
        <v>1078</v>
      </c>
      <c r="D186" s="1152"/>
      <c r="E186" s="957"/>
      <c r="F186" s="1093"/>
      <c r="G186" s="572"/>
      <c r="H186" s="368"/>
      <c r="I186" s="45"/>
      <c r="J186" s="63"/>
      <c r="K186" s="368"/>
      <c r="L186" s="466"/>
      <c r="M186" s="563"/>
      <c r="AH186" s="3">
        <v>0</v>
      </c>
    </row>
    <row r="187" spans="1:34" ht="18.75" hidden="1" customHeight="1">
      <c r="A187" s="94" t="s">
        <v>168</v>
      </c>
      <c r="B187" s="94" t="s">
        <v>169</v>
      </c>
      <c r="D187" s="1152"/>
      <c r="E187" s="957"/>
      <c r="F187" s="109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1127" t="str">
        <f>INDEX(PT_DIFFERENTIATION_NTAR,MATCH(B187,PT_DIFFERENTIATION_NTAR_ID,0))</f>
        <v/>
      </c>
      <c r="H187" s="178"/>
      <c r="I187" s="568"/>
      <c r="J187" s="569"/>
      <c r="K187" s="193"/>
      <c r="L187" s="178" t="s">
        <v>229</v>
      </c>
      <c r="M187" s="563"/>
      <c r="AH187" s="3">
        <v>0</v>
      </c>
    </row>
    <row r="188" spans="1:34" ht="18.75" hidden="1" customHeight="1">
      <c r="C188" s="480" t="s">
        <v>1071</v>
      </c>
      <c r="D188" s="1152"/>
      <c r="E188" s="957"/>
      <c r="F188" s="1093"/>
      <c r="G188" s="1127"/>
      <c r="H188" s="368"/>
      <c r="I188" s="45" t="s">
        <v>1070</v>
      </c>
      <c r="J188" s="63"/>
      <c r="K188" s="368"/>
      <c r="L188" s="466"/>
      <c r="M188" s="563"/>
      <c r="AH188" s="3">
        <v>0</v>
      </c>
    </row>
    <row r="189" spans="1:34" ht="0.75" hidden="1" customHeight="1">
      <c r="C189" s="480" t="s">
        <v>1078</v>
      </c>
      <c r="D189" s="1152"/>
      <c r="E189" s="957"/>
      <c r="F189" s="1093"/>
      <c r="G189" s="572"/>
      <c r="H189" s="368"/>
      <c r="I189" s="45"/>
      <c r="J189" s="63"/>
      <c r="K189" s="368"/>
      <c r="L189" s="466"/>
      <c r="M189" s="563"/>
      <c r="AH189" s="3">
        <v>0</v>
      </c>
    </row>
    <row r="190" spans="1:34" ht="18.75" hidden="1" customHeight="1">
      <c r="A190" s="94" t="s">
        <v>173</v>
      </c>
      <c r="B190" s="94" t="s">
        <v>174</v>
      </c>
      <c r="D190" s="1152"/>
      <c r="E190" s="957"/>
      <c r="F190" s="1093" t="str">
        <f>INDEX(PT_DIFFERENTIATION_VTAR,MATCH(A190,PT_DIFFERENTIATION_VTAR_ID,0))</f>
        <v>Тариф на горячую воду (горячее водоснабжение)</v>
      </c>
      <c r="G190" s="1127" t="str">
        <f>INDEX(PT_DIFFERENTIATION_NTAR,MATCH(B190,PT_DIFFERENTIATION_NTAR_ID,0))</f>
        <v/>
      </c>
      <c r="H190" s="178"/>
      <c r="I190" s="568"/>
      <c r="J190" s="569"/>
      <c r="K190" s="193"/>
      <c r="L190" s="178" t="s">
        <v>229</v>
      </c>
      <c r="M190" s="563"/>
      <c r="AH190" s="3">
        <v>0</v>
      </c>
    </row>
    <row r="191" spans="1:34" ht="18.75" hidden="1" customHeight="1">
      <c r="C191" s="480" t="s">
        <v>1071</v>
      </c>
      <c r="D191" s="1152"/>
      <c r="E191" s="957"/>
      <c r="F191" s="1093"/>
      <c r="G191" s="1127"/>
      <c r="H191" s="368"/>
      <c r="I191" s="45" t="s">
        <v>1070</v>
      </c>
      <c r="J191" s="63"/>
      <c r="K191" s="368"/>
      <c r="L191" s="466"/>
      <c r="M191" s="563"/>
      <c r="AH191" s="3">
        <v>0</v>
      </c>
    </row>
    <row r="192" spans="1:34" ht="0.75" hidden="1" customHeight="1">
      <c r="C192" s="480" t="s">
        <v>1078</v>
      </c>
      <c r="D192" s="1152"/>
      <c r="E192" s="957"/>
      <c r="F192" s="1093"/>
      <c r="G192" s="572"/>
      <c r="H192" s="368"/>
      <c r="I192" s="45"/>
      <c r="J192" s="63"/>
      <c r="K192" s="368"/>
      <c r="L192" s="466"/>
      <c r="M192" s="563"/>
      <c r="AH192" s="3">
        <v>0</v>
      </c>
    </row>
    <row r="193" spans="1:34" ht="18.75" hidden="1" customHeight="1">
      <c r="A193" s="94" t="s">
        <v>178</v>
      </c>
      <c r="B193" s="94" t="s">
        <v>179</v>
      </c>
      <c r="D193" s="1152"/>
      <c r="E193" s="957"/>
      <c r="F193" s="1093" t="str">
        <f>INDEX(PT_DIFFERENTIATION_VTAR,MATCH(A193,PT_DIFFERENTIATION_VTAR_ID,0))</f>
        <v>Тариф на транспортировку горячей воды</v>
      </c>
      <c r="G193" s="1127" t="str">
        <f>INDEX(PT_DIFFERENTIATION_NTAR,MATCH(B193,PT_DIFFERENTIATION_NTAR_ID,0))</f>
        <v/>
      </c>
      <c r="H193" s="178"/>
      <c r="I193" s="568"/>
      <c r="J193" s="569"/>
      <c r="K193" s="193"/>
      <c r="L193" s="178" t="s">
        <v>229</v>
      </c>
      <c r="M193" s="563"/>
      <c r="AH193" s="3">
        <v>0</v>
      </c>
    </row>
    <row r="194" spans="1:34" ht="18.75" hidden="1" customHeight="1">
      <c r="C194" s="480" t="s">
        <v>1071</v>
      </c>
      <c r="D194" s="1152"/>
      <c r="E194" s="957"/>
      <c r="F194" s="1093"/>
      <c r="G194" s="1127"/>
      <c r="H194" s="368"/>
      <c r="I194" s="45" t="s">
        <v>1070</v>
      </c>
      <c r="J194" s="63"/>
      <c r="K194" s="368"/>
      <c r="L194" s="466"/>
      <c r="M194" s="563"/>
      <c r="AH194" s="3">
        <v>0</v>
      </c>
    </row>
    <row r="195" spans="1:34" ht="0.75" hidden="1" customHeight="1">
      <c r="C195" s="480" t="s">
        <v>1078</v>
      </c>
      <c r="D195" s="1152"/>
      <c r="E195" s="957"/>
      <c r="F195" s="1093"/>
      <c r="G195" s="572"/>
      <c r="H195" s="368"/>
      <c r="I195" s="45"/>
      <c r="J195" s="63"/>
      <c r="K195" s="368"/>
      <c r="L195" s="466"/>
      <c r="M195" s="563"/>
      <c r="AH195" s="3">
        <v>0</v>
      </c>
    </row>
    <row r="196" spans="1:34" ht="18.75" hidden="1" customHeight="1">
      <c r="A196" s="94" t="s">
        <v>183</v>
      </c>
      <c r="B196" s="94" t="s">
        <v>184</v>
      </c>
      <c r="D196" s="1152"/>
      <c r="E196" s="957"/>
      <c r="F196" s="1093" t="str">
        <f>INDEX(PT_DIFFERENTIATION_VTAR,MATCH(A196,PT_DIFFERENTIATION_VTAR_ID,0))</f>
        <v>Тариф на подключение (технологическое присоединение) к централизованной системе горячего водоснабжения</v>
      </c>
      <c r="G196" s="1127" t="str">
        <f>INDEX(PT_DIFFERENTIATION_NTAR,MATCH(B196,PT_DIFFERENTIATION_NTAR_ID,0))</f>
        <v/>
      </c>
      <c r="H196" s="178"/>
      <c r="I196" s="568"/>
      <c r="J196" s="569"/>
      <c r="K196" s="193"/>
      <c r="L196" s="178" t="s">
        <v>229</v>
      </c>
      <c r="M196" s="563"/>
      <c r="AH196" s="3">
        <v>0</v>
      </c>
    </row>
    <row r="197" spans="1:34" ht="18.75" hidden="1" customHeight="1">
      <c r="C197" s="480" t="s">
        <v>1071</v>
      </c>
      <c r="D197" s="1152"/>
      <c r="E197" s="957"/>
      <c r="F197" s="1093"/>
      <c r="G197" s="1127"/>
      <c r="H197" s="368"/>
      <c r="I197" s="45" t="s">
        <v>1070</v>
      </c>
      <c r="J197" s="63"/>
      <c r="K197" s="368"/>
      <c r="L197" s="466"/>
      <c r="M197" s="563"/>
      <c r="AH197" s="3">
        <v>0</v>
      </c>
    </row>
    <row r="198" spans="1:34" ht="0.75" hidden="1" customHeight="1">
      <c r="C198" s="480" t="s">
        <v>1078</v>
      </c>
      <c r="D198" s="1152"/>
      <c r="E198" s="957"/>
      <c r="F198" s="1093"/>
      <c r="G198" s="572"/>
      <c r="H198" s="368"/>
      <c r="I198" s="45"/>
      <c r="J198" s="63"/>
      <c r="K198" s="368"/>
      <c r="L198" s="466"/>
      <c r="M198" s="563"/>
      <c r="AH198" s="3">
        <v>0</v>
      </c>
    </row>
    <row r="199" spans="1:34" ht="18.75" hidden="1" customHeight="1">
      <c r="A199" s="94" t="s">
        <v>188</v>
      </c>
      <c r="B199" s="94" t="s">
        <v>189</v>
      </c>
      <c r="D199" s="1152"/>
      <c r="E199" s="957"/>
      <c r="F199" s="1093" t="str">
        <f>INDEX(PT_DIFFERENTIATION_VTAR,MATCH(A199,PT_DIFFERENTIATION_VTAR_ID,0))</f>
        <v>Тариф на водоотведение</v>
      </c>
      <c r="G199" s="1127" t="str">
        <f>INDEX(PT_DIFFERENTIATION_NTAR,MATCH(B199,PT_DIFFERENTIATION_NTAR_ID,0))</f>
        <v/>
      </c>
      <c r="H199" s="178"/>
      <c r="I199" s="568"/>
      <c r="J199" s="569"/>
      <c r="K199" s="193"/>
      <c r="L199" s="178" t="s">
        <v>229</v>
      </c>
      <c r="M199" s="563"/>
      <c r="AH199" s="3">
        <v>0</v>
      </c>
    </row>
    <row r="200" spans="1:34" ht="18.75" hidden="1" customHeight="1">
      <c r="C200" s="480" t="s">
        <v>1071</v>
      </c>
      <c r="D200" s="1152"/>
      <c r="E200" s="957"/>
      <c r="F200" s="1093"/>
      <c r="G200" s="1127"/>
      <c r="H200" s="368"/>
      <c r="I200" s="45" t="s">
        <v>1070</v>
      </c>
      <c r="J200" s="63"/>
      <c r="K200" s="368"/>
      <c r="L200" s="466"/>
      <c r="M200" s="563"/>
      <c r="AH200" s="3">
        <v>0</v>
      </c>
    </row>
    <row r="201" spans="1:34" ht="0.75" hidden="1" customHeight="1">
      <c r="C201" s="480" t="s">
        <v>1078</v>
      </c>
      <c r="D201" s="1152"/>
      <c r="E201" s="957"/>
      <c r="F201" s="1093"/>
      <c r="G201" s="572"/>
      <c r="H201" s="368"/>
      <c r="I201" s="45"/>
      <c r="J201" s="63"/>
      <c r="K201" s="368"/>
      <c r="L201" s="466"/>
      <c r="M201" s="563"/>
      <c r="AH201" s="3">
        <v>0</v>
      </c>
    </row>
    <row r="202" spans="1:34" ht="18.75" hidden="1" customHeight="1">
      <c r="A202" s="94" t="s">
        <v>193</v>
      </c>
      <c r="B202" s="94" t="s">
        <v>194</v>
      </c>
      <c r="D202" s="1152"/>
      <c r="E202" s="957"/>
      <c r="F202" s="1093" t="str">
        <f>INDEX(PT_DIFFERENTIATION_VTAR,MATCH(A202,PT_DIFFERENTIATION_VTAR_ID,0))</f>
        <v>Тариф на транспортировку сточных вод</v>
      </c>
      <c r="G202" s="1127" t="str">
        <f>INDEX(PT_DIFFERENTIATION_NTAR,MATCH(B202,PT_DIFFERENTIATION_NTAR_ID,0))</f>
        <v/>
      </c>
      <c r="H202" s="178"/>
      <c r="I202" s="568"/>
      <c r="J202" s="569"/>
      <c r="K202" s="193"/>
      <c r="L202" s="178" t="s">
        <v>229</v>
      </c>
      <c r="M202" s="563"/>
      <c r="AH202" s="3">
        <v>0</v>
      </c>
    </row>
    <row r="203" spans="1:34" ht="18.75" hidden="1" customHeight="1">
      <c r="C203" s="480" t="s">
        <v>1071</v>
      </c>
      <c r="D203" s="1152"/>
      <c r="E203" s="957"/>
      <c r="F203" s="1093"/>
      <c r="G203" s="1127"/>
      <c r="H203" s="368"/>
      <c r="I203" s="45" t="s">
        <v>1070</v>
      </c>
      <c r="J203" s="63"/>
      <c r="K203" s="368"/>
      <c r="L203" s="466"/>
      <c r="M203" s="563"/>
      <c r="AH203" s="3">
        <v>0</v>
      </c>
    </row>
    <row r="204" spans="1:34" ht="0.75" hidden="1" customHeight="1">
      <c r="C204" s="480" t="s">
        <v>1078</v>
      </c>
      <c r="D204" s="1152"/>
      <c r="E204" s="957"/>
      <c r="F204" s="1093"/>
      <c r="G204" s="572"/>
      <c r="H204" s="368"/>
      <c r="I204" s="45"/>
      <c r="J204" s="63"/>
      <c r="K204" s="368"/>
      <c r="L204" s="466"/>
      <c r="M204" s="563"/>
      <c r="AH204" s="3">
        <v>0</v>
      </c>
    </row>
    <row r="205" spans="1:34" ht="18.75" hidden="1" customHeight="1">
      <c r="A205" s="94" t="s">
        <v>198</v>
      </c>
      <c r="B205" s="94" t="s">
        <v>199</v>
      </c>
      <c r="D205" s="1152"/>
      <c r="E205" s="957"/>
      <c r="F205" s="1093" t="str">
        <f>INDEX(PT_DIFFERENTIATION_VTAR,MATCH(A205,PT_DIFFERENTIATION_VTAR_ID,0))</f>
        <v>Тариф на подключение (технологическое присоединение) к централизованной системе водоотведения</v>
      </c>
      <c r="G205" s="1127" t="str">
        <f>INDEX(PT_DIFFERENTIATION_NTAR,MATCH(B205,PT_DIFFERENTIATION_NTAR_ID,0))</f>
        <v/>
      </c>
      <c r="H205" s="178"/>
      <c r="I205" s="568"/>
      <c r="J205" s="569"/>
      <c r="K205" s="193"/>
      <c r="L205" s="178" t="s">
        <v>229</v>
      </c>
      <c r="M205" s="563"/>
      <c r="AH205" s="3">
        <v>0</v>
      </c>
    </row>
    <row r="206" spans="1:34" ht="18.75" hidden="1" customHeight="1">
      <c r="C206" s="480" t="s">
        <v>1071</v>
      </c>
      <c r="D206" s="1152"/>
      <c r="E206" s="957"/>
      <c r="F206" s="1093"/>
      <c r="G206" s="1127"/>
      <c r="H206" s="368"/>
      <c r="I206" s="45" t="s">
        <v>1070</v>
      </c>
      <c r="J206" s="63"/>
      <c r="K206" s="368"/>
      <c r="L206" s="466"/>
      <c r="M206" s="563"/>
      <c r="AH206" s="3">
        <v>0</v>
      </c>
    </row>
    <row r="207" spans="1:34" ht="1.1499999999999999" customHeight="1">
      <c r="C207" s="480" t="s">
        <v>1078</v>
      </c>
      <c r="D207" s="1152"/>
      <c r="E207" s="957"/>
      <c r="F207" s="1093"/>
      <c r="G207" s="572"/>
      <c r="H207" s="368"/>
      <c r="I207" s="45"/>
      <c r="J207" s="63"/>
      <c r="K207" s="368"/>
      <c r="L207" s="466"/>
      <c r="M207" s="563"/>
      <c r="AH207" s="3">
        <v>1</v>
      </c>
    </row>
    <row r="208" spans="1:34" ht="27.4" customHeight="1">
      <c r="D208" s="264"/>
      <c r="E208" s="117" t="s">
        <v>40</v>
      </c>
      <c r="F208" s="115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1151"/>
      <c r="H208" s="1151"/>
      <c r="I208" s="1151"/>
      <c r="J208" s="1151"/>
      <c r="K208" s="1151"/>
      <c r="L208" s="1151"/>
      <c r="M208" s="458"/>
      <c r="AH208" s="3">
        <v>26</v>
      </c>
    </row>
    <row r="209" spans="1:34" ht="60.75" hidden="1" customHeight="1">
      <c r="A209" s="94" t="s">
        <v>80</v>
      </c>
      <c r="B209" s="94" t="s">
        <v>81</v>
      </c>
      <c r="D209" s="1152"/>
      <c r="E209" s="957"/>
      <c r="F209" s="109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1127" t="str">
        <f>INDEX(PT_DIFFERENTIATION_NTAR,MATCH(B209,PT_DIFFERENTIATION_NTAR_ID,0))</f>
        <v/>
      </c>
      <c r="H209" s="178"/>
      <c r="I209" s="568"/>
      <c r="J209" s="569"/>
      <c r="K209" s="193"/>
      <c r="L209" s="178" t="s">
        <v>229</v>
      </c>
      <c r="M209" s="9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AH209" s="3">
        <v>0</v>
      </c>
    </row>
    <row r="210" spans="1:34" ht="18.75" hidden="1" customHeight="1">
      <c r="C210" s="480" t="s">
        <v>1071</v>
      </c>
      <c r="D210" s="1152"/>
      <c r="E210" s="957"/>
      <c r="F210" s="1093"/>
      <c r="G210" s="1127"/>
      <c r="H210" s="368"/>
      <c r="I210" s="45" t="s">
        <v>1070</v>
      </c>
      <c r="J210" s="63"/>
      <c r="K210" s="368"/>
      <c r="L210" s="466"/>
      <c r="M210" s="921"/>
      <c r="AH210" s="3">
        <v>0</v>
      </c>
    </row>
    <row r="211" spans="1:34" ht="0.75" hidden="1" customHeight="1">
      <c r="C211" s="480" t="s">
        <v>1078</v>
      </c>
      <c r="D211" s="1152"/>
      <c r="E211" s="957"/>
      <c r="F211" s="1093"/>
      <c r="G211" s="572"/>
      <c r="H211" s="368"/>
      <c r="I211" s="45"/>
      <c r="J211" s="63"/>
      <c r="K211" s="368"/>
      <c r="L211" s="466"/>
      <c r="M211" s="921"/>
      <c r="AH211" s="3">
        <v>0</v>
      </c>
    </row>
    <row r="212" spans="1:34" ht="45" hidden="1" customHeight="1">
      <c r="A212" s="94" t="s">
        <v>85</v>
      </c>
      <c r="B212" s="94" t="s">
        <v>86</v>
      </c>
      <c r="D212" s="1152"/>
      <c r="E212" s="957"/>
      <c r="F212" s="1093" t="str">
        <f>INDEX(PT_DIFFERENTIATION_VTAR,MATCH(A212,PT_DIFFERENTIATION_VTAR_ID,0))</f>
        <v/>
      </c>
      <c r="G212" s="1127" t="str">
        <f>INDEX(PT_DIFFERENTIATION_NTAR,MATCH(B212,PT_DIFFERENTIATION_NTAR_ID,0))</f>
        <v/>
      </c>
      <c r="H212" s="178"/>
      <c r="I212" s="568"/>
      <c r="J212" s="569"/>
      <c r="K212" s="193"/>
      <c r="L212" s="178" t="s">
        <v>229</v>
      </c>
      <c r="M212" s="922"/>
      <c r="AH212" s="3">
        <v>0</v>
      </c>
    </row>
    <row r="213" spans="1:34" ht="18.75" hidden="1" customHeight="1">
      <c r="C213" s="480" t="s">
        <v>1071</v>
      </c>
      <c r="D213" s="1152"/>
      <c r="E213" s="957"/>
      <c r="F213" s="1093"/>
      <c r="G213" s="1127"/>
      <c r="H213" s="368"/>
      <c r="I213" s="45" t="s">
        <v>1070</v>
      </c>
      <c r="J213" s="63"/>
      <c r="K213" s="368"/>
      <c r="L213" s="466"/>
      <c r="M213" s="85"/>
      <c r="AH213" s="3">
        <v>0</v>
      </c>
    </row>
    <row r="214" spans="1:34" ht="0.75" hidden="1" customHeight="1">
      <c r="C214" s="480" t="s">
        <v>1078</v>
      </c>
      <c r="D214" s="1152"/>
      <c r="E214" s="957"/>
      <c r="F214" s="1093"/>
      <c r="G214" s="572"/>
      <c r="H214" s="368"/>
      <c r="I214" s="45"/>
      <c r="J214" s="63"/>
      <c r="K214" s="368"/>
      <c r="L214" s="466"/>
      <c r="M214" s="563"/>
      <c r="AH214" s="3">
        <v>0</v>
      </c>
    </row>
    <row r="215" spans="1:34" ht="45" hidden="1" customHeight="1">
      <c r="A215" s="94" t="s">
        <v>92</v>
      </c>
      <c r="B215" s="94" t="s">
        <v>93</v>
      </c>
      <c r="D215" s="1152"/>
      <c r="E215" s="957"/>
      <c r="F215" s="109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1127" t="str">
        <f>INDEX(PT_DIFFERENTIATION_NTAR,MATCH(B215,PT_DIFFERENTIATION_NTAR_ID,0))</f>
        <v/>
      </c>
      <c r="H215" s="178"/>
      <c r="I215" s="568"/>
      <c r="J215" s="569"/>
      <c r="K215" s="193"/>
      <c r="L215" s="178" t="s">
        <v>229</v>
      </c>
      <c r="M215" s="563"/>
      <c r="AH215" s="3">
        <v>0</v>
      </c>
    </row>
    <row r="216" spans="1:34" ht="18.75" hidden="1" customHeight="1">
      <c r="C216" s="480" t="s">
        <v>1071</v>
      </c>
      <c r="D216" s="1152"/>
      <c r="E216" s="957"/>
      <c r="F216" s="1093"/>
      <c r="G216" s="1127"/>
      <c r="H216" s="368"/>
      <c r="I216" s="45" t="s">
        <v>1070</v>
      </c>
      <c r="J216" s="63"/>
      <c r="K216" s="368"/>
      <c r="L216" s="466"/>
      <c r="M216" s="563"/>
      <c r="AH216" s="3">
        <v>0</v>
      </c>
    </row>
    <row r="217" spans="1:34" ht="0.75" hidden="1" customHeight="1">
      <c r="C217" s="480" t="s">
        <v>1078</v>
      </c>
      <c r="D217" s="1152"/>
      <c r="E217" s="957"/>
      <c r="F217" s="1093"/>
      <c r="G217" s="572"/>
      <c r="H217" s="368"/>
      <c r="I217" s="45"/>
      <c r="J217" s="63"/>
      <c r="K217" s="368"/>
      <c r="L217" s="466"/>
      <c r="M217" s="563"/>
      <c r="AH217" s="3">
        <v>0</v>
      </c>
    </row>
    <row r="218" spans="1:34" ht="45" hidden="1" customHeight="1">
      <c r="A218" s="94" t="s">
        <v>98</v>
      </c>
      <c r="B218" s="94" t="s">
        <v>99</v>
      </c>
      <c r="D218" s="1152"/>
      <c r="E218" s="957"/>
      <c r="F218" s="109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1127" t="str">
        <f>INDEX(PT_DIFFERENTIATION_NTAR,MATCH(B218,PT_DIFFERENTIATION_NTAR_ID,0))</f>
        <v/>
      </c>
      <c r="H218" s="178"/>
      <c r="I218" s="568"/>
      <c r="J218" s="569"/>
      <c r="K218" s="193"/>
      <c r="L218" s="178" t="s">
        <v>229</v>
      </c>
      <c r="M218" s="563"/>
      <c r="AH218" s="3">
        <v>0</v>
      </c>
    </row>
    <row r="219" spans="1:34" ht="18.75" hidden="1" customHeight="1">
      <c r="C219" s="480" t="s">
        <v>1071</v>
      </c>
      <c r="D219" s="1152"/>
      <c r="E219" s="957"/>
      <c r="F219" s="1093"/>
      <c r="G219" s="1127"/>
      <c r="H219" s="368"/>
      <c r="I219" s="45" t="s">
        <v>1070</v>
      </c>
      <c r="J219" s="63"/>
      <c r="K219" s="368"/>
      <c r="L219" s="466"/>
      <c r="M219" s="563"/>
      <c r="AH219" s="3">
        <v>0</v>
      </c>
    </row>
    <row r="220" spans="1:34" ht="0.75" hidden="1" customHeight="1">
      <c r="C220" s="480" t="s">
        <v>1078</v>
      </c>
      <c r="D220" s="1152"/>
      <c r="E220" s="957"/>
      <c r="F220" s="1093"/>
      <c r="G220" s="572"/>
      <c r="H220" s="368"/>
      <c r="I220" s="45"/>
      <c r="J220" s="63"/>
      <c r="K220" s="368"/>
      <c r="L220" s="466"/>
      <c r="M220" s="563"/>
      <c r="AH220" s="3">
        <v>0</v>
      </c>
    </row>
    <row r="221" spans="1:34" ht="18.75" hidden="1" customHeight="1">
      <c r="A221" s="94" t="s">
        <v>104</v>
      </c>
      <c r="B221" s="94" t="s">
        <v>105</v>
      </c>
      <c r="D221" s="1152"/>
      <c r="E221" s="957"/>
      <c r="F221" s="1093" t="str">
        <f>INDEX(PT_DIFFERENTIATION_VTAR,MATCH(A221,PT_DIFFERENTIATION_VTAR_ID,0))</f>
        <v>Тарифы на услуги по передаче тепловой энергии</v>
      </c>
      <c r="G221" s="1127" t="str">
        <f>INDEX(PT_DIFFERENTIATION_NTAR,MATCH(B221,PT_DIFFERENTIATION_NTAR_ID,0))</f>
        <v/>
      </c>
      <c r="H221" s="178"/>
      <c r="I221" s="568"/>
      <c r="J221" s="569"/>
      <c r="K221" s="193"/>
      <c r="L221" s="178" t="s">
        <v>229</v>
      </c>
      <c r="M221" s="563"/>
      <c r="AH221" s="3">
        <v>0</v>
      </c>
    </row>
    <row r="222" spans="1:34" ht="18.75" hidden="1" customHeight="1">
      <c r="C222" s="480" t="s">
        <v>1071</v>
      </c>
      <c r="D222" s="1152"/>
      <c r="E222" s="957"/>
      <c r="F222" s="1093"/>
      <c r="G222" s="1127"/>
      <c r="H222" s="368"/>
      <c r="I222" s="45" t="s">
        <v>1070</v>
      </c>
      <c r="J222" s="63"/>
      <c r="K222" s="368"/>
      <c r="L222" s="466"/>
      <c r="M222" s="563"/>
      <c r="AH222" s="3">
        <v>0</v>
      </c>
    </row>
    <row r="223" spans="1:34" ht="0.75" hidden="1" customHeight="1">
      <c r="C223" s="480" t="s">
        <v>1078</v>
      </c>
      <c r="D223" s="1152"/>
      <c r="E223" s="957"/>
      <c r="F223" s="1093"/>
      <c r="G223" s="572"/>
      <c r="H223" s="368"/>
      <c r="I223" s="45"/>
      <c r="J223" s="63"/>
      <c r="K223" s="368"/>
      <c r="L223" s="466"/>
      <c r="M223" s="563"/>
      <c r="AH223" s="3">
        <v>0</v>
      </c>
    </row>
    <row r="224" spans="1:34" ht="18.75" hidden="1" customHeight="1">
      <c r="A224" s="94" t="s">
        <v>110</v>
      </c>
      <c r="B224" s="94" t="s">
        <v>111</v>
      </c>
      <c r="D224" s="1152"/>
      <c r="E224" s="957"/>
      <c r="F224" s="1093" t="str">
        <f>INDEX(PT_DIFFERENTIATION_VTAR,MATCH(A224,PT_DIFFERENTIATION_VTAR_ID,0))</f>
        <v>Тарифы на услуги по передаче теплоносителя</v>
      </c>
      <c r="G224" s="1127" t="str">
        <f>INDEX(PT_DIFFERENTIATION_NTAR,MATCH(B224,PT_DIFFERENTIATION_NTAR_ID,0))</f>
        <v/>
      </c>
      <c r="H224" s="178"/>
      <c r="I224" s="568"/>
      <c r="J224" s="569"/>
      <c r="K224" s="193"/>
      <c r="L224" s="178" t="s">
        <v>229</v>
      </c>
      <c r="M224" s="563"/>
      <c r="AH224" s="3">
        <v>0</v>
      </c>
    </row>
    <row r="225" spans="1:34" ht="18.75" hidden="1" customHeight="1">
      <c r="C225" s="480" t="s">
        <v>1071</v>
      </c>
      <c r="D225" s="1152"/>
      <c r="E225" s="957"/>
      <c r="F225" s="1093"/>
      <c r="G225" s="1127"/>
      <c r="H225" s="368"/>
      <c r="I225" s="45" t="s">
        <v>1070</v>
      </c>
      <c r="J225" s="63"/>
      <c r="K225" s="368"/>
      <c r="L225" s="466"/>
      <c r="M225" s="563"/>
      <c r="AH225" s="3">
        <v>0</v>
      </c>
    </row>
    <row r="226" spans="1:34" ht="0.75" hidden="1" customHeight="1">
      <c r="C226" s="480" t="s">
        <v>1078</v>
      </c>
      <c r="D226" s="1152"/>
      <c r="E226" s="957"/>
      <c r="F226" s="1093"/>
      <c r="G226" s="572"/>
      <c r="H226" s="368"/>
      <c r="I226" s="45"/>
      <c r="J226" s="63"/>
      <c r="K226" s="368"/>
      <c r="L226" s="466"/>
      <c r="M226" s="563"/>
      <c r="AH226" s="3">
        <v>0</v>
      </c>
    </row>
    <row r="227" spans="1:34" ht="18.75" hidden="1" customHeight="1">
      <c r="A227" s="94" t="s">
        <v>116</v>
      </c>
      <c r="B227" s="94" t="s">
        <v>117</v>
      </c>
      <c r="D227" s="1152"/>
      <c r="E227" s="957"/>
      <c r="F227" s="109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1127" t="str">
        <f>INDEX(PT_DIFFERENTIATION_NTAR,MATCH(B227,PT_DIFFERENTIATION_NTAR_ID,0))</f>
        <v/>
      </c>
      <c r="H227" s="178"/>
      <c r="I227" s="568"/>
      <c r="J227" s="569"/>
      <c r="K227" s="193"/>
      <c r="L227" s="178" t="s">
        <v>229</v>
      </c>
      <c r="M227" s="563"/>
      <c r="AH227" s="3">
        <v>0</v>
      </c>
    </row>
    <row r="228" spans="1:34" ht="18.75" hidden="1" customHeight="1">
      <c r="C228" s="480" t="s">
        <v>1071</v>
      </c>
      <c r="D228" s="1152"/>
      <c r="E228" s="957"/>
      <c r="F228" s="1093"/>
      <c r="G228" s="1127"/>
      <c r="H228" s="368"/>
      <c r="I228" s="45" t="s">
        <v>1070</v>
      </c>
      <c r="J228" s="63"/>
      <c r="K228" s="368"/>
      <c r="L228" s="466"/>
      <c r="M228" s="563"/>
      <c r="AH228" s="3">
        <v>0</v>
      </c>
    </row>
    <row r="229" spans="1:34" ht="0.75" hidden="1" customHeight="1">
      <c r="C229" s="480" t="s">
        <v>1078</v>
      </c>
      <c r="D229" s="1152"/>
      <c r="E229" s="957"/>
      <c r="F229" s="1093"/>
      <c r="G229" s="572"/>
      <c r="H229" s="368"/>
      <c r="I229" s="45"/>
      <c r="J229" s="63"/>
      <c r="K229" s="368"/>
      <c r="L229" s="466"/>
      <c r="M229" s="563"/>
      <c r="AH229" s="3">
        <v>0</v>
      </c>
    </row>
    <row r="230" spans="1:34" ht="18.75" hidden="1" customHeight="1">
      <c r="A230" s="94" t="s">
        <v>122</v>
      </c>
      <c r="B230" s="94" t="s">
        <v>123</v>
      </c>
      <c r="D230" s="1152"/>
      <c r="E230" s="957"/>
      <c r="F230" s="1093" t="str">
        <f>INDEX(PT_DIFFERENTIATION_VTAR,MATCH(A230,PT_DIFFERENTIATION_VTAR_ID,0))</f>
        <v>Плата за подключение (технологическое присоединение) к системе теплоснабжения</v>
      </c>
      <c r="G230" s="1127" t="str">
        <f>INDEX(PT_DIFFERENTIATION_NTAR,MATCH(B230,PT_DIFFERENTIATION_NTAR_ID,0))</f>
        <v/>
      </c>
      <c r="H230" s="178"/>
      <c r="I230" s="568"/>
      <c r="J230" s="569"/>
      <c r="K230" s="193"/>
      <c r="L230" s="178" t="s">
        <v>229</v>
      </c>
      <c r="M230" s="563"/>
      <c r="AH230" s="3">
        <v>0</v>
      </c>
    </row>
    <row r="231" spans="1:34" ht="18.75" hidden="1" customHeight="1">
      <c r="C231" s="480" t="s">
        <v>1071</v>
      </c>
      <c r="D231" s="1152"/>
      <c r="E231" s="957"/>
      <c r="F231" s="1093"/>
      <c r="G231" s="1127"/>
      <c r="H231" s="368"/>
      <c r="I231" s="45" t="s">
        <v>1070</v>
      </c>
      <c r="J231" s="63"/>
      <c r="K231" s="368"/>
      <c r="L231" s="466"/>
      <c r="M231" s="563"/>
      <c r="AH231" s="3">
        <v>0</v>
      </c>
    </row>
    <row r="232" spans="1:34" ht="0.75" hidden="1" customHeight="1">
      <c r="C232" s="480" t="s">
        <v>1078</v>
      </c>
      <c r="D232" s="1152"/>
      <c r="E232" s="957"/>
      <c r="F232" s="1093"/>
      <c r="G232" s="572"/>
      <c r="H232" s="368"/>
      <c r="I232" s="45"/>
      <c r="J232" s="63"/>
      <c r="K232" s="368"/>
      <c r="L232" s="466"/>
      <c r="M232" s="563"/>
      <c r="AH232" s="3">
        <v>0</v>
      </c>
    </row>
    <row r="233" spans="1:34" ht="18.75" hidden="1" customHeight="1">
      <c r="A233" s="94" t="s">
        <v>128</v>
      </c>
      <c r="B233" s="94" t="s">
        <v>129</v>
      </c>
      <c r="D233" s="1152"/>
      <c r="E233" s="957"/>
      <c r="F233" s="1093" t="str">
        <f>INDEX(PT_DIFFERENTIATION_VTAR,MATCH(A233,PT_DIFFERENTIATION_VTAR_ID,0))</f>
        <v>Плата за подключение (технологическое присоединение) к системе теплоснабжения (индивидуальная)</v>
      </c>
      <c r="G233" s="1127" t="str">
        <f>INDEX(PT_DIFFERENTIATION_NTAR,MATCH(B233,PT_DIFFERENTIATION_NTAR_ID,0))</f>
        <v/>
      </c>
      <c r="H233" s="178"/>
      <c r="I233" s="568"/>
      <c r="J233" s="569"/>
      <c r="K233" s="193"/>
      <c r="L233" s="178" t="s">
        <v>229</v>
      </c>
      <c r="M233" s="563"/>
      <c r="AH233" s="3">
        <v>0</v>
      </c>
    </row>
    <row r="234" spans="1:34" ht="18.75" hidden="1" customHeight="1">
      <c r="C234" s="480" t="s">
        <v>1071</v>
      </c>
      <c r="D234" s="1152"/>
      <c r="E234" s="957"/>
      <c r="F234" s="1093"/>
      <c r="G234" s="1127"/>
      <c r="H234" s="368"/>
      <c r="I234" s="45" t="s">
        <v>1070</v>
      </c>
      <c r="J234" s="63"/>
      <c r="K234" s="368"/>
      <c r="L234" s="466"/>
      <c r="M234" s="563"/>
      <c r="AH234" s="3">
        <v>0</v>
      </c>
    </row>
    <row r="235" spans="1:34" ht="0.75" hidden="1" customHeight="1">
      <c r="C235" s="480" t="s">
        <v>1078</v>
      </c>
      <c r="D235" s="1152"/>
      <c r="E235" s="957"/>
      <c r="F235" s="1093"/>
      <c r="G235" s="572"/>
      <c r="H235" s="368"/>
      <c r="I235" s="45"/>
      <c r="J235" s="63"/>
      <c r="K235" s="368"/>
      <c r="L235" s="466"/>
      <c r="M235" s="563"/>
      <c r="AH235" s="3">
        <v>0</v>
      </c>
    </row>
    <row r="236" spans="1:34" ht="18.75" hidden="1" customHeight="1">
      <c r="A236" s="94" t="s">
        <v>148</v>
      </c>
      <c r="B236" s="94" t="s">
        <v>149</v>
      </c>
      <c r="D236" s="1152"/>
      <c r="E236" s="957"/>
      <c r="F236" s="1093" t="str">
        <f>INDEX(PT_DIFFERENTIATION_VTAR,MATCH(A236,PT_DIFFERENTIATION_VTAR_ID,0))</f>
        <v>Тариф на питьевую воду (питьевое водоснабжение)</v>
      </c>
      <c r="G236" s="1127" t="str">
        <f>INDEX(PT_DIFFERENTIATION_NTAR,MATCH(B236,PT_DIFFERENTIATION_NTAR_ID,0))</f>
        <v/>
      </c>
      <c r="H236" s="178"/>
      <c r="I236" s="568"/>
      <c r="J236" s="569"/>
      <c r="K236" s="193"/>
      <c r="L236" s="178" t="s">
        <v>229</v>
      </c>
      <c r="M236" s="563"/>
      <c r="AH236" s="3">
        <v>0</v>
      </c>
    </row>
    <row r="237" spans="1:34" ht="18.75" hidden="1" customHeight="1">
      <c r="C237" s="480" t="s">
        <v>1071</v>
      </c>
      <c r="D237" s="1152"/>
      <c r="E237" s="957"/>
      <c r="F237" s="1093"/>
      <c r="G237" s="1127"/>
      <c r="H237" s="368"/>
      <c r="I237" s="45" t="s">
        <v>1070</v>
      </c>
      <c r="J237" s="63"/>
      <c r="K237" s="368"/>
      <c r="L237" s="466"/>
      <c r="M237" s="563"/>
      <c r="AH237" s="3">
        <v>0</v>
      </c>
    </row>
    <row r="238" spans="1:34" ht="0.75" hidden="1" customHeight="1">
      <c r="C238" s="480" t="s">
        <v>1078</v>
      </c>
      <c r="D238" s="1152"/>
      <c r="E238" s="957"/>
      <c r="F238" s="1093"/>
      <c r="G238" s="572"/>
      <c r="H238" s="368"/>
      <c r="I238" s="45"/>
      <c r="J238" s="63"/>
      <c r="K238" s="368"/>
      <c r="L238" s="466"/>
      <c r="M238" s="563"/>
      <c r="AH238" s="3">
        <v>0</v>
      </c>
    </row>
    <row r="239" spans="1:34" ht="18.75" hidden="1" customHeight="1">
      <c r="A239" s="94" t="s">
        <v>153</v>
      </c>
      <c r="B239" s="94" t="s">
        <v>154</v>
      </c>
      <c r="D239" s="1152"/>
      <c r="E239" s="957"/>
      <c r="F239" s="1093" t="str">
        <f>INDEX(PT_DIFFERENTIATION_VTAR,MATCH(A239,PT_DIFFERENTIATION_VTAR_ID,0))</f>
        <v>Тариф на техническую воду</v>
      </c>
      <c r="G239" s="1127" t="str">
        <f>INDEX(PT_DIFFERENTIATION_NTAR,MATCH(B239,PT_DIFFERENTIATION_NTAR_ID,0))</f>
        <v/>
      </c>
      <c r="H239" s="178"/>
      <c r="I239" s="568"/>
      <c r="J239" s="569"/>
      <c r="K239" s="193"/>
      <c r="L239" s="178" t="s">
        <v>229</v>
      </c>
      <c r="M239" s="563"/>
      <c r="AH239" s="3">
        <v>0</v>
      </c>
    </row>
    <row r="240" spans="1:34" ht="18.75" hidden="1" customHeight="1">
      <c r="C240" s="480" t="s">
        <v>1071</v>
      </c>
      <c r="D240" s="1152"/>
      <c r="E240" s="957"/>
      <c r="F240" s="1093"/>
      <c r="G240" s="1127"/>
      <c r="H240" s="368"/>
      <c r="I240" s="45" t="s">
        <v>1070</v>
      </c>
      <c r="J240" s="63"/>
      <c r="K240" s="368"/>
      <c r="L240" s="466"/>
      <c r="M240" s="563"/>
      <c r="AH240" s="3">
        <v>0</v>
      </c>
    </row>
    <row r="241" spans="1:34" ht="0.75" hidden="1" customHeight="1">
      <c r="C241" s="480" t="s">
        <v>1078</v>
      </c>
      <c r="D241" s="1152"/>
      <c r="E241" s="957"/>
      <c r="F241" s="1093"/>
      <c r="G241" s="572"/>
      <c r="H241" s="368"/>
      <c r="I241" s="45"/>
      <c r="J241" s="63"/>
      <c r="K241" s="368"/>
      <c r="L241" s="466"/>
      <c r="M241" s="563"/>
      <c r="AH241" s="3">
        <v>0</v>
      </c>
    </row>
    <row r="242" spans="1:34" ht="18.75" hidden="1" customHeight="1">
      <c r="A242" s="94" t="s">
        <v>158</v>
      </c>
      <c r="B242" s="94" t="s">
        <v>159</v>
      </c>
      <c r="D242" s="1152"/>
      <c r="E242" s="957"/>
      <c r="F242" s="1093" t="str">
        <f>INDEX(PT_DIFFERENTIATION_VTAR,MATCH(A242,PT_DIFFERENTIATION_VTAR_ID,0))</f>
        <v>Тариф на транспортировку воды</v>
      </c>
      <c r="G242" s="1127" t="str">
        <f>INDEX(PT_DIFFERENTIATION_NTAR,MATCH(B242,PT_DIFFERENTIATION_NTAR_ID,0))</f>
        <v/>
      </c>
      <c r="H242" s="178"/>
      <c r="I242" s="568"/>
      <c r="J242" s="569"/>
      <c r="K242" s="193"/>
      <c r="L242" s="178" t="s">
        <v>229</v>
      </c>
      <c r="M242" s="563"/>
      <c r="AH242" s="3">
        <v>0</v>
      </c>
    </row>
    <row r="243" spans="1:34" ht="18.75" hidden="1" customHeight="1">
      <c r="C243" s="480" t="s">
        <v>1071</v>
      </c>
      <c r="D243" s="1152"/>
      <c r="E243" s="957"/>
      <c r="F243" s="1093"/>
      <c r="G243" s="1127"/>
      <c r="H243" s="368"/>
      <c r="I243" s="45" t="s">
        <v>1070</v>
      </c>
      <c r="J243" s="63"/>
      <c r="K243" s="368"/>
      <c r="L243" s="466"/>
      <c r="M243" s="563"/>
      <c r="AH243" s="3">
        <v>0</v>
      </c>
    </row>
    <row r="244" spans="1:34" ht="0.75" hidden="1" customHeight="1">
      <c r="C244" s="480" t="s">
        <v>1078</v>
      </c>
      <c r="D244" s="1152"/>
      <c r="E244" s="957"/>
      <c r="F244" s="1093"/>
      <c r="G244" s="572"/>
      <c r="H244" s="368"/>
      <c r="I244" s="45"/>
      <c r="J244" s="63"/>
      <c r="K244" s="368"/>
      <c r="L244" s="466"/>
      <c r="M244" s="563"/>
      <c r="AH244" s="3">
        <v>0</v>
      </c>
    </row>
    <row r="245" spans="1:34" ht="18.75" hidden="1" customHeight="1">
      <c r="A245" s="94" t="s">
        <v>163</v>
      </c>
      <c r="B245" s="94" t="s">
        <v>164</v>
      </c>
      <c r="D245" s="1152"/>
      <c r="E245" s="957"/>
      <c r="F245" s="1093" t="str">
        <f>INDEX(PT_DIFFERENTIATION_VTAR,MATCH(A245,PT_DIFFERENTIATION_VTAR_ID,0))</f>
        <v>Тариф на подвоз воды</v>
      </c>
      <c r="G245" s="1127" t="str">
        <f>INDEX(PT_DIFFERENTIATION_NTAR,MATCH(B245,PT_DIFFERENTIATION_NTAR_ID,0))</f>
        <v/>
      </c>
      <c r="H245" s="178"/>
      <c r="I245" s="568"/>
      <c r="J245" s="569"/>
      <c r="K245" s="193"/>
      <c r="L245" s="178" t="s">
        <v>229</v>
      </c>
      <c r="M245" s="563"/>
      <c r="AH245" s="3">
        <v>0</v>
      </c>
    </row>
    <row r="246" spans="1:34" ht="18.75" hidden="1" customHeight="1">
      <c r="C246" s="480" t="s">
        <v>1071</v>
      </c>
      <c r="D246" s="1152"/>
      <c r="E246" s="957"/>
      <c r="F246" s="1093"/>
      <c r="G246" s="1127"/>
      <c r="H246" s="368"/>
      <c r="I246" s="45" t="s">
        <v>1070</v>
      </c>
      <c r="J246" s="63"/>
      <c r="K246" s="368"/>
      <c r="L246" s="466"/>
      <c r="M246" s="563"/>
      <c r="AH246" s="3">
        <v>0</v>
      </c>
    </row>
    <row r="247" spans="1:34" ht="0.75" hidden="1" customHeight="1">
      <c r="C247" s="480" t="s">
        <v>1078</v>
      </c>
      <c r="D247" s="1152"/>
      <c r="E247" s="957"/>
      <c r="F247" s="1093"/>
      <c r="G247" s="572"/>
      <c r="H247" s="368"/>
      <c r="I247" s="45"/>
      <c r="J247" s="63"/>
      <c r="K247" s="368"/>
      <c r="L247" s="466"/>
      <c r="M247" s="563"/>
      <c r="AH247" s="3">
        <v>0</v>
      </c>
    </row>
    <row r="248" spans="1:34" ht="18.75" hidden="1" customHeight="1">
      <c r="A248" s="94" t="s">
        <v>168</v>
      </c>
      <c r="B248" s="94" t="s">
        <v>169</v>
      </c>
      <c r="D248" s="1152"/>
      <c r="E248" s="957"/>
      <c r="F248" s="109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1127" t="str">
        <f>INDEX(PT_DIFFERENTIATION_NTAR,MATCH(B248,PT_DIFFERENTIATION_NTAR_ID,0))</f>
        <v/>
      </c>
      <c r="H248" s="178"/>
      <c r="I248" s="568"/>
      <c r="J248" s="569"/>
      <c r="K248" s="193"/>
      <c r="L248" s="178" t="s">
        <v>229</v>
      </c>
      <c r="M248" s="563"/>
      <c r="AH248" s="3">
        <v>0</v>
      </c>
    </row>
    <row r="249" spans="1:34" ht="18.75" hidden="1" customHeight="1">
      <c r="C249" s="480" t="s">
        <v>1071</v>
      </c>
      <c r="D249" s="1152"/>
      <c r="E249" s="957"/>
      <c r="F249" s="1093"/>
      <c r="G249" s="1127"/>
      <c r="H249" s="368"/>
      <c r="I249" s="45" t="s">
        <v>1070</v>
      </c>
      <c r="J249" s="63"/>
      <c r="K249" s="368"/>
      <c r="L249" s="466"/>
      <c r="M249" s="563"/>
      <c r="AH249" s="3">
        <v>0</v>
      </c>
    </row>
    <row r="250" spans="1:34" ht="0.75" hidden="1" customHeight="1">
      <c r="C250" s="480" t="s">
        <v>1078</v>
      </c>
      <c r="D250" s="1152"/>
      <c r="E250" s="957"/>
      <c r="F250" s="1093"/>
      <c r="G250" s="572"/>
      <c r="H250" s="368"/>
      <c r="I250" s="45"/>
      <c r="J250" s="63"/>
      <c r="K250" s="368"/>
      <c r="L250" s="466"/>
      <c r="M250" s="563"/>
      <c r="AH250" s="3">
        <v>0</v>
      </c>
    </row>
    <row r="251" spans="1:34" ht="18.75" hidden="1" customHeight="1">
      <c r="A251" s="94" t="s">
        <v>173</v>
      </c>
      <c r="B251" s="94" t="s">
        <v>174</v>
      </c>
      <c r="D251" s="1152"/>
      <c r="E251" s="957"/>
      <c r="F251" s="1093" t="str">
        <f>INDEX(PT_DIFFERENTIATION_VTAR,MATCH(A251,PT_DIFFERENTIATION_VTAR_ID,0))</f>
        <v>Тариф на горячую воду (горячее водоснабжение)</v>
      </c>
      <c r="G251" s="1127" t="str">
        <f>INDEX(PT_DIFFERENTIATION_NTAR,MATCH(B251,PT_DIFFERENTIATION_NTAR_ID,0))</f>
        <v/>
      </c>
      <c r="H251" s="178"/>
      <c r="I251" s="568"/>
      <c r="J251" s="569"/>
      <c r="K251" s="193"/>
      <c r="L251" s="178" t="s">
        <v>229</v>
      </c>
      <c r="M251" s="563"/>
      <c r="AH251" s="3">
        <v>0</v>
      </c>
    </row>
    <row r="252" spans="1:34" ht="18.75" hidden="1" customHeight="1">
      <c r="C252" s="480" t="s">
        <v>1071</v>
      </c>
      <c r="D252" s="1152"/>
      <c r="E252" s="957"/>
      <c r="F252" s="1093"/>
      <c r="G252" s="1127"/>
      <c r="H252" s="368"/>
      <c r="I252" s="45" t="s">
        <v>1070</v>
      </c>
      <c r="J252" s="63"/>
      <c r="K252" s="368"/>
      <c r="L252" s="466"/>
      <c r="M252" s="563"/>
      <c r="AH252" s="3">
        <v>0</v>
      </c>
    </row>
    <row r="253" spans="1:34" ht="0.75" hidden="1" customHeight="1">
      <c r="C253" s="480" t="s">
        <v>1078</v>
      </c>
      <c r="D253" s="1152"/>
      <c r="E253" s="957"/>
      <c r="F253" s="1093"/>
      <c r="G253" s="572"/>
      <c r="H253" s="368"/>
      <c r="I253" s="45"/>
      <c r="J253" s="63"/>
      <c r="K253" s="368"/>
      <c r="L253" s="466"/>
      <c r="M253" s="563"/>
      <c r="AH253" s="3">
        <v>0</v>
      </c>
    </row>
    <row r="254" spans="1:34" ht="18.75" hidden="1" customHeight="1">
      <c r="A254" s="94" t="s">
        <v>178</v>
      </c>
      <c r="B254" s="94" t="s">
        <v>179</v>
      </c>
      <c r="D254" s="1152"/>
      <c r="E254" s="957"/>
      <c r="F254" s="1093" t="str">
        <f>INDEX(PT_DIFFERENTIATION_VTAR,MATCH(A254,PT_DIFFERENTIATION_VTAR_ID,0))</f>
        <v>Тариф на транспортировку горячей воды</v>
      </c>
      <c r="G254" s="1127" t="str">
        <f>INDEX(PT_DIFFERENTIATION_NTAR,MATCH(B254,PT_DIFFERENTIATION_NTAR_ID,0))</f>
        <v/>
      </c>
      <c r="H254" s="178"/>
      <c r="I254" s="568"/>
      <c r="J254" s="569"/>
      <c r="K254" s="193"/>
      <c r="L254" s="178" t="s">
        <v>229</v>
      </c>
      <c r="M254" s="563"/>
      <c r="AH254" s="3">
        <v>0</v>
      </c>
    </row>
    <row r="255" spans="1:34" ht="18.75" hidden="1" customHeight="1">
      <c r="C255" s="480" t="s">
        <v>1071</v>
      </c>
      <c r="D255" s="1152"/>
      <c r="E255" s="957"/>
      <c r="F255" s="1093"/>
      <c r="G255" s="1127"/>
      <c r="H255" s="368"/>
      <c r="I255" s="45" t="s">
        <v>1070</v>
      </c>
      <c r="J255" s="63"/>
      <c r="K255" s="368"/>
      <c r="L255" s="466"/>
      <c r="M255" s="563"/>
      <c r="AH255" s="3">
        <v>0</v>
      </c>
    </row>
    <row r="256" spans="1:34" ht="0.75" hidden="1" customHeight="1">
      <c r="C256" s="480" t="s">
        <v>1078</v>
      </c>
      <c r="D256" s="1152"/>
      <c r="E256" s="957"/>
      <c r="F256" s="1093"/>
      <c r="G256" s="572"/>
      <c r="H256" s="368"/>
      <c r="I256" s="45"/>
      <c r="J256" s="63"/>
      <c r="K256" s="368"/>
      <c r="L256" s="466"/>
      <c r="M256" s="563"/>
      <c r="AH256" s="3">
        <v>0</v>
      </c>
    </row>
    <row r="257" spans="1:34" ht="18.75" hidden="1" customHeight="1">
      <c r="A257" s="94" t="s">
        <v>183</v>
      </c>
      <c r="B257" s="94" t="s">
        <v>184</v>
      </c>
      <c r="D257" s="1152"/>
      <c r="E257" s="957"/>
      <c r="F257" s="1093" t="str">
        <f>INDEX(PT_DIFFERENTIATION_VTAR,MATCH(A257,PT_DIFFERENTIATION_VTAR_ID,0))</f>
        <v>Тариф на подключение (технологическое присоединение) к централизованной системе горячего водоснабжения</v>
      </c>
      <c r="G257" s="1127" t="str">
        <f>INDEX(PT_DIFFERENTIATION_NTAR,MATCH(B257,PT_DIFFERENTIATION_NTAR_ID,0))</f>
        <v/>
      </c>
      <c r="H257" s="178"/>
      <c r="I257" s="568"/>
      <c r="J257" s="569"/>
      <c r="K257" s="193"/>
      <c r="L257" s="178" t="s">
        <v>229</v>
      </c>
      <c r="M257" s="563"/>
      <c r="AH257" s="3">
        <v>0</v>
      </c>
    </row>
    <row r="258" spans="1:34" ht="18.75" hidden="1" customHeight="1">
      <c r="C258" s="480" t="s">
        <v>1071</v>
      </c>
      <c r="D258" s="1152"/>
      <c r="E258" s="957"/>
      <c r="F258" s="1093"/>
      <c r="G258" s="1127"/>
      <c r="H258" s="368"/>
      <c r="I258" s="45" t="s">
        <v>1070</v>
      </c>
      <c r="J258" s="63"/>
      <c r="K258" s="368"/>
      <c r="L258" s="466"/>
      <c r="M258" s="563"/>
      <c r="AH258" s="3">
        <v>0</v>
      </c>
    </row>
    <row r="259" spans="1:34" ht="0.75" hidden="1" customHeight="1">
      <c r="C259" s="480" t="s">
        <v>1078</v>
      </c>
      <c r="D259" s="1152"/>
      <c r="E259" s="957"/>
      <c r="F259" s="1093"/>
      <c r="G259" s="572"/>
      <c r="H259" s="368"/>
      <c r="I259" s="45"/>
      <c r="J259" s="63"/>
      <c r="K259" s="368"/>
      <c r="L259" s="466"/>
      <c r="M259" s="563"/>
      <c r="AH259" s="3">
        <v>0</v>
      </c>
    </row>
    <row r="260" spans="1:34" ht="18.75" hidden="1" customHeight="1">
      <c r="A260" s="94" t="s">
        <v>188</v>
      </c>
      <c r="B260" s="94" t="s">
        <v>189</v>
      </c>
      <c r="D260" s="1152"/>
      <c r="E260" s="957"/>
      <c r="F260" s="1093" t="str">
        <f>INDEX(PT_DIFFERENTIATION_VTAR,MATCH(A260,PT_DIFFERENTIATION_VTAR_ID,0))</f>
        <v>Тариф на водоотведение</v>
      </c>
      <c r="G260" s="1127" t="str">
        <f>INDEX(PT_DIFFERENTIATION_NTAR,MATCH(B260,PT_DIFFERENTIATION_NTAR_ID,0))</f>
        <v/>
      </c>
      <c r="H260" s="178"/>
      <c r="I260" s="568"/>
      <c r="J260" s="569"/>
      <c r="K260" s="193"/>
      <c r="L260" s="178" t="s">
        <v>229</v>
      </c>
      <c r="M260" s="563"/>
      <c r="AH260" s="3">
        <v>0</v>
      </c>
    </row>
    <row r="261" spans="1:34" ht="18.75" hidden="1" customHeight="1">
      <c r="C261" s="480" t="s">
        <v>1071</v>
      </c>
      <c r="D261" s="1152"/>
      <c r="E261" s="957"/>
      <c r="F261" s="1093"/>
      <c r="G261" s="1127"/>
      <c r="H261" s="368"/>
      <c r="I261" s="45" t="s">
        <v>1070</v>
      </c>
      <c r="J261" s="63"/>
      <c r="K261" s="368"/>
      <c r="L261" s="466"/>
      <c r="M261" s="563"/>
      <c r="AH261" s="3">
        <v>0</v>
      </c>
    </row>
    <row r="262" spans="1:34" ht="0.75" hidden="1" customHeight="1">
      <c r="C262" s="480" t="s">
        <v>1078</v>
      </c>
      <c r="D262" s="1152"/>
      <c r="E262" s="957"/>
      <c r="F262" s="1093"/>
      <c r="G262" s="572"/>
      <c r="H262" s="368"/>
      <c r="I262" s="45"/>
      <c r="J262" s="63"/>
      <c r="K262" s="368"/>
      <c r="L262" s="466"/>
      <c r="M262" s="563"/>
      <c r="AH262" s="3">
        <v>0</v>
      </c>
    </row>
    <row r="263" spans="1:34" ht="18.75" hidden="1" customHeight="1">
      <c r="A263" s="94" t="s">
        <v>193</v>
      </c>
      <c r="B263" s="94" t="s">
        <v>194</v>
      </c>
      <c r="D263" s="1152"/>
      <c r="E263" s="957"/>
      <c r="F263" s="1093" t="str">
        <f>INDEX(PT_DIFFERENTIATION_VTAR,MATCH(A263,PT_DIFFERENTIATION_VTAR_ID,0))</f>
        <v>Тариф на транспортировку сточных вод</v>
      </c>
      <c r="G263" s="1127" t="str">
        <f>INDEX(PT_DIFFERENTIATION_NTAR,MATCH(B263,PT_DIFFERENTIATION_NTAR_ID,0))</f>
        <v/>
      </c>
      <c r="H263" s="178"/>
      <c r="I263" s="568"/>
      <c r="J263" s="569"/>
      <c r="K263" s="193"/>
      <c r="L263" s="178" t="s">
        <v>229</v>
      </c>
      <c r="M263" s="563"/>
      <c r="AH263" s="3">
        <v>0</v>
      </c>
    </row>
    <row r="264" spans="1:34" ht="18.75" hidden="1" customHeight="1">
      <c r="C264" s="480" t="s">
        <v>1071</v>
      </c>
      <c r="D264" s="1152"/>
      <c r="E264" s="957"/>
      <c r="F264" s="1093"/>
      <c r="G264" s="1127"/>
      <c r="H264" s="368"/>
      <c r="I264" s="45" t="s">
        <v>1070</v>
      </c>
      <c r="J264" s="63"/>
      <c r="K264" s="368"/>
      <c r="L264" s="466"/>
      <c r="M264" s="563"/>
      <c r="AH264" s="3">
        <v>0</v>
      </c>
    </row>
    <row r="265" spans="1:34" ht="0.75" hidden="1" customHeight="1">
      <c r="C265" s="480" t="s">
        <v>1078</v>
      </c>
      <c r="D265" s="1152"/>
      <c r="E265" s="957"/>
      <c r="F265" s="1093"/>
      <c r="G265" s="572"/>
      <c r="H265" s="368"/>
      <c r="I265" s="45"/>
      <c r="J265" s="63"/>
      <c r="K265" s="368"/>
      <c r="L265" s="466"/>
      <c r="M265" s="563"/>
      <c r="AH265" s="3">
        <v>0</v>
      </c>
    </row>
    <row r="266" spans="1:34" ht="18.75" hidden="1" customHeight="1">
      <c r="A266" s="94" t="s">
        <v>198</v>
      </c>
      <c r="B266" s="94" t="s">
        <v>199</v>
      </c>
      <c r="D266" s="1152"/>
      <c r="E266" s="957"/>
      <c r="F266" s="1093" t="str">
        <f>INDEX(PT_DIFFERENTIATION_VTAR,MATCH(A266,PT_DIFFERENTIATION_VTAR_ID,0))</f>
        <v>Тариф на подключение (технологическое присоединение) к централизованной системе водоотведения</v>
      </c>
      <c r="G266" s="1127" t="str">
        <f>INDEX(PT_DIFFERENTIATION_NTAR,MATCH(B266,PT_DIFFERENTIATION_NTAR_ID,0))</f>
        <v/>
      </c>
      <c r="H266" s="178"/>
      <c r="I266" s="568"/>
      <c r="J266" s="569"/>
      <c r="K266" s="193"/>
      <c r="L266" s="178" t="s">
        <v>229</v>
      </c>
      <c r="M266" s="563"/>
      <c r="AH266" s="3">
        <v>0</v>
      </c>
    </row>
    <row r="267" spans="1:34" ht="18.75" hidden="1" customHeight="1">
      <c r="C267" s="480" t="s">
        <v>1071</v>
      </c>
      <c r="D267" s="1152"/>
      <c r="E267" s="957"/>
      <c r="F267" s="1093"/>
      <c r="G267" s="1127"/>
      <c r="H267" s="368"/>
      <c r="I267" s="45" t="s">
        <v>1070</v>
      </c>
      <c r="J267" s="63"/>
      <c r="K267" s="368"/>
      <c r="L267" s="466"/>
      <c r="M267" s="563"/>
      <c r="AH267" s="3">
        <v>0</v>
      </c>
    </row>
    <row r="268" spans="1:34" ht="1.1499999999999999" customHeight="1">
      <c r="C268" s="480" t="s">
        <v>1078</v>
      </c>
      <c r="D268" s="1152"/>
      <c r="E268" s="957"/>
      <c r="F268" s="1093"/>
      <c r="G268" s="572"/>
      <c r="H268" s="368"/>
      <c r="I268" s="45"/>
      <c r="J268" s="63"/>
      <c r="K268" s="368"/>
      <c r="L268" s="466"/>
      <c r="M268" s="563"/>
      <c r="AH268" s="3">
        <v>1</v>
      </c>
    </row>
    <row r="269" spans="1:34" ht="27.4" customHeight="1">
      <c r="D269" s="264"/>
      <c r="E269" s="117" t="s">
        <v>28</v>
      </c>
      <c r="F269" s="115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1151"/>
      <c r="H269" s="1151"/>
      <c r="I269" s="1151"/>
      <c r="J269" s="1151"/>
      <c r="K269" s="1151"/>
      <c r="L269" s="1151"/>
      <c r="M269" s="458"/>
      <c r="AH269" s="3">
        <v>26</v>
      </c>
    </row>
    <row r="270" spans="1:34" ht="60.75" hidden="1" customHeight="1">
      <c r="A270" s="94" t="s">
        <v>80</v>
      </c>
      <c r="B270" s="94" t="s">
        <v>81</v>
      </c>
      <c r="D270" s="1152"/>
      <c r="E270" s="957"/>
      <c r="F270" s="109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1127" t="str">
        <f>INDEX(PT_DIFFERENTIATION_NTAR,MATCH(B270,PT_DIFFERENTIATION_NTAR_ID,0))</f>
        <v/>
      </c>
      <c r="H270" s="178"/>
      <c r="I270" s="568"/>
      <c r="J270" s="569"/>
      <c r="K270" s="193"/>
      <c r="L270" s="178" t="s">
        <v>229</v>
      </c>
      <c r="M270" s="9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AH270" s="3">
        <v>0</v>
      </c>
    </row>
    <row r="271" spans="1:34" ht="18.75" hidden="1" customHeight="1">
      <c r="C271" s="480" t="s">
        <v>1071</v>
      </c>
      <c r="D271" s="1152"/>
      <c r="E271" s="957"/>
      <c r="F271" s="1093"/>
      <c r="G271" s="1127"/>
      <c r="H271" s="368"/>
      <c r="I271" s="45" t="s">
        <v>1070</v>
      </c>
      <c r="J271" s="63"/>
      <c r="K271" s="368"/>
      <c r="L271" s="466"/>
      <c r="M271" s="921"/>
      <c r="AH271" s="3">
        <v>0</v>
      </c>
    </row>
    <row r="272" spans="1:34" ht="0.75" hidden="1" customHeight="1">
      <c r="C272" s="480" t="s">
        <v>1078</v>
      </c>
      <c r="D272" s="1152"/>
      <c r="E272" s="957"/>
      <c r="F272" s="1093"/>
      <c r="G272" s="572"/>
      <c r="H272" s="368"/>
      <c r="I272" s="45"/>
      <c r="J272" s="63"/>
      <c r="K272" s="368"/>
      <c r="L272" s="466"/>
      <c r="M272" s="921"/>
      <c r="AH272" s="3">
        <v>0</v>
      </c>
    </row>
    <row r="273" spans="1:34" ht="45" hidden="1" customHeight="1">
      <c r="A273" s="94" t="s">
        <v>85</v>
      </c>
      <c r="B273" s="94" t="s">
        <v>86</v>
      </c>
      <c r="D273" s="1152"/>
      <c r="E273" s="957"/>
      <c r="F273" s="1093" t="str">
        <f>INDEX(PT_DIFFERENTIATION_VTAR,MATCH(A273,PT_DIFFERENTIATION_VTAR_ID,0))</f>
        <v/>
      </c>
      <c r="G273" s="1127" t="str">
        <f>INDEX(PT_DIFFERENTIATION_NTAR,MATCH(B273,PT_DIFFERENTIATION_NTAR_ID,0))</f>
        <v/>
      </c>
      <c r="H273" s="178"/>
      <c r="I273" s="568"/>
      <c r="J273" s="569"/>
      <c r="K273" s="193"/>
      <c r="L273" s="178" t="s">
        <v>229</v>
      </c>
      <c r="M273" s="922"/>
      <c r="AH273" s="3">
        <v>0</v>
      </c>
    </row>
    <row r="274" spans="1:34" ht="18.75" hidden="1" customHeight="1">
      <c r="C274" s="480" t="s">
        <v>1071</v>
      </c>
      <c r="D274" s="1152"/>
      <c r="E274" s="957"/>
      <c r="F274" s="1093"/>
      <c r="G274" s="1127"/>
      <c r="H274" s="368"/>
      <c r="I274" s="45" t="s">
        <v>1070</v>
      </c>
      <c r="J274" s="63"/>
      <c r="K274" s="368"/>
      <c r="L274" s="466"/>
      <c r="M274" s="85"/>
      <c r="AH274" s="3">
        <v>0</v>
      </c>
    </row>
    <row r="275" spans="1:34" ht="0.75" hidden="1" customHeight="1">
      <c r="C275" s="480" t="s">
        <v>1078</v>
      </c>
      <c r="D275" s="1152"/>
      <c r="E275" s="957"/>
      <c r="F275" s="1093"/>
      <c r="G275" s="572"/>
      <c r="H275" s="368"/>
      <c r="I275" s="45"/>
      <c r="J275" s="63"/>
      <c r="K275" s="368"/>
      <c r="L275" s="466"/>
      <c r="M275" s="563"/>
      <c r="AH275" s="3">
        <v>0</v>
      </c>
    </row>
    <row r="276" spans="1:34" ht="45" hidden="1" customHeight="1">
      <c r="A276" s="94" t="s">
        <v>92</v>
      </c>
      <c r="B276" s="94" t="s">
        <v>93</v>
      </c>
      <c r="D276" s="1152"/>
      <c r="E276" s="957"/>
      <c r="F276" s="109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1127" t="str">
        <f>INDEX(PT_DIFFERENTIATION_NTAR,MATCH(B276,PT_DIFFERENTIATION_NTAR_ID,0))</f>
        <v/>
      </c>
      <c r="H276" s="178"/>
      <c r="I276" s="568"/>
      <c r="J276" s="569"/>
      <c r="K276" s="193"/>
      <c r="L276" s="178" t="s">
        <v>229</v>
      </c>
      <c r="M276" s="563"/>
      <c r="AH276" s="3">
        <v>0</v>
      </c>
    </row>
    <row r="277" spans="1:34" ht="18.75" hidden="1" customHeight="1">
      <c r="C277" s="480" t="s">
        <v>1071</v>
      </c>
      <c r="D277" s="1152"/>
      <c r="E277" s="957"/>
      <c r="F277" s="1093"/>
      <c r="G277" s="1127"/>
      <c r="H277" s="368"/>
      <c r="I277" s="45" t="s">
        <v>1070</v>
      </c>
      <c r="J277" s="63"/>
      <c r="K277" s="368"/>
      <c r="L277" s="466"/>
      <c r="M277" s="563"/>
      <c r="AH277" s="3">
        <v>0</v>
      </c>
    </row>
    <row r="278" spans="1:34" ht="0.75" hidden="1" customHeight="1">
      <c r="C278" s="480" t="s">
        <v>1078</v>
      </c>
      <c r="D278" s="1152"/>
      <c r="E278" s="957"/>
      <c r="F278" s="1093"/>
      <c r="G278" s="572"/>
      <c r="H278" s="368"/>
      <c r="I278" s="45"/>
      <c r="J278" s="63"/>
      <c r="K278" s="368"/>
      <c r="L278" s="466"/>
      <c r="M278" s="563"/>
      <c r="AH278" s="3">
        <v>0</v>
      </c>
    </row>
    <row r="279" spans="1:34" ht="45" hidden="1" customHeight="1">
      <c r="A279" s="94" t="s">
        <v>98</v>
      </c>
      <c r="B279" s="94" t="s">
        <v>99</v>
      </c>
      <c r="D279" s="1152"/>
      <c r="E279" s="957"/>
      <c r="F279" s="109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1127" t="str">
        <f>INDEX(PT_DIFFERENTIATION_NTAR,MATCH(B279,PT_DIFFERENTIATION_NTAR_ID,0))</f>
        <v/>
      </c>
      <c r="H279" s="178"/>
      <c r="I279" s="568"/>
      <c r="J279" s="569"/>
      <c r="K279" s="193"/>
      <c r="L279" s="178" t="s">
        <v>229</v>
      </c>
      <c r="M279" s="563"/>
      <c r="AH279" s="3">
        <v>0</v>
      </c>
    </row>
    <row r="280" spans="1:34" ht="18.75" hidden="1" customHeight="1">
      <c r="C280" s="480" t="s">
        <v>1071</v>
      </c>
      <c r="D280" s="1152"/>
      <c r="E280" s="957"/>
      <c r="F280" s="1093"/>
      <c r="G280" s="1127"/>
      <c r="H280" s="368"/>
      <c r="I280" s="45" t="s">
        <v>1070</v>
      </c>
      <c r="J280" s="63"/>
      <c r="K280" s="368"/>
      <c r="L280" s="466"/>
      <c r="M280" s="563"/>
      <c r="AH280" s="3">
        <v>0</v>
      </c>
    </row>
    <row r="281" spans="1:34" ht="0.75" hidden="1" customHeight="1">
      <c r="C281" s="480" t="s">
        <v>1078</v>
      </c>
      <c r="D281" s="1152"/>
      <c r="E281" s="957"/>
      <c r="F281" s="1093"/>
      <c r="G281" s="572"/>
      <c r="H281" s="368"/>
      <c r="I281" s="45"/>
      <c r="J281" s="63"/>
      <c r="K281" s="368"/>
      <c r="L281" s="466"/>
      <c r="M281" s="563"/>
      <c r="AH281" s="3">
        <v>0</v>
      </c>
    </row>
    <row r="282" spans="1:34" ht="18.75" hidden="1" customHeight="1">
      <c r="A282" s="94" t="s">
        <v>104</v>
      </c>
      <c r="B282" s="94" t="s">
        <v>105</v>
      </c>
      <c r="D282" s="1152"/>
      <c r="E282" s="957"/>
      <c r="F282" s="1093" t="str">
        <f>INDEX(PT_DIFFERENTIATION_VTAR,MATCH(A282,PT_DIFFERENTIATION_VTAR_ID,0))</f>
        <v>Тарифы на услуги по передаче тепловой энергии</v>
      </c>
      <c r="G282" s="1127" t="str">
        <f>INDEX(PT_DIFFERENTIATION_NTAR,MATCH(B282,PT_DIFFERENTIATION_NTAR_ID,0))</f>
        <v/>
      </c>
      <c r="H282" s="178"/>
      <c r="I282" s="568"/>
      <c r="J282" s="569"/>
      <c r="K282" s="193"/>
      <c r="L282" s="178" t="s">
        <v>229</v>
      </c>
      <c r="M282" s="563"/>
      <c r="AH282" s="3">
        <v>0</v>
      </c>
    </row>
    <row r="283" spans="1:34" ht="18.75" hidden="1" customHeight="1">
      <c r="C283" s="480" t="s">
        <v>1071</v>
      </c>
      <c r="D283" s="1152"/>
      <c r="E283" s="957"/>
      <c r="F283" s="1093"/>
      <c r="G283" s="1127"/>
      <c r="H283" s="368"/>
      <c r="I283" s="45" t="s">
        <v>1070</v>
      </c>
      <c r="J283" s="63"/>
      <c r="K283" s="368"/>
      <c r="L283" s="466"/>
      <c r="M283" s="563"/>
      <c r="AH283" s="3">
        <v>0</v>
      </c>
    </row>
    <row r="284" spans="1:34" ht="0.75" hidden="1" customHeight="1">
      <c r="C284" s="480" t="s">
        <v>1078</v>
      </c>
      <c r="D284" s="1152"/>
      <c r="E284" s="957"/>
      <c r="F284" s="1093"/>
      <c r="G284" s="572"/>
      <c r="H284" s="368"/>
      <c r="I284" s="45"/>
      <c r="J284" s="63"/>
      <c r="K284" s="368"/>
      <c r="L284" s="466"/>
      <c r="M284" s="563"/>
      <c r="AH284" s="3">
        <v>0</v>
      </c>
    </row>
    <row r="285" spans="1:34" ht="18.75" hidden="1" customHeight="1">
      <c r="A285" s="94" t="s">
        <v>110</v>
      </c>
      <c r="B285" s="94" t="s">
        <v>111</v>
      </c>
      <c r="D285" s="1152"/>
      <c r="E285" s="957"/>
      <c r="F285" s="1093" t="str">
        <f>INDEX(PT_DIFFERENTIATION_VTAR,MATCH(A285,PT_DIFFERENTIATION_VTAR_ID,0))</f>
        <v>Тарифы на услуги по передаче теплоносителя</v>
      </c>
      <c r="G285" s="1127" t="str">
        <f>INDEX(PT_DIFFERENTIATION_NTAR,MATCH(B285,PT_DIFFERENTIATION_NTAR_ID,0))</f>
        <v/>
      </c>
      <c r="H285" s="178"/>
      <c r="I285" s="568"/>
      <c r="J285" s="569"/>
      <c r="K285" s="193"/>
      <c r="L285" s="178" t="s">
        <v>229</v>
      </c>
      <c r="M285" s="563"/>
      <c r="AH285" s="3">
        <v>0</v>
      </c>
    </row>
    <row r="286" spans="1:34" ht="18.75" hidden="1" customHeight="1">
      <c r="C286" s="480" t="s">
        <v>1071</v>
      </c>
      <c r="D286" s="1152"/>
      <c r="E286" s="957"/>
      <c r="F286" s="1093"/>
      <c r="G286" s="1127"/>
      <c r="H286" s="368"/>
      <c r="I286" s="45" t="s">
        <v>1070</v>
      </c>
      <c r="J286" s="63"/>
      <c r="K286" s="368"/>
      <c r="L286" s="466"/>
      <c r="M286" s="563"/>
      <c r="AH286" s="3">
        <v>0</v>
      </c>
    </row>
    <row r="287" spans="1:34" ht="0.75" hidden="1" customHeight="1">
      <c r="C287" s="480" t="s">
        <v>1078</v>
      </c>
      <c r="D287" s="1152"/>
      <c r="E287" s="957"/>
      <c r="F287" s="1093"/>
      <c r="G287" s="572"/>
      <c r="H287" s="368"/>
      <c r="I287" s="45"/>
      <c r="J287" s="63"/>
      <c r="K287" s="368"/>
      <c r="L287" s="466"/>
      <c r="M287" s="563"/>
      <c r="AH287" s="3">
        <v>0</v>
      </c>
    </row>
    <row r="288" spans="1:34" ht="18.75" hidden="1" customHeight="1">
      <c r="A288" s="94" t="s">
        <v>116</v>
      </c>
      <c r="B288" s="94" t="s">
        <v>117</v>
      </c>
      <c r="D288" s="1152"/>
      <c r="E288" s="957"/>
      <c r="F288" s="109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1127" t="str">
        <f>INDEX(PT_DIFFERENTIATION_NTAR,MATCH(B288,PT_DIFFERENTIATION_NTAR_ID,0))</f>
        <v/>
      </c>
      <c r="H288" s="178"/>
      <c r="I288" s="568"/>
      <c r="J288" s="569"/>
      <c r="K288" s="193"/>
      <c r="L288" s="178" t="s">
        <v>229</v>
      </c>
      <c r="M288" s="563"/>
      <c r="AH288" s="3">
        <v>0</v>
      </c>
    </row>
    <row r="289" spans="1:34" ht="18.75" hidden="1" customHeight="1">
      <c r="C289" s="480" t="s">
        <v>1071</v>
      </c>
      <c r="D289" s="1152"/>
      <c r="E289" s="957"/>
      <c r="F289" s="1093"/>
      <c r="G289" s="1127"/>
      <c r="H289" s="368"/>
      <c r="I289" s="45" t="s">
        <v>1070</v>
      </c>
      <c r="J289" s="63"/>
      <c r="K289" s="368"/>
      <c r="L289" s="466"/>
      <c r="M289" s="563"/>
      <c r="AH289" s="3">
        <v>0</v>
      </c>
    </row>
    <row r="290" spans="1:34" ht="0.75" hidden="1" customHeight="1">
      <c r="C290" s="480" t="s">
        <v>1078</v>
      </c>
      <c r="D290" s="1152"/>
      <c r="E290" s="957"/>
      <c r="F290" s="1093"/>
      <c r="G290" s="572"/>
      <c r="H290" s="368"/>
      <c r="I290" s="45"/>
      <c r="J290" s="63"/>
      <c r="K290" s="368"/>
      <c r="L290" s="466"/>
      <c r="M290" s="563"/>
      <c r="AH290" s="3">
        <v>0</v>
      </c>
    </row>
    <row r="291" spans="1:34" ht="18.75" hidden="1" customHeight="1">
      <c r="A291" s="94" t="s">
        <v>122</v>
      </c>
      <c r="B291" s="94" t="s">
        <v>123</v>
      </c>
      <c r="D291" s="1152"/>
      <c r="E291" s="957"/>
      <c r="F291" s="1093" t="str">
        <f>INDEX(PT_DIFFERENTIATION_VTAR,MATCH(A291,PT_DIFFERENTIATION_VTAR_ID,0))</f>
        <v>Плата за подключение (технологическое присоединение) к системе теплоснабжения</v>
      </c>
      <c r="G291" s="1127" t="str">
        <f>INDEX(PT_DIFFERENTIATION_NTAR,MATCH(B291,PT_DIFFERENTIATION_NTAR_ID,0))</f>
        <v/>
      </c>
      <c r="H291" s="178"/>
      <c r="I291" s="568"/>
      <c r="J291" s="569"/>
      <c r="K291" s="193"/>
      <c r="L291" s="178" t="s">
        <v>229</v>
      </c>
      <c r="M291" s="563"/>
      <c r="AH291" s="3">
        <v>0</v>
      </c>
    </row>
    <row r="292" spans="1:34" ht="18.75" hidden="1" customHeight="1">
      <c r="C292" s="480" t="s">
        <v>1071</v>
      </c>
      <c r="D292" s="1152"/>
      <c r="E292" s="957"/>
      <c r="F292" s="1093"/>
      <c r="G292" s="1127"/>
      <c r="H292" s="368"/>
      <c r="I292" s="45" t="s">
        <v>1070</v>
      </c>
      <c r="J292" s="63"/>
      <c r="K292" s="368"/>
      <c r="L292" s="466"/>
      <c r="M292" s="563"/>
      <c r="AH292" s="3">
        <v>0</v>
      </c>
    </row>
    <row r="293" spans="1:34" ht="0.75" hidden="1" customHeight="1">
      <c r="C293" s="480" t="s">
        <v>1078</v>
      </c>
      <c r="D293" s="1152"/>
      <c r="E293" s="957"/>
      <c r="F293" s="1093"/>
      <c r="G293" s="572"/>
      <c r="H293" s="368"/>
      <c r="I293" s="45"/>
      <c r="J293" s="63"/>
      <c r="K293" s="368"/>
      <c r="L293" s="466"/>
      <c r="M293" s="563"/>
      <c r="AH293" s="3">
        <v>0</v>
      </c>
    </row>
    <row r="294" spans="1:34" ht="18.75" hidden="1" customHeight="1">
      <c r="A294" s="94" t="s">
        <v>128</v>
      </c>
      <c r="B294" s="94" t="s">
        <v>129</v>
      </c>
      <c r="D294" s="1152"/>
      <c r="E294" s="957"/>
      <c r="F294" s="1093" t="str">
        <f>INDEX(PT_DIFFERENTIATION_VTAR,MATCH(A294,PT_DIFFERENTIATION_VTAR_ID,0))</f>
        <v>Плата за подключение (технологическое присоединение) к системе теплоснабжения (индивидуальная)</v>
      </c>
      <c r="G294" s="1127" t="str">
        <f>INDEX(PT_DIFFERENTIATION_NTAR,MATCH(B294,PT_DIFFERENTIATION_NTAR_ID,0))</f>
        <v/>
      </c>
      <c r="H294" s="178"/>
      <c r="I294" s="568"/>
      <c r="J294" s="569"/>
      <c r="K294" s="193"/>
      <c r="L294" s="178" t="s">
        <v>229</v>
      </c>
      <c r="M294" s="563"/>
      <c r="AH294" s="3">
        <v>0</v>
      </c>
    </row>
    <row r="295" spans="1:34" ht="18.75" hidden="1" customHeight="1">
      <c r="C295" s="480" t="s">
        <v>1071</v>
      </c>
      <c r="D295" s="1152"/>
      <c r="E295" s="957"/>
      <c r="F295" s="1093"/>
      <c r="G295" s="1127"/>
      <c r="H295" s="368"/>
      <c r="I295" s="45" t="s">
        <v>1070</v>
      </c>
      <c r="J295" s="63"/>
      <c r="K295" s="368"/>
      <c r="L295" s="466"/>
      <c r="M295" s="563"/>
      <c r="AH295" s="3">
        <v>0</v>
      </c>
    </row>
    <row r="296" spans="1:34" ht="0.75" hidden="1" customHeight="1">
      <c r="C296" s="480" t="s">
        <v>1078</v>
      </c>
      <c r="D296" s="1152"/>
      <c r="E296" s="957"/>
      <c r="F296" s="1093"/>
      <c r="G296" s="572"/>
      <c r="H296" s="368"/>
      <c r="I296" s="45"/>
      <c r="J296" s="63"/>
      <c r="K296" s="368"/>
      <c r="L296" s="466"/>
      <c r="M296" s="563"/>
      <c r="AH296" s="3">
        <v>0</v>
      </c>
    </row>
    <row r="297" spans="1:34" ht="18.75" hidden="1" customHeight="1">
      <c r="A297" s="94" t="s">
        <v>148</v>
      </c>
      <c r="B297" s="94" t="s">
        <v>149</v>
      </c>
      <c r="D297" s="1152"/>
      <c r="E297" s="957"/>
      <c r="F297" s="1093" t="str">
        <f>INDEX(PT_DIFFERENTIATION_VTAR,MATCH(A297,PT_DIFFERENTIATION_VTAR_ID,0))</f>
        <v>Тариф на питьевую воду (питьевое водоснабжение)</v>
      </c>
      <c r="G297" s="1127" t="str">
        <f>INDEX(PT_DIFFERENTIATION_NTAR,MATCH(B297,PT_DIFFERENTIATION_NTAR_ID,0))</f>
        <v/>
      </c>
      <c r="H297" s="178"/>
      <c r="I297" s="568"/>
      <c r="J297" s="569"/>
      <c r="K297" s="193"/>
      <c r="L297" s="178" t="s">
        <v>229</v>
      </c>
      <c r="M297" s="563"/>
      <c r="AH297" s="3">
        <v>0</v>
      </c>
    </row>
    <row r="298" spans="1:34" ht="18.75" hidden="1" customHeight="1">
      <c r="C298" s="480" t="s">
        <v>1071</v>
      </c>
      <c r="D298" s="1152"/>
      <c r="E298" s="957"/>
      <c r="F298" s="1093"/>
      <c r="G298" s="1127"/>
      <c r="H298" s="368"/>
      <c r="I298" s="45" t="s">
        <v>1070</v>
      </c>
      <c r="J298" s="63"/>
      <c r="K298" s="368"/>
      <c r="L298" s="466"/>
      <c r="M298" s="563"/>
      <c r="AH298" s="3">
        <v>0</v>
      </c>
    </row>
    <row r="299" spans="1:34" ht="0.75" hidden="1" customHeight="1">
      <c r="C299" s="480" t="s">
        <v>1078</v>
      </c>
      <c r="D299" s="1152"/>
      <c r="E299" s="957"/>
      <c r="F299" s="1093"/>
      <c r="G299" s="572"/>
      <c r="H299" s="368"/>
      <c r="I299" s="45"/>
      <c r="J299" s="63"/>
      <c r="K299" s="368"/>
      <c r="L299" s="466"/>
      <c r="M299" s="563"/>
      <c r="AH299" s="3">
        <v>0</v>
      </c>
    </row>
    <row r="300" spans="1:34" ht="18.75" hidden="1" customHeight="1">
      <c r="A300" s="94" t="s">
        <v>153</v>
      </c>
      <c r="B300" s="94" t="s">
        <v>154</v>
      </c>
      <c r="D300" s="1152"/>
      <c r="E300" s="957"/>
      <c r="F300" s="1093" t="str">
        <f>INDEX(PT_DIFFERENTIATION_VTAR,MATCH(A300,PT_DIFFERENTIATION_VTAR_ID,0))</f>
        <v>Тариф на техническую воду</v>
      </c>
      <c r="G300" s="1127" t="str">
        <f>INDEX(PT_DIFFERENTIATION_NTAR,MATCH(B300,PT_DIFFERENTIATION_NTAR_ID,0))</f>
        <v/>
      </c>
      <c r="H300" s="178"/>
      <c r="I300" s="568"/>
      <c r="J300" s="569"/>
      <c r="K300" s="193"/>
      <c r="L300" s="178" t="s">
        <v>229</v>
      </c>
      <c r="M300" s="563"/>
      <c r="AH300" s="3">
        <v>0</v>
      </c>
    </row>
    <row r="301" spans="1:34" ht="18.75" hidden="1" customHeight="1">
      <c r="C301" s="480" t="s">
        <v>1071</v>
      </c>
      <c r="D301" s="1152"/>
      <c r="E301" s="957"/>
      <c r="F301" s="1093"/>
      <c r="G301" s="1127"/>
      <c r="H301" s="368"/>
      <c r="I301" s="45" t="s">
        <v>1070</v>
      </c>
      <c r="J301" s="63"/>
      <c r="K301" s="368"/>
      <c r="L301" s="466"/>
      <c r="M301" s="563"/>
      <c r="AH301" s="3">
        <v>0</v>
      </c>
    </row>
    <row r="302" spans="1:34" ht="0.75" hidden="1" customHeight="1">
      <c r="C302" s="480" t="s">
        <v>1078</v>
      </c>
      <c r="D302" s="1152"/>
      <c r="E302" s="957"/>
      <c r="F302" s="1093"/>
      <c r="G302" s="572"/>
      <c r="H302" s="368"/>
      <c r="I302" s="45"/>
      <c r="J302" s="63"/>
      <c r="K302" s="368"/>
      <c r="L302" s="466"/>
      <c r="M302" s="563"/>
      <c r="AH302" s="3">
        <v>0</v>
      </c>
    </row>
    <row r="303" spans="1:34" ht="18.75" hidden="1" customHeight="1">
      <c r="A303" s="94" t="s">
        <v>158</v>
      </c>
      <c r="B303" s="94" t="s">
        <v>159</v>
      </c>
      <c r="D303" s="1152"/>
      <c r="E303" s="957"/>
      <c r="F303" s="1093" t="str">
        <f>INDEX(PT_DIFFERENTIATION_VTAR,MATCH(A303,PT_DIFFERENTIATION_VTAR_ID,0))</f>
        <v>Тариф на транспортировку воды</v>
      </c>
      <c r="G303" s="1127" t="str">
        <f>INDEX(PT_DIFFERENTIATION_NTAR,MATCH(B303,PT_DIFFERENTIATION_NTAR_ID,0))</f>
        <v/>
      </c>
      <c r="H303" s="178"/>
      <c r="I303" s="568"/>
      <c r="J303" s="569"/>
      <c r="K303" s="193"/>
      <c r="L303" s="178" t="s">
        <v>229</v>
      </c>
      <c r="M303" s="563"/>
      <c r="AH303" s="3">
        <v>0</v>
      </c>
    </row>
    <row r="304" spans="1:34" ht="18.75" hidden="1" customHeight="1">
      <c r="C304" s="480" t="s">
        <v>1071</v>
      </c>
      <c r="D304" s="1152"/>
      <c r="E304" s="957"/>
      <c r="F304" s="1093"/>
      <c r="G304" s="1127"/>
      <c r="H304" s="368"/>
      <c r="I304" s="45" t="s">
        <v>1070</v>
      </c>
      <c r="J304" s="63"/>
      <c r="K304" s="368"/>
      <c r="L304" s="466"/>
      <c r="M304" s="563"/>
      <c r="AH304" s="3">
        <v>0</v>
      </c>
    </row>
    <row r="305" spans="1:34" ht="0.75" hidden="1" customHeight="1">
      <c r="C305" s="480" t="s">
        <v>1078</v>
      </c>
      <c r="D305" s="1152"/>
      <c r="E305" s="957"/>
      <c r="F305" s="1093"/>
      <c r="G305" s="572"/>
      <c r="H305" s="368"/>
      <c r="I305" s="45"/>
      <c r="J305" s="63"/>
      <c r="K305" s="368"/>
      <c r="L305" s="466"/>
      <c r="M305" s="563"/>
      <c r="AH305" s="3">
        <v>0</v>
      </c>
    </row>
    <row r="306" spans="1:34" ht="18.75" hidden="1" customHeight="1">
      <c r="A306" s="94" t="s">
        <v>163</v>
      </c>
      <c r="B306" s="94" t="s">
        <v>164</v>
      </c>
      <c r="D306" s="1152"/>
      <c r="E306" s="957"/>
      <c r="F306" s="1093" t="str">
        <f>INDEX(PT_DIFFERENTIATION_VTAR,MATCH(A306,PT_DIFFERENTIATION_VTAR_ID,0))</f>
        <v>Тариф на подвоз воды</v>
      </c>
      <c r="G306" s="1127" t="str">
        <f>INDEX(PT_DIFFERENTIATION_NTAR,MATCH(B306,PT_DIFFERENTIATION_NTAR_ID,0))</f>
        <v/>
      </c>
      <c r="H306" s="178"/>
      <c r="I306" s="568"/>
      <c r="J306" s="569"/>
      <c r="K306" s="193"/>
      <c r="L306" s="178" t="s">
        <v>229</v>
      </c>
      <c r="M306" s="563"/>
      <c r="AH306" s="3">
        <v>0</v>
      </c>
    </row>
    <row r="307" spans="1:34" ht="18.75" hidden="1" customHeight="1">
      <c r="C307" s="480" t="s">
        <v>1071</v>
      </c>
      <c r="D307" s="1152"/>
      <c r="E307" s="957"/>
      <c r="F307" s="1093"/>
      <c r="G307" s="1127"/>
      <c r="H307" s="368"/>
      <c r="I307" s="45" t="s">
        <v>1070</v>
      </c>
      <c r="J307" s="63"/>
      <c r="K307" s="368"/>
      <c r="L307" s="466"/>
      <c r="M307" s="563"/>
      <c r="AH307" s="3">
        <v>0</v>
      </c>
    </row>
    <row r="308" spans="1:34" ht="0.75" hidden="1" customHeight="1">
      <c r="C308" s="480" t="s">
        <v>1078</v>
      </c>
      <c r="D308" s="1152"/>
      <c r="E308" s="957"/>
      <c r="F308" s="1093"/>
      <c r="G308" s="572"/>
      <c r="H308" s="368"/>
      <c r="I308" s="45"/>
      <c r="J308" s="63"/>
      <c r="K308" s="368"/>
      <c r="L308" s="466"/>
      <c r="M308" s="563"/>
      <c r="AH308" s="3">
        <v>0</v>
      </c>
    </row>
    <row r="309" spans="1:34" ht="18.75" hidden="1" customHeight="1">
      <c r="A309" s="94" t="s">
        <v>168</v>
      </c>
      <c r="B309" s="94" t="s">
        <v>169</v>
      </c>
      <c r="D309" s="1152"/>
      <c r="E309" s="957"/>
      <c r="F309" s="109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1127" t="str">
        <f>INDEX(PT_DIFFERENTIATION_NTAR,MATCH(B309,PT_DIFFERENTIATION_NTAR_ID,0))</f>
        <v/>
      </c>
      <c r="H309" s="178"/>
      <c r="I309" s="568"/>
      <c r="J309" s="569"/>
      <c r="K309" s="193"/>
      <c r="L309" s="178" t="s">
        <v>229</v>
      </c>
      <c r="M309" s="563"/>
      <c r="AH309" s="3">
        <v>0</v>
      </c>
    </row>
    <row r="310" spans="1:34" ht="18.75" hidden="1" customHeight="1">
      <c r="C310" s="480" t="s">
        <v>1071</v>
      </c>
      <c r="D310" s="1152"/>
      <c r="E310" s="957"/>
      <c r="F310" s="1093"/>
      <c r="G310" s="1127"/>
      <c r="H310" s="368"/>
      <c r="I310" s="45" t="s">
        <v>1070</v>
      </c>
      <c r="J310" s="63"/>
      <c r="K310" s="368"/>
      <c r="L310" s="466"/>
      <c r="M310" s="563"/>
      <c r="AH310" s="3">
        <v>0</v>
      </c>
    </row>
    <row r="311" spans="1:34" ht="0.75" hidden="1" customHeight="1">
      <c r="C311" s="480" t="s">
        <v>1078</v>
      </c>
      <c r="D311" s="1152"/>
      <c r="E311" s="957"/>
      <c r="F311" s="1093"/>
      <c r="G311" s="572"/>
      <c r="H311" s="368"/>
      <c r="I311" s="45"/>
      <c r="J311" s="63"/>
      <c r="K311" s="368"/>
      <c r="L311" s="466"/>
      <c r="M311" s="563"/>
      <c r="AH311" s="3">
        <v>0</v>
      </c>
    </row>
    <row r="312" spans="1:34" ht="18.75" hidden="1" customHeight="1">
      <c r="A312" s="94" t="s">
        <v>173</v>
      </c>
      <c r="B312" s="94" t="s">
        <v>174</v>
      </c>
      <c r="D312" s="1152"/>
      <c r="E312" s="957"/>
      <c r="F312" s="1093" t="str">
        <f>INDEX(PT_DIFFERENTIATION_VTAR,MATCH(A312,PT_DIFFERENTIATION_VTAR_ID,0))</f>
        <v>Тариф на горячую воду (горячее водоснабжение)</v>
      </c>
      <c r="G312" s="1127" t="str">
        <f>INDEX(PT_DIFFERENTIATION_NTAR,MATCH(B312,PT_DIFFERENTIATION_NTAR_ID,0))</f>
        <v/>
      </c>
      <c r="H312" s="178"/>
      <c r="I312" s="568"/>
      <c r="J312" s="569"/>
      <c r="K312" s="193"/>
      <c r="L312" s="178" t="s">
        <v>229</v>
      </c>
      <c r="M312" s="563"/>
      <c r="AH312" s="3">
        <v>0</v>
      </c>
    </row>
    <row r="313" spans="1:34" ht="18.75" hidden="1" customHeight="1">
      <c r="C313" s="480" t="s">
        <v>1071</v>
      </c>
      <c r="D313" s="1152"/>
      <c r="E313" s="957"/>
      <c r="F313" s="1093"/>
      <c r="G313" s="1127"/>
      <c r="H313" s="368"/>
      <c r="I313" s="45" t="s">
        <v>1070</v>
      </c>
      <c r="J313" s="63"/>
      <c r="K313" s="368"/>
      <c r="L313" s="466"/>
      <c r="M313" s="563"/>
      <c r="AH313" s="3">
        <v>0</v>
      </c>
    </row>
    <row r="314" spans="1:34" ht="0.75" hidden="1" customHeight="1">
      <c r="C314" s="480" t="s">
        <v>1078</v>
      </c>
      <c r="D314" s="1152"/>
      <c r="E314" s="957"/>
      <c r="F314" s="1093"/>
      <c r="G314" s="572"/>
      <c r="H314" s="368"/>
      <c r="I314" s="45"/>
      <c r="J314" s="63"/>
      <c r="K314" s="368"/>
      <c r="L314" s="466"/>
      <c r="M314" s="563"/>
      <c r="AH314" s="3">
        <v>0</v>
      </c>
    </row>
    <row r="315" spans="1:34" ht="18.75" hidden="1" customHeight="1">
      <c r="A315" s="94" t="s">
        <v>178</v>
      </c>
      <c r="B315" s="94" t="s">
        <v>179</v>
      </c>
      <c r="D315" s="1152"/>
      <c r="E315" s="957"/>
      <c r="F315" s="1093" t="str">
        <f>INDEX(PT_DIFFERENTIATION_VTAR,MATCH(A315,PT_DIFFERENTIATION_VTAR_ID,0))</f>
        <v>Тариф на транспортировку горячей воды</v>
      </c>
      <c r="G315" s="1127" t="str">
        <f>INDEX(PT_DIFFERENTIATION_NTAR,MATCH(B315,PT_DIFFERENTIATION_NTAR_ID,0))</f>
        <v/>
      </c>
      <c r="H315" s="178"/>
      <c r="I315" s="568"/>
      <c r="J315" s="569"/>
      <c r="K315" s="193"/>
      <c r="L315" s="178" t="s">
        <v>229</v>
      </c>
      <c r="M315" s="563"/>
      <c r="AH315" s="3">
        <v>0</v>
      </c>
    </row>
    <row r="316" spans="1:34" ht="18.75" hidden="1" customHeight="1">
      <c r="C316" s="480" t="s">
        <v>1071</v>
      </c>
      <c r="D316" s="1152"/>
      <c r="E316" s="957"/>
      <c r="F316" s="1093"/>
      <c r="G316" s="1127"/>
      <c r="H316" s="368"/>
      <c r="I316" s="45" t="s">
        <v>1070</v>
      </c>
      <c r="J316" s="63"/>
      <c r="K316" s="368"/>
      <c r="L316" s="466"/>
      <c r="M316" s="563"/>
      <c r="AH316" s="3">
        <v>0</v>
      </c>
    </row>
    <row r="317" spans="1:34" ht="0.75" hidden="1" customHeight="1">
      <c r="C317" s="480" t="s">
        <v>1078</v>
      </c>
      <c r="D317" s="1152"/>
      <c r="E317" s="957"/>
      <c r="F317" s="1093"/>
      <c r="G317" s="572"/>
      <c r="H317" s="368"/>
      <c r="I317" s="45"/>
      <c r="J317" s="63"/>
      <c r="K317" s="368"/>
      <c r="L317" s="466"/>
      <c r="M317" s="563"/>
      <c r="AH317" s="3">
        <v>0</v>
      </c>
    </row>
    <row r="318" spans="1:34" ht="18.75" hidden="1" customHeight="1">
      <c r="A318" s="94" t="s">
        <v>183</v>
      </c>
      <c r="B318" s="94" t="s">
        <v>184</v>
      </c>
      <c r="D318" s="1152"/>
      <c r="E318" s="957"/>
      <c r="F318" s="1093" t="str">
        <f>INDEX(PT_DIFFERENTIATION_VTAR,MATCH(A318,PT_DIFFERENTIATION_VTAR_ID,0))</f>
        <v>Тариф на подключение (технологическое присоединение) к централизованной системе горячего водоснабжения</v>
      </c>
      <c r="G318" s="1127" t="str">
        <f>INDEX(PT_DIFFERENTIATION_NTAR,MATCH(B318,PT_DIFFERENTIATION_NTAR_ID,0))</f>
        <v/>
      </c>
      <c r="H318" s="178"/>
      <c r="I318" s="568"/>
      <c r="J318" s="569"/>
      <c r="K318" s="193"/>
      <c r="L318" s="178" t="s">
        <v>229</v>
      </c>
      <c r="M318" s="563"/>
      <c r="AH318" s="3">
        <v>0</v>
      </c>
    </row>
    <row r="319" spans="1:34" ht="18.75" hidden="1" customHeight="1">
      <c r="C319" s="480" t="s">
        <v>1071</v>
      </c>
      <c r="D319" s="1152"/>
      <c r="E319" s="957"/>
      <c r="F319" s="1093"/>
      <c r="G319" s="1127"/>
      <c r="H319" s="368"/>
      <c r="I319" s="45" t="s">
        <v>1070</v>
      </c>
      <c r="J319" s="63"/>
      <c r="K319" s="368"/>
      <c r="L319" s="466"/>
      <c r="M319" s="563"/>
      <c r="AH319" s="3">
        <v>0</v>
      </c>
    </row>
    <row r="320" spans="1:34" ht="0.75" hidden="1" customHeight="1">
      <c r="C320" s="480" t="s">
        <v>1078</v>
      </c>
      <c r="D320" s="1152"/>
      <c r="E320" s="957"/>
      <c r="F320" s="1093"/>
      <c r="G320" s="572"/>
      <c r="H320" s="368"/>
      <c r="I320" s="45"/>
      <c r="J320" s="63"/>
      <c r="K320" s="368"/>
      <c r="L320" s="466"/>
      <c r="M320" s="563"/>
      <c r="AH320" s="3">
        <v>0</v>
      </c>
    </row>
    <row r="321" spans="1:34" ht="18.75" hidden="1" customHeight="1">
      <c r="A321" s="94" t="s">
        <v>188</v>
      </c>
      <c r="B321" s="94" t="s">
        <v>189</v>
      </c>
      <c r="D321" s="1152"/>
      <c r="E321" s="957"/>
      <c r="F321" s="1093" t="str">
        <f>INDEX(PT_DIFFERENTIATION_VTAR,MATCH(A321,PT_DIFFERENTIATION_VTAR_ID,0))</f>
        <v>Тариф на водоотведение</v>
      </c>
      <c r="G321" s="1127" t="str">
        <f>INDEX(PT_DIFFERENTIATION_NTAR,MATCH(B321,PT_DIFFERENTIATION_NTAR_ID,0))</f>
        <v/>
      </c>
      <c r="H321" s="178"/>
      <c r="I321" s="568"/>
      <c r="J321" s="569"/>
      <c r="K321" s="193"/>
      <c r="L321" s="178" t="s">
        <v>229</v>
      </c>
      <c r="M321" s="563"/>
      <c r="AH321" s="3">
        <v>0</v>
      </c>
    </row>
    <row r="322" spans="1:34" ht="18.75" hidden="1" customHeight="1">
      <c r="C322" s="480" t="s">
        <v>1071</v>
      </c>
      <c r="D322" s="1152"/>
      <c r="E322" s="957"/>
      <c r="F322" s="1093"/>
      <c r="G322" s="1127"/>
      <c r="H322" s="368"/>
      <c r="I322" s="45" t="s">
        <v>1070</v>
      </c>
      <c r="J322" s="63"/>
      <c r="K322" s="368"/>
      <c r="L322" s="466"/>
      <c r="M322" s="563"/>
      <c r="AH322" s="3">
        <v>0</v>
      </c>
    </row>
    <row r="323" spans="1:34" ht="0.75" hidden="1" customHeight="1">
      <c r="C323" s="480" t="s">
        <v>1078</v>
      </c>
      <c r="D323" s="1152"/>
      <c r="E323" s="957"/>
      <c r="F323" s="1093"/>
      <c r="G323" s="572"/>
      <c r="H323" s="368"/>
      <c r="I323" s="45"/>
      <c r="J323" s="63"/>
      <c r="K323" s="368"/>
      <c r="L323" s="466"/>
      <c r="M323" s="563"/>
      <c r="AH323" s="3">
        <v>0</v>
      </c>
    </row>
    <row r="324" spans="1:34" ht="18.75" hidden="1" customHeight="1">
      <c r="A324" s="94" t="s">
        <v>193</v>
      </c>
      <c r="B324" s="94" t="s">
        <v>194</v>
      </c>
      <c r="D324" s="1152"/>
      <c r="E324" s="957"/>
      <c r="F324" s="1093" t="str">
        <f>INDEX(PT_DIFFERENTIATION_VTAR,MATCH(A324,PT_DIFFERENTIATION_VTAR_ID,0))</f>
        <v>Тариф на транспортировку сточных вод</v>
      </c>
      <c r="G324" s="1127" t="str">
        <f>INDEX(PT_DIFFERENTIATION_NTAR,MATCH(B324,PT_DIFFERENTIATION_NTAR_ID,0))</f>
        <v/>
      </c>
      <c r="H324" s="178"/>
      <c r="I324" s="568"/>
      <c r="J324" s="569"/>
      <c r="K324" s="193"/>
      <c r="L324" s="178" t="s">
        <v>229</v>
      </c>
      <c r="M324" s="563"/>
      <c r="AH324" s="3">
        <v>0</v>
      </c>
    </row>
    <row r="325" spans="1:34" ht="18.75" hidden="1" customHeight="1">
      <c r="C325" s="480" t="s">
        <v>1071</v>
      </c>
      <c r="D325" s="1152"/>
      <c r="E325" s="957"/>
      <c r="F325" s="1093"/>
      <c r="G325" s="1127"/>
      <c r="H325" s="368"/>
      <c r="I325" s="45" t="s">
        <v>1070</v>
      </c>
      <c r="J325" s="63"/>
      <c r="K325" s="368"/>
      <c r="L325" s="466"/>
      <c r="M325" s="563"/>
      <c r="AH325" s="3">
        <v>0</v>
      </c>
    </row>
    <row r="326" spans="1:34" ht="0.75" hidden="1" customHeight="1">
      <c r="C326" s="480" t="s">
        <v>1078</v>
      </c>
      <c r="D326" s="1152"/>
      <c r="E326" s="957"/>
      <c r="F326" s="1093"/>
      <c r="G326" s="572"/>
      <c r="H326" s="368"/>
      <c r="I326" s="45"/>
      <c r="J326" s="63"/>
      <c r="K326" s="368"/>
      <c r="L326" s="466"/>
      <c r="M326" s="563"/>
      <c r="AH326" s="3">
        <v>0</v>
      </c>
    </row>
    <row r="327" spans="1:34" ht="18.75" hidden="1" customHeight="1">
      <c r="A327" s="94" t="s">
        <v>198</v>
      </c>
      <c r="B327" s="94" t="s">
        <v>199</v>
      </c>
      <c r="D327" s="1152"/>
      <c r="E327" s="957"/>
      <c r="F327" s="1093" t="str">
        <f>INDEX(PT_DIFFERENTIATION_VTAR,MATCH(A327,PT_DIFFERENTIATION_VTAR_ID,0))</f>
        <v>Тариф на подключение (технологическое присоединение) к централизованной системе водоотведения</v>
      </c>
      <c r="G327" s="1127" t="str">
        <f>INDEX(PT_DIFFERENTIATION_NTAR,MATCH(B327,PT_DIFFERENTIATION_NTAR_ID,0))</f>
        <v/>
      </c>
      <c r="H327" s="178"/>
      <c r="I327" s="568"/>
      <c r="J327" s="569"/>
      <c r="K327" s="193"/>
      <c r="L327" s="178" t="s">
        <v>229</v>
      </c>
      <c r="M327" s="563"/>
      <c r="AH327" s="3">
        <v>0</v>
      </c>
    </row>
    <row r="328" spans="1:34" ht="18.75" hidden="1" customHeight="1">
      <c r="C328" s="480" t="s">
        <v>1071</v>
      </c>
      <c r="D328" s="1152"/>
      <c r="E328" s="957"/>
      <c r="F328" s="1093"/>
      <c r="G328" s="1127"/>
      <c r="H328" s="368"/>
      <c r="I328" s="45" t="s">
        <v>1070</v>
      </c>
      <c r="J328" s="63"/>
      <c r="K328" s="368"/>
      <c r="L328" s="466"/>
      <c r="M328" s="563"/>
      <c r="AH328" s="3">
        <v>0</v>
      </c>
    </row>
    <row r="329" spans="1:34" ht="1.1499999999999999" customHeight="1">
      <c r="C329" s="480" t="s">
        <v>1078</v>
      </c>
      <c r="D329" s="1152"/>
      <c r="E329" s="957"/>
      <c r="F329" s="1093"/>
      <c r="G329" s="572"/>
      <c r="H329" s="368"/>
      <c r="I329" s="45"/>
      <c r="J329" s="63"/>
      <c r="K329" s="368"/>
      <c r="L329" s="466"/>
      <c r="M329" s="563"/>
      <c r="AH329" s="3">
        <v>1</v>
      </c>
    </row>
    <row r="330" spans="1:34" ht="3" customHeight="1">
      <c r="E330" s="574"/>
      <c r="F330" s="574"/>
      <c r="G330" s="574"/>
      <c r="H330" s="574"/>
      <c r="I330" s="574"/>
      <c r="J330" s="574"/>
      <c r="K330" s="574"/>
      <c r="L330" s="574"/>
      <c r="M330" s="574"/>
      <c r="AH330" s="94">
        <v>3</v>
      </c>
    </row>
    <row r="331" spans="1:34" ht="26.25" customHeight="1">
      <c r="F331" s="885"/>
      <c r="G331" s="885"/>
      <c r="H331" s="885"/>
      <c r="I331" s="885"/>
      <c r="J331" s="885"/>
      <c r="K331" s="885"/>
      <c r="L331" s="885"/>
      <c r="M331" s="885"/>
      <c r="AH331" s="3">
        <v>25</v>
      </c>
    </row>
    <row r="332" spans="1:34" ht="14.25" hidden="1" customHeight="1">
      <c r="A332" s="575" t="s">
        <v>18</v>
      </c>
      <c r="B332" s="575">
        <v>0</v>
      </c>
      <c r="C332" s="480">
        <v>0</v>
      </c>
      <c r="D332" s="288">
        <v>3</v>
      </c>
      <c r="E332" s="3">
        <v>6</v>
      </c>
      <c r="F332" s="3">
        <v>46</v>
      </c>
      <c r="G332" s="3">
        <v>35</v>
      </c>
      <c r="H332" s="3">
        <v>3</v>
      </c>
      <c r="I332" s="3">
        <v>11</v>
      </c>
      <c r="J332" s="3">
        <v>11</v>
      </c>
      <c r="K332" s="3">
        <v>35</v>
      </c>
      <c r="L332" s="3">
        <v>35</v>
      </c>
      <c r="M332" s="3">
        <v>84</v>
      </c>
      <c r="N332" s="3">
        <v>10</v>
      </c>
      <c r="O332" s="29">
        <v>10</v>
      </c>
      <c r="P332" s="29">
        <v>10</v>
      </c>
      <c r="Q332" s="3">
        <v>10</v>
      </c>
      <c r="R332" s="3">
        <v>10</v>
      </c>
      <c r="S332" s="3">
        <v>10</v>
      </c>
      <c r="T332" s="3">
        <v>10</v>
      </c>
      <c r="U332" s="3">
        <v>10</v>
      </c>
      <c r="V332" s="3">
        <v>10</v>
      </c>
      <c r="W332" s="3">
        <v>10</v>
      </c>
      <c r="X332" s="3">
        <v>10</v>
      </c>
      <c r="Y332" s="3">
        <v>10</v>
      </c>
      <c r="Z332" s="3">
        <v>10</v>
      </c>
      <c r="AA332" s="3">
        <v>10</v>
      </c>
      <c r="AB332" s="3">
        <v>10</v>
      </c>
      <c r="AC332" s="3">
        <v>10</v>
      </c>
      <c r="AD332" s="3">
        <v>10</v>
      </c>
      <c r="AE332" s="3">
        <v>10</v>
      </c>
      <c r="AF332" s="3">
        <v>10</v>
      </c>
      <c r="AG332" s="3">
        <v>10</v>
      </c>
      <c r="AH332" s="3">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2" width="9.140625" hidden="1" customWidth="1"/>
    <col min="3" max="3" width="3" customWidth="1"/>
    <col min="4" max="4" width="6" customWidth="1"/>
    <col min="5" max="5" width="53" customWidth="1"/>
    <col min="6" max="7" width="35" customWidth="1"/>
    <col min="8" max="8" width="89" customWidth="1"/>
    <col min="9" max="17" width="10" customWidth="1"/>
    <col min="18" max="18" width="10.5703125" hidden="1"/>
  </cols>
  <sheetData>
    <row r="1" spans="3:18" ht="22.5" hidden="1" customHeight="1">
      <c r="R1" s="3" t="s">
        <v>1</v>
      </c>
    </row>
    <row r="2" spans="3:18" ht="18.75" hidden="1" customHeight="1">
      <c r="C2" s="457" t="s">
        <v>612</v>
      </c>
      <c r="D2" s="117"/>
      <c r="E2" s="152"/>
      <c r="F2" s="564"/>
      <c r="G2" s="218"/>
      <c r="R2" s="3">
        <v>0</v>
      </c>
    </row>
    <row r="3" spans="3:18" ht="14.25" hidden="1" customHeight="1">
      <c r="R3" s="3">
        <v>0</v>
      </c>
    </row>
    <row r="4" spans="3:18" ht="6.4" customHeight="1">
      <c r="C4" s="264"/>
      <c r="D4" s="12"/>
      <c r="E4" s="12"/>
      <c r="F4" s="12"/>
      <c r="G4" s="459"/>
      <c r="H4" s="459"/>
      <c r="R4" s="3">
        <v>6</v>
      </c>
    </row>
    <row r="5" spans="3:18" ht="34.5" customHeight="1">
      <c r="C5" s="264"/>
      <c r="D5" s="926"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927"/>
      <c r="F5" s="927"/>
      <c r="G5" s="928"/>
      <c r="R5" s="3">
        <v>33</v>
      </c>
    </row>
    <row r="6" spans="3:18" ht="18" customHeight="1">
      <c r="C6" s="264"/>
      <c r="D6" s="976" t="e">
        <f>IF(org=0,"Не определено",org)</f>
        <v>#REF!</v>
      </c>
      <c r="E6" s="977"/>
      <c r="F6" s="977"/>
      <c r="G6" s="978"/>
      <c r="R6" s="3">
        <v>17</v>
      </c>
    </row>
    <row r="7" spans="3:18" ht="14.65" customHeight="1">
      <c r="C7" s="264"/>
      <c r="D7" s="12"/>
      <c r="E7" s="8"/>
      <c r="F7" s="8"/>
      <c r="G7" s="115"/>
      <c r="H7" s="460"/>
      <c r="R7" s="3">
        <v>14</v>
      </c>
    </row>
    <row r="8" spans="3:18" ht="14.65" customHeight="1">
      <c r="C8" s="264"/>
      <c r="D8" s="962" t="s">
        <v>223</v>
      </c>
      <c r="E8" s="962"/>
      <c r="F8" s="962"/>
      <c r="G8" s="962"/>
      <c r="H8" s="1101" t="s">
        <v>224</v>
      </c>
      <c r="R8" s="3">
        <v>14</v>
      </c>
    </row>
    <row r="9" spans="3:18" ht="24" customHeight="1">
      <c r="C9" s="264"/>
      <c r="D9" s="120" t="s">
        <v>24</v>
      </c>
      <c r="E9" s="65" t="s">
        <v>225</v>
      </c>
      <c r="F9" s="65" t="s">
        <v>226</v>
      </c>
      <c r="G9" s="65" t="s">
        <v>313</v>
      </c>
      <c r="H9" s="1101"/>
      <c r="R9" s="3">
        <v>23</v>
      </c>
    </row>
    <row r="10" spans="3:18" ht="14.65" customHeight="1">
      <c r="C10" s="264"/>
      <c r="D10" s="117" t="s">
        <v>31</v>
      </c>
      <c r="E10" s="46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564"/>
      <c r="G10" s="218"/>
      <c r="H10" s="920" t="s">
        <v>1079</v>
      </c>
      <c r="R10" s="3">
        <v>14</v>
      </c>
    </row>
    <row r="11" spans="3:18" ht="14.65" customHeight="1">
      <c r="C11" s="264"/>
      <c r="D11" s="117" t="s">
        <v>39</v>
      </c>
      <c r="E11" s="46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564"/>
      <c r="G11" s="218"/>
      <c r="H11" s="921"/>
      <c r="R11" s="3">
        <v>14</v>
      </c>
    </row>
    <row r="12" spans="3:18" ht="14.65" customHeight="1">
      <c r="C12" s="151"/>
      <c r="D12" s="117" t="s">
        <v>26</v>
      </c>
      <c r="E12" s="464" t="str">
        <f>"Сведения о планировании закупочных процедур"&amp;IF(TEMPLATE_SPHERE="TKO"," &lt;1&gt;","")</f>
        <v>Сведения о планировании закупочных процедур</v>
      </c>
      <c r="F12" s="564"/>
      <c r="G12" s="218"/>
      <c r="H12" s="92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R12" s="3">
        <v>14</v>
      </c>
    </row>
    <row r="13" spans="3:18" ht="14.65" customHeight="1">
      <c r="C13" s="151"/>
      <c r="D13" s="117" t="s">
        <v>27</v>
      </c>
      <c r="E13" s="464" t="str">
        <f>"Сведения о результатах проведения закупочных процедур"&amp;IF(TEMPLATE_SPHERE="TKO"," &lt;1&gt;","")</f>
        <v>Сведения о результатах проведения закупочных процедур</v>
      </c>
      <c r="F13" s="564"/>
      <c r="G13" s="218"/>
      <c r="H13" s="921"/>
      <c r="R13" s="3">
        <v>14</v>
      </c>
    </row>
    <row r="14" spans="3:18" ht="14.65" customHeight="1">
      <c r="C14" s="264"/>
      <c r="D14" s="465"/>
      <c r="E14" s="45" t="s">
        <v>245</v>
      </c>
      <c r="F14" s="63"/>
      <c r="G14" s="466"/>
      <c r="H14" s="922"/>
      <c r="R14" s="3">
        <v>14</v>
      </c>
    </row>
    <row r="15" spans="3:18" ht="14.65" customHeight="1">
      <c r="C15" s="264"/>
      <c r="D15" s="425"/>
      <c r="E15" s="467"/>
      <c r="F15" s="468"/>
      <c r="G15" s="469"/>
      <c r="H15" s="576"/>
      <c r="R15" s="3">
        <v>14</v>
      </c>
    </row>
    <row r="16" spans="3:18" ht="14.65" customHeight="1">
      <c r="E16" s="885"/>
      <c r="F16" s="885"/>
      <c r="G16" s="885"/>
      <c r="H16" s="885"/>
      <c r="R16" s="3">
        <v>14</v>
      </c>
    </row>
    <row r="17" spans="1:18" ht="22.5" hidden="1" customHeight="1">
      <c r="A17" s="287" t="s">
        <v>18</v>
      </c>
      <c r="B17" s="11">
        <v>0</v>
      </c>
      <c r="C17" s="288">
        <v>3</v>
      </c>
      <c r="D17" s="3">
        <v>6</v>
      </c>
      <c r="E17" s="3">
        <v>53</v>
      </c>
      <c r="F17" s="3">
        <v>35</v>
      </c>
      <c r="G17" s="3">
        <v>35</v>
      </c>
      <c r="H17" s="3">
        <v>89</v>
      </c>
      <c r="I17" s="3">
        <v>10</v>
      </c>
      <c r="J17" s="29">
        <v>10</v>
      </c>
      <c r="K17" s="29">
        <v>10</v>
      </c>
      <c r="L17" s="3">
        <v>10</v>
      </c>
      <c r="M17" s="3">
        <v>10</v>
      </c>
      <c r="N17" s="3">
        <v>10</v>
      </c>
      <c r="O17" s="3">
        <v>10</v>
      </c>
      <c r="P17" s="3">
        <v>10</v>
      </c>
      <c r="Q17" s="3">
        <v>10</v>
      </c>
      <c r="R17" s="3">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703125" defaultRowHeight="15" customHeight="1"/>
  <cols>
    <col min="1" max="2" width="9.140625" hidden="1" customWidth="1"/>
    <col min="3" max="3" width="4" customWidth="1"/>
    <col min="4" max="4" width="6" customWidth="1"/>
    <col min="5" max="5" width="47" customWidth="1"/>
    <col min="6" max="6" width="9" customWidth="1"/>
    <col min="7" max="7" width="25.7109375" hidden="1" customWidth="1"/>
    <col min="8" max="8" width="34" hidden="1" customWidth="1"/>
    <col min="9" max="9" width="25.7109375" customWidth="1"/>
    <col min="10" max="10" width="33" customWidth="1"/>
    <col min="11" max="11" width="50" customWidth="1"/>
    <col min="12" max="21" width="10" customWidth="1"/>
    <col min="22" max="22" width="10.5703125" hidden="1"/>
  </cols>
  <sheetData>
    <row r="1" spans="4:22" ht="22.5" hidden="1" customHeight="1">
      <c r="G1" s="11">
        <v>4</v>
      </c>
      <c r="I1" s="11">
        <v>4</v>
      </c>
      <c r="V1" s="11" t="s">
        <v>1</v>
      </c>
    </row>
    <row r="2" spans="4:22" ht="15" hidden="1" customHeight="1">
      <c r="V2" s="3">
        <v>0</v>
      </c>
    </row>
    <row r="3" spans="4:22" ht="15" hidden="1" customHeight="1">
      <c r="V3" s="11">
        <v>0</v>
      </c>
    </row>
    <row r="4" spans="4:22" ht="15.75" customHeight="1">
      <c r="V4" s="3">
        <v>15</v>
      </c>
    </row>
    <row r="5" spans="4:22" ht="66" customHeight="1">
      <c r="D5" s="982" t="s">
        <v>1080</v>
      </c>
      <c r="E5" s="982"/>
      <c r="F5" s="982"/>
      <c r="G5" s="982"/>
      <c r="H5" s="982"/>
      <c r="I5" s="982"/>
      <c r="J5" s="982"/>
      <c r="V5" s="3">
        <v>63</v>
      </c>
    </row>
    <row r="6" spans="4:22" ht="15.75" customHeight="1">
      <c r="D6" s="955" t="e">
        <f>IF(org=0,"Не определено",org)</f>
        <v>#REF!</v>
      </c>
      <c r="E6" s="955"/>
      <c r="F6" s="955"/>
      <c r="G6" s="955"/>
      <c r="H6" s="955"/>
      <c r="I6" s="955"/>
      <c r="J6" s="955"/>
      <c r="V6" s="3">
        <v>15</v>
      </c>
    </row>
    <row r="7" spans="4:22" ht="15.75" customHeight="1">
      <c r="D7" s="115"/>
      <c r="G7" s="11">
        <v>22</v>
      </c>
      <c r="I7" s="11">
        <v>1</v>
      </c>
      <c r="J7" s="115"/>
      <c r="V7" s="3">
        <v>15</v>
      </c>
    </row>
    <row r="8" spans="4:22" ht="1.1499999999999999" customHeight="1">
      <c r="H8" s="115"/>
      <c r="I8" s="11" t="s">
        <v>42</v>
      </c>
      <c r="J8" s="115"/>
      <c r="V8" s="3">
        <v>1</v>
      </c>
    </row>
    <row r="9" spans="4:22" ht="15.75" customHeight="1">
      <c r="D9" s="380"/>
      <c r="E9" s="1086" t="s">
        <v>37</v>
      </c>
      <c r="F9" s="1087"/>
      <c r="G9" s="1109" t="str">
        <f>IF(G8="","",INDEX(DIFFERENTIATION_UNMERGE_VD,MATCH(G8,DIFFERENTIATION_ID_DIFF,0)))</f>
        <v/>
      </c>
      <c r="H9" s="1110"/>
      <c r="I9" s="1109" t="e">
        <f>IF(I8="","",INDEX(DIFFERENTIATION_UNMERGE_VD,MATCH(I8,DIFFERENTIATION_ID_DIFF,0)))</f>
        <v>#REF!</v>
      </c>
      <c r="J9" s="1110"/>
      <c r="K9" s="935" t="s">
        <v>224</v>
      </c>
      <c r="V9" s="3">
        <v>15</v>
      </c>
    </row>
    <row r="10" spans="4:22" ht="15.75" customHeight="1">
      <c r="D10" s="380"/>
      <c r="E10" s="1086" t="s">
        <v>487</v>
      </c>
      <c r="F10" s="1087"/>
      <c r="G10" s="1109" t="str">
        <f>IF(G8="","",INDEX(DIFFERENTIATION_UNMERGE_AREA,MATCH(G8,DIFFERENTIATION_ID_DIFF,0)))</f>
        <v/>
      </c>
      <c r="H10" s="1110"/>
      <c r="I10" s="1109" t="e">
        <f>IF(I8="","",INDEX(DIFFERENTIATION_UNMERGE_AREA,MATCH(I8,DIFFERENTIATION_ID_DIFF,0)))</f>
        <v>#REF!</v>
      </c>
      <c r="J10" s="1110"/>
      <c r="K10" s="940"/>
      <c r="V10" s="3">
        <v>15</v>
      </c>
    </row>
    <row r="11" spans="4:22" ht="15.75" customHeight="1">
      <c r="D11" s="380"/>
      <c r="E11" s="1086" t="s">
        <v>488</v>
      </c>
      <c r="F11" s="1087"/>
      <c r="G11" s="1109" t="str">
        <f>IF(G8="","",INDEX(DIFFERENTIATION_UNMERGE_SYSTEM,MATCH(G8,DIFFERENTIATION_ID_DIFF,0)))</f>
        <v/>
      </c>
      <c r="H11" s="1110"/>
      <c r="I11" s="1109" t="e">
        <f>IF(I8="","",INDEX(DIFFERENTIATION_UNMERGE_SYSTEM,MATCH(I8,DIFFERENTIATION_ID_DIFF,0)))</f>
        <v>#REF!</v>
      </c>
      <c r="J11" s="1110"/>
      <c r="K11" s="940"/>
      <c r="V11" s="3">
        <v>15</v>
      </c>
    </row>
    <row r="12" spans="4:22" ht="15.75" customHeight="1">
      <c r="D12" s="1088" t="s">
        <v>223</v>
      </c>
      <c r="E12" s="1089"/>
      <c r="F12" s="1089"/>
      <c r="G12" s="381"/>
      <c r="H12" s="381"/>
      <c r="I12" s="381"/>
      <c r="J12" s="381"/>
      <c r="K12" s="940"/>
      <c r="V12" s="3">
        <v>15</v>
      </c>
    </row>
    <row r="13" spans="4:22" ht="35.65" customHeight="1">
      <c r="D13" s="30" t="s">
        <v>24</v>
      </c>
      <c r="E13" s="30" t="s">
        <v>225</v>
      </c>
      <c r="F13" s="30" t="s">
        <v>489</v>
      </c>
      <c r="G13" s="7" t="s">
        <v>226</v>
      </c>
      <c r="H13" s="30" t="s">
        <v>313</v>
      </c>
      <c r="I13" s="7" t="s">
        <v>226</v>
      </c>
      <c r="J13" s="30" t="s">
        <v>313</v>
      </c>
      <c r="K13" s="987"/>
      <c r="V13" s="3">
        <v>34</v>
      </c>
    </row>
    <row r="14" spans="4:22" ht="15" hidden="1" customHeight="1">
      <c r="D14" s="553" t="s">
        <v>31</v>
      </c>
      <c r="E14" s="553" t="s">
        <v>39</v>
      </c>
      <c r="F14" s="553" t="s">
        <v>26</v>
      </c>
      <c r="G14" s="516" t="str">
        <f>G1&amp;".1"</f>
        <v>4.1</v>
      </c>
      <c r="I14" s="516" t="str">
        <f>I1&amp;".1"</f>
        <v>4.1</v>
      </c>
      <c r="K14" s="227"/>
      <c r="V14" s="3">
        <v>0</v>
      </c>
    </row>
    <row r="15" spans="4:22" ht="22.5" hidden="1" customHeight="1">
      <c r="D15" s="30">
        <v>1</v>
      </c>
      <c r="E15" s="96" t="s">
        <v>732</v>
      </c>
      <c r="F15" s="30" t="s">
        <v>733</v>
      </c>
      <c r="G15" s="577"/>
      <c r="H15" s="577"/>
      <c r="I15" s="577"/>
      <c r="J15" s="577"/>
      <c r="K15" s="227" t="s">
        <v>734</v>
      </c>
      <c r="V15" s="3">
        <v>0</v>
      </c>
    </row>
    <row r="16" spans="4:22" ht="22.5" hidden="1" customHeight="1">
      <c r="D16" s="30">
        <v>2</v>
      </c>
      <c r="E16" s="96" t="s">
        <v>735</v>
      </c>
      <c r="F16" s="30" t="s">
        <v>736</v>
      </c>
      <c r="G16" s="577"/>
      <c r="H16" s="577"/>
      <c r="I16" s="577"/>
      <c r="J16" s="577"/>
      <c r="K16" s="227" t="s">
        <v>737</v>
      </c>
      <c r="V16" s="3">
        <v>0</v>
      </c>
    </row>
    <row r="17" spans="1:22" ht="123.75" hidden="1" customHeight="1">
      <c r="D17" s="30">
        <v>3</v>
      </c>
      <c r="E17" s="96" t="s">
        <v>1081</v>
      </c>
      <c r="F17" s="30" t="s">
        <v>229</v>
      </c>
      <c r="G17" s="577"/>
      <c r="H17" s="577"/>
      <c r="I17" s="577"/>
      <c r="J17" s="577"/>
      <c r="K17" s="227" t="s">
        <v>1082</v>
      </c>
      <c r="V17" s="3">
        <v>0</v>
      </c>
    </row>
    <row r="18" spans="1:22" ht="48.2" customHeight="1">
      <c r="D18" s="30">
        <v>3</v>
      </c>
      <c r="E18" s="96" t="s">
        <v>738</v>
      </c>
      <c r="F18" s="30" t="s">
        <v>229</v>
      </c>
      <c r="G18" s="30" t="s">
        <v>229</v>
      </c>
      <c r="H18" s="92" t="s">
        <v>229</v>
      </c>
      <c r="I18" s="30" t="s">
        <v>229</v>
      </c>
      <c r="J18" s="92" t="s">
        <v>229</v>
      </c>
      <c r="K18" s="227" t="s">
        <v>1083</v>
      </c>
      <c r="V18" s="3">
        <v>46</v>
      </c>
    </row>
    <row r="19" spans="1:22" ht="35.65" customHeight="1">
      <c r="D19" s="55" t="s">
        <v>247</v>
      </c>
      <c r="E19" s="352" t="s">
        <v>740</v>
      </c>
      <c r="F19" s="30" t="s">
        <v>741</v>
      </c>
      <c r="G19" s="478"/>
      <c r="H19" s="156"/>
      <c r="I19" s="478"/>
      <c r="J19" s="408"/>
      <c r="K19" s="514"/>
      <c r="V19" s="3">
        <v>34</v>
      </c>
    </row>
    <row r="20" spans="1:22" ht="35.65" customHeight="1">
      <c r="D20" s="55" t="s">
        <v>255</v>
      </c>
      <c r="E20" s="352" t="s">
        <v>742</v>
      </c>
      <c r="F20" s="30" t="s">
        <v>743</v>
      </c>
      <c r="G20" s="478"/>
      <c r="H20" s="156"/>
      <c r="I20" s="478"/>
      <c r="J20" s="156"/>
      <c r="K20" s="514"/>
      <c r="V20" s="3">
        <v>34</v>
      </c>
    </row>
    <row r="21" spans="1:22" ht="48.2" customHeight="1">
      <c r="D21" s="55" t="s">
        <v>257</v>
      </c>
      <c r="E21" s="352" t="s">
        <v>744</v>
      </c>
      <c r="F21" s="30" t="s">
        <v>494</v>
      </c>
      <c r="G21" s="479"/>
      <c r="H21" s="156"/>
      <c r="I21" s="479"/>
      <c r="J21" s="156"/>
      <c r="K21" s="514"/>
      <c r="V21" s="3">
        <v>46</v>
      </c>
    </row>
    <row r="22" spans="1:22" ht="67.5" hidden="1" customHeight="1">
      <c r="D22" s="30">
        <v>5</v>
      </c>
      <c r="E22" s="96" t="s">
        <v>1084</v>
      </c>
      <c r="F22" s="30" t="s">
        <v>481</v>
      </c>
      <c r="G22" s="578"/>
      <c r="H22" s="359"/>
      <c r="I22" s="578"/>
      <c r="J22" s="359"/>
      <c r="K22" s="227" t="s">
        <v>1085</v>
      </c>
      <c r="V22" s="3">
        <v>0</v>
      </c>
    </row>
    <row r="23" spans="1:22" ht="33.75" hidden="1" customHeight="1">
      <c r="D23" s="30">
        <v>6</v>
      </c>
      <c r="E23" s="96" t="s">
        <v>1086</v>
      </c>
      <c r="F23" s="30" t="s">
        <v>1087</v>
      </c>
      <c r="G23" s="578"/>
      <c r="H23" s="578"/>
      <c r="I23" s="578"/>
      <c r="J23" s="578"/>
      <c r="K23" s="227" t="s">
        <v>1088</v>
      </c>
      <c r="V23" s="3">
        <v>0</v>
      </c>
    </row>
    <row r="24" spans="1:22" ht="15.75" customHeight="1">
      <c r="V24" s="3">
        <v>15</v>
      </c>
    </row>
    <row r="25" spans="1:22" ht="15.75" customHeight="1">
      <c r="V25" s="3">
        <v>15</v>
      </c>
    </row>
    <row r="26" spans="1:22" ht="15.75" customHeight="1">
      <c r="V26" s="3">
        <v>15</v>
      </c>
    </row>
    <row r="27" spans="1:22" ht="15.75" customHeight="1">
      <c r="V27" s="3">
        <v>15</v>
      </c>
    </row>
    <row r="28" spans="1:22" ht="15.75" customHeight="1">
      <c r="V28" s="3">
        <v>15</v>
      </c>
    </row>
    <row r="29" spans="1:22" ht="15.75" customHeight="1">
      <c r="V29" s="3">
        <v>15</v>
      </c>
    </row>
    <row r="30" spans="1:22" ht="22.5" hidden="1" customHeight="1">
      <c r="A30" s="2" t="s">
        <v>18</v>
      </c>
      <c r="B30" s="3">
        <v>0</v>
      </c>
      <c r="C30" s="516">
        <v>4</v>
      </c>
      <c r="D30" s="3">
        <v>6</v>
      </c>
      <c r="E30" s="3">
        <v>47</v>
      </c>
      <c r="F30" s="3">
        <v>9</v>
      </c>
      <c r="G30" s="3">
        <v>0</v>
      </c>
      <c r="H30" s="3">
        <v>0</v>
      </c>
      <c r="I30" s="3">
        <v>25</v>
      </c>
      <c r="J30" s="3">
        <v>33</v>
      </c>
      <c r="K30" s="11">
        <v>50</v>
      </c>
      <c r="L30" s="3">
        <v>10</v>
      </c>
      <c r="M30" s="3">
        <v>10</v>
      </c>
      <c r="N30" s="3">
        <v>10</v>
      </c>
      <c r="O30" s="3">
        <v>10</v>
      </c>
      <c r="P30" s="3">
        <v>10</v>
      </c>
      <c r="Q30" s="3">
        <v>10</v>
      </c>
      <c r="R30" s="3">
        <v>10</v>
      </c>
      <c r="S30" s="3">
        <v>10</v>
      </c>
      <c r="T30" s="3">
        <v>10</v>
      </c>
      <c r="U30" s="517">
        <v>10</v>
      </c>
      <c r="V30" s="3">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customWidth="1"/>
    <col min="2" max="2" width="11" customWidth="1"/>
    <col min="4" max="4" width="26.5703125" customWidth="1"/>
    <col min="5" max="5" width="36.85546875" customWidth="1"/>
    <col min="6" max="6" width="23.5703125" customWidth="1"/>
    <col min="7" max="7" width="31.42578125" customWidth="1"/>
    <col min="8" max="8" width="40.85546875" customWidth="1"/>
    <col min="9" max="9" width="14.5703125" customWidth="1"/>
    <col min="10" max="10" width="26.85546875" customWidth="1"/>
    <col min="11" max="11" width="50" customWidth="1"/>
    <col min="12" max="12" width="52.42578125" customWidth="1"/>
    <col min="13" max="13" width="10.7109375" customWidth="1"/>
    <col min="14" max="14" width="55.140625" customWidth="1"/>
    <col min="15" max="15" width="31.85546875" customWidth="1"/>
    <col min="16" max="16" width="23.85546875" customWidth="1"/>
    <col min="17" max="17" width="46.5703125" customWidth="1"/>
    <col min="18" max="18" width="24" customWidth="1"/>
    <col min="19" max="19" width="20.5703125" customWidth="1"/>
    <col min="20" max="20" width="22" customWidth="1"/>
    <col min="21" max="22" width="26.42578125" customWidth="1"/>
    <col min="23" max="23" width="8.28515625" hidden="1" customWidth="1"/>
    <col min="24" max="24" width="59.7109375" customWidth="1"/>
    <col min="25" max="25" width="49.140625" customWidth="1"/>
    <col min="26" max="26" width="11.140625" customWidth="1"/>
    <col min="27" max="30" width="29" customWidth="1"/>
    <col min="32" max="32" width="34.7109375" customWidth="1"/>
    <col min="34" max="35" width="34.42578125" customWidth="1"/>
    <col min="37" max="37" width="24.5703125" customWidth="1"/>
    <col min="39" max="39" width="26.140625" customWidth="1"/>
    <col min="40" max="40" width="1.7109375" customWidth="1"/>
    <col min="42" max="43" width="47.85546875" customWidth="1"/>
    <col min="44" max="44" width="1.7109375" customWidth="1"/>
    <col min="45" max="45" width="21.42578125" customWidth="1"/>
    <col min="46" max="46" width="1.7109375" customWidth="1"/>
    <col min="47" max="47" width="31.28515625" customWidth="1"/>
    <col min="48" max="48" width="1.7109375" customWidth="1"/>
    <col min="51" max="51" width="3.7109375" customWidth="1"/>
    <col min="52" max="52" width="60.85546875" customWidth="1"/>
    <col min="53" max="53" width="49.28515625" customWidth="1"/>
    <col min="54" max="54" width="35.140625" customWidth="1"/>
    <col min="56" max="56" width="1.7109375" customWidth="1"/>
    <col min="57" max="57" width="12.5703125" customWidth="1"/>
    <col min="58" max="58" width="14.28515625" customWidth="1"/>
    <col min="59" max="59" width="30.7109375" customWidth="1"/>
    <col min="60" max="60" width="40.7109375" customWidth="1"/>
    <col min="61" max="61" width="15" customWidth="1"/>
    <col min="62" max="62" width="40.7109375" customWidth="1"/>
    <col min="63" max="63" width="2.7109375" customWidth="1"/>
    <col min="64" max="64" width="44.7109375" customWidth="1"/>
    <col min="65" max="65" width="2.7109375" customWidth="1"/>
    <col min="66" max="66" width="40.7109375" customWidth="1"/>
    <col min="69" max="69" width="18.140625" customWidth="1"/>
    <col min="70" max="70" width="57.85546875" customWidth="1"/>
    <col min="71" max="71" width="1.7109375" customWidth="1"/>
    <col min="72" max="72" width="22.5703125" customWidth="1"/>
    <col min="73" max="73" width="57.85546875" customWidth="1"/>
    <col min="74" max="74" width="1.7109375" customWidth="1"/>
    <col min="75" max="75" width="22.5703125" customWidth="1"/>
    <col min="76" max="76" width="57.85546875" customWidth="1"/>
    <col min="77" max="77" width="1.7109375" customWidth="1"/>
    <col min="78" max="78" width="22.5703125" customWidth="1"/>
    <col min="79" max="79" width="57.85546875" customWidth="1"/>
    <col min="82" max="82" width="49.5703125" customWidth="1"/>
  </cols>
  <sheetData>
    <row r="1" spans="1:79" ht="11.25" customHeight="1">
      <c r="A1" s="579" t="s">
        <v>1089</v>
      </c>
      <c r="B1" s="579" t="s">
        <v>1090</v>
      </c>
      <c r="C1" s="579" t="s">
        <v>1091</v>
      </c>
      <c r="D1" s="579" t="s">
        <v>1092</v>
      </c>
      <c r="E1" s="579" t="s">
        <v>1093</v>
      </c>
      <c r="F1" s="579" t="s">
        <v>1094</v>
      </c>
      <c r="G1" s="579" t="s">
        <v>1095</v>
      </c>
      <c r="H1" s="579" t="s">
        <v>1096</v>
      </c>
      <c r="I1" s="579" t="s">
        <v>1097</v>
      </c>
      <c r="J1" s="579" t="s">
        <v>1098</v>
      </c>
      <c r="K1" s="579" t="s">
        <v>1099</v>
      </c>
      <c r="L1" s="579" t="s">
        <v>1100</v>
      </c>
      <c r="M1" s="579"/>
      <c r="N1" s="579" t="s">
        <v>1101</v>
      </c>
      <c r="O1" s="579" t="s">
        <v>1102</v>
      </c>
      <c r="P1" s="579" t="s">
        <v>1103</v>
      </c>
      <c r="Q1" s="579" t="s">
        <v>1104</v>
      </c>
      <c r="R1" s="579" t="s">
        <v>1105</v>
      </c>
      <c r="S1" s="579" t="s">
        <v>1106</v>
      </c>
      <c r="T1" s="579" t="s">
        <v>1107</v>
      </c>
      <c r="U1" s="579" t="s">
        <v>1108</v>
      </c>
      <c r="V1" s="579"/>
      <c r="W1" s="580" t="s">
        <v>1109</v>
      </c>
      <c r="X1" s="579" t="s">
        <v>1110</v>
      </c>
      <c r="Y1" s="579" t="s">
        <v>1111</v>
      </c>
      <c r="Z1" s="579"/>
      <c r="AA1" s="579" t="s">
        <v>1112</v>
      </c>
      <c r="AB1" s="579"/>
      <c r="AC1" s="579" t="s">
        <v>1113</v>
      </c>
      <c r="AD1" s="579"/>
      <c r="AF1" s="579" t="s">
        <v>1114</v>
      </c>
      <c r="AH1" s="579" t="s">
        <v>1115</v>
      </c>
      <c r="AI1" s="579" t="s">
        <v>1116</v>
      </c>
      <c r="AK1" s="579" t="s">
        <v>1117</v>
      </c>
      <c r="AM1" s="579" t="s">
        <v>1118</v>
      </c>
      <c r="AP1" s="579" t="s">
        <v>1119</v>
      </c>
      <c r="AQ1" s="579" t="s">
        <v>1120</v>
      </c>
      <c r="AS1" s="579" t="s">
        <v>1121</v>
      </c>
      <c r="AU1" s="579" t="s">
        <v>1122</v>
      </c>
      <c r="AW1" s="579" t="s">
        <v>1123</v>
      </c>
      <c r="AX1" s="579" t="s">
        <v>1124</v>
      </c>
      <c r="AZ1" s="581" t="s">
        <v>1125</v>
      </c>
      <c r="BB1" s="579" t="s">
        <v>1126</v>
      </c>
      <c r="BC1" s="579"/>
      <c r="BE1" s="579" t="s">
        <v>1127</v>
      </c>
      <c r="BF1" s="579" t="s">
        <v>1128</v>
      </c>
      <c r="BH1" s="582" t="s">
        <v>731</v>
      </c>
      <c r="BJ1" s="583" t="s">
        <v>1129</v>
      </c>
      <c r="BL1" s="584" t="s">
        <v>830</v>
      </c>
      <c r="BN1" s="585" t="s">
        <v>1130</v>
      </c>
    </row>
    <row r="2" spans="1:79" ht="11.25" customHeight="1">
      <c r="A2" s="94" t="s">
        <v>1131</v>
      </c>
      <c r="B2" s="586">
        <v>2000</v>
      </c>
      <c r="C2" s="586">
        <v>2022</v>
      </c>
      <c r="D2" s="586" t="s">
        <v>17</v>
      </c>
      <c r="E2" s="587" t="s">
        <v>1132</v>
      </c>
      <c r="F2" s="587" t="s">
        <v>1133</v>
      </c>
      <c r="G2" s="587" t="s">
        <v>1134</v>
      </c>
      <c r="H2" s="587" t="s">
        <v>16</v>
      </c>
      <c r="I2" s="587" t="s">
        <v>31</v>
      </c>
      <c r="J2" s="587" t="s">
        <v>1135</v>
      </c>
      <c r="K2" s="588" t="s">
        <v>1136</v>
      </c>
      <c r="L2" s="588"/>
      <c r="M2" s="588">
        <v>1</v>
      </c>
      <c r="N2" s="589" t="s">
        <v>1137</v>
      </c>
      <c r="O2" s="587" t="s">
        <v>1138</v>
      </c>
      <c r="P2" s="590" t="s">
        <v>8</v>
      </c>
      <c r="Q2" s="591" t="s">
        <v>1139</v>
      </c>
      <c r="R2" s="592" t="s">
        <v>1140</v>
      </c>
      <c r="S2" s="592" t="s">
        <v>1141</v>
      </c>
      <c r="T2" s="593" t="s">
        <v>1142</v>
      </c>
      <c r="U2" s="588" t="s">
        <v>1143</v>
      </c>
      <c r="V2" s="594">
        <v>1</v>
      </c>
      <c r="W2" s="595"/>
      <c r="X2" s="595" t="s">
        <v>1144</v>
      </c>
      <c r="Y2" s="586" t="s">
        <v>1145</v>
      </c>
      <c r="Z2" s="596"/>
      <c r="AA2" s="586" t="s">
        <v>1146</v>
      </c>
      <c r="AB2" s="597" t="s">
        <v>1146</v>
      </c>
      <c r="AC2" s="586" t="s">
        <v>1147</v>
      </c>
      <c r="AD2" s="597" t="s">
        <v>1147</v>
      </c>
      <c r="AF2" s="587" t="s">
        <v>1143</v>
      </c>
      <c r="AH2" s="587" t="s">
        <v>1148</v>
      </c>
      <c r="AI2" s="587" t="s">
        <v>1148</v>
      </c>
      <c r="AK2" s="587" t="s">
        <v>1149</v>
      </c>
      <c r="AM2" s="587" t="s">
        <v>1150</v>
      </c>
      <c r="AP2" s="428" t="s">
        <v>1144</v>
      </c>
      <c r="AQ2" s="598" t="s">
        <v>1144</v>
      </c>
      <c r="AS2" s="586" t="s">
        <v>1151</v>
      </c>
      <c r="AU2" s="599" t="s">
        <v>1152</v>
      </c>
      <c r="AW2" s="599" t="s">
        <v>1153</v>
      </c>
      <c r="AX2" s="599" t="s">
        <v>1153</v>
      </c>
      <c r="AZ2" s="599" t="s">
        <v>1154</v>
      </c>
      <c r="BB2" s="599" t="s">
        <v>1155</v>
      </c>
      <c r="BC2" s="599" t="s">
        <v>1156</v>
      </c>
      <c r="BE2" s="599">
        <v>2000</v>
      </c>
      <c r="BF2" s="599" t="s">
        <v>1157</v>
      </c>
    </row>
    <row r="3" spans="1:79" ht="11.25" customHeight="1">
      <c r="A3" s="94" t="s">
        <v>1158</v>
      </c>
      <c r="B3" s="586">
        <v>2001</v>
      </c>
      <c r="C3" s="586">
        <v>2023</v>
      </c>
      <c r="D3" s="586" t="s">
        <v>3</v>
      </c>
      <c r="E3" s="587" t="s">
        <v>1159</v>
      </c>
      <c r="F3" s="587" t="s">
        <v>7</v>
      </c>
      <c r="G3" s="587" t="s">
        <v>1160</v>
      </c>
      <c r="H3" s="587" t="s">
        <v>1161</v>
      </c>
      <c r="I3" s="587" t="s">
        <v>39</v>
      </c>
      <c r="J3" s="587" t="s">
        <v>479</v>
      </c>
      <c r="K3" s="588" t="s">
        <v>1162</v>
      </c>
      <c r="L3" s="588">
        <f>IFERROR(MATCH(K3,OFFER_METHOD,0),0)</f>
        <v>0</v>
      </c>
      <c r="M3" s="588">
        <v>2</v>
      </c>
      <c r="N3" s="589" t="s">
        <v>1163</v>
      </c>
      <c r="O3" s="587" t="s">
        <v>1164</v>
      </c>
      <c r="P3" s="590" t="s">
        <v>1165</v>
      </c>
      <c r="Q3" s="591" t="s">
        <v>1166</v>
      </c>
      <c r="R3" s="592" t="s">
        <v>1167</v>
      </c>
      <c r="S3" s="592" t="s">
        <v>1168</v>
      </c>
      <c r="T3" s="593" t="s">
        <v>1169</v>
      </c>
      <c r="U3" s="588" t="s">
        <v>1170</v>
      </c>
      <c r="V3" s="594">
        <v>2</v>
      </c>
      <c r="W3" s="595"/>
      <c r="X3" s="595" t="s">
        <v>1171</v>
      </c>
      <c r="Y3" s="586" t="s">
        <v>1145</v>
      </c>
      <c r="Z3" s="596"/>
      <c r="AA3" s="586" t="s">
        <v>1172</v>
      </c>
      <c r="AB3" s="597" t="s">
        <v>1172</v>
      </c>
      <c r="AC3" s="586" t="s">
        <v>1173</v>
      </c>
      <c r="AD3" s="597" t="s">
        <v>1173</v>
      </c>
      <c r="AF3" s="587" t="s">
        <v>1170</v>
      </c>
      <c r="AH3" s="587" t="s">
        <v>1174</v>
      </c>
      <c r="AI3" s="587" t="s">
        <v>1175</v>
      </c>
      <c r="AK3" s="587" t="s">
        <v>1176</v>
      </c>
      <c r="AM3" s="587" t="s">
        <v>1177</v>
      </c>
      <c r="AP3" s="428" t="s">
        <v>1178</v>
      </c>
      <c r="AQ3" s="598" t="s">
        <v>1178</v>
      </c>
      <c r="AS3" s="586" t="s">
        <v>1179</v>
      </c>
      <c r="AU3" s="599" t="s">
        <v>1180</v>
      </c>
      <c r="AW3" s="599" t="s">
        <v>1181</v>
      </c>
      <c r="AX3" s="599" t="s">
        <v>1181</v>
      </c>
      <c r="AZ3" s="599" t="s">
        <v>1182</v>
      </c>
      <c r="BB3" s="599" t="s">
        <v>1183</v>
      </c>
      <c r="BC3" s="599" t="s">
        <v>1156</v>
      </c>
      <c r="BE3" s="599">
        <v>2001</v>
      </c>
      <c r="BF3" s="599" t="s">
        <v>1184</v>
      </c>
      <c r="BH3" s="579" t="s">
        <v>1185</v>
      </c>
      <c r="BJ3" s="579" t="s">
        <v>1186</v>
      </c>
      <c r="BL3" s="579" t="s">
        <v>1187</v>
      </c>
      <c r="BN3" s="579" t="s">
        <v>1188</v>
      </c>
      <c r="BR3" s="579" t="s">
        <v>1189</v>
      </c>
      <c r="BU3" s="579" t="s">
        <v>1190</v>
      </c>
      <c r="BX3" s="579" t="s">
        <v>1191</v>
      </c>
      <c r="CA3" s="579" t="s">
        <v>1192</v>
      </c>
    </row>
    <row r="4" spans="1:79" ht="11.25" customHeight="1">
      <c r="A4" s="94" t="s">
        <v>1193</v>
      </c>
      <c r="B4" s="586">
        <v>2002</v>
      </c>
      <c r="C4" s="586">
        <v>2024</v>
      </c>
      <c r="E4" s="587" t="s">
        <v>1194</v>
      </c>
      <c r="F4" s="587" t="s">
        <v>1195</v>
      </c>
      <c r="H4" s="587" t="s">
        <v>1196</v>
      </c>
      <c r="I4" s="587" t="s">
        <v>26</v>
      </c>
      <c r="J4" s="587" t="s">
        <v>1197</v>
      </c>
      <c r="K4" s="588" t="s">
        <v>1198</v>
      </c>
      <c r="L4" s="588">
        <f>IFERROR(MATCH(K4,OFFER_METHOD,0),0)</f>
        <v>0</v>
      </c>
      <c r="M4" s="588">
        <v>3</v>
      </c>
      <c r="N4" s="589" t="s">
        <v>1199</v>
      </c>
      <c r="O4" s="587" t="s">
        <v>1200</v>
      </c>
      <c r="Q4" s="591" t="s">
        <v>1201</v>
      </c>
      <c r="R4" s="592" t="s">
        <v>1202</v>
      </c>
      <c r="S4" s="592" t="s">
        <v>1203</v>
      </c>
      <c r="T4" s="593" t="s">
        <v>1204</v>
      </c>
      <c r="U4" s="588" t="s">
        <v>1205</v>
      </c>
      <c r="V4" s="594">
        <v>3</v>
      </c>
      <c r="W4" s="595"/>
      <c r="X4" s="595" t="s">
        <v>1206</v>
      </c>
      <c r="Y4" s="586" t="s">
        <v>1145</v>
      </c>
      <c r="AC4" s="586" t="s">
        <v>1207</v>
      </c>
      <c r="AD4" s="597" t="s">
        <v>1207</v>
      </c>
      <c r="AF4" s="587" t="s">
        <v>1205</v>
      </c>
      <c r="AH4" s="587" t="s">
        <v>1208</v>
      </c>
      <c r="AK4" s="587" t="s">
        <v>1209</v>
      </c>
      <c r="AM4" s="587" t="s">
        <v>1210</v>
      </c>
      <c r="AP4" s="428" t="s">
        <v>1171</v>
      </c>
      <c r="AQ4" s="598" t="s">
        <v>1171</v>
      </c>
      <c r="AS4" s="586" t="s">
        <v>1211</v>
      </c>
      <c r="AU4" s="599" t="s">
        <v>1212</v>
      </c>
      <c r="AW4" s="599" t="s">
        <v>1213</v>
      </c>
      <c r="AX4" s="599" t="s">
        <v>1213</v>
      </c>
      <c r="AZ4" s="599" t="s">
        <v>1214</v>
      </c>
      <c r="BB4" s="599" t="s">
        <v>1215</v>
      </c>
      <c r="BC4" s="599" t="s">
        <v>1216</v>
      </c>
      <c r="BE4" s="599">
        <v>2002</v>
      </c>
      <c r="BF4" s="599" t="s">
        <v>1217</v>
      </c>
      <c r="BH4" s="600" t="s">
        <v>1218</v>
      </c>
      <c r="BJ4" s="600" t="s">
        <v>1218</v>
      </c>
      <c r="BL4" s="600" t="s">
        <v>1218</v>
      </c>
      <c r="BN4" s="600" t="s">
        <v>1218</v>
      </c>
      <c r="BQ4" s="601" t="s">
        <v>1219</v>
      </c>
      <c r="BR4" s="428" t="s">
        <v>1220</v>
      </c>
      <c r="BT4" s="601" t="s">
        <v>1221</v>
      </c>
      <c r="BU4" s="428" t="s">
        <v>1222</v>
      </c>
      <c r="BW4" s="601" t="s">
        <v>1223</v>
      </c>
      <c r="BX4" s="428" t="s">
        <v>1224</v>
      </c>
      <c r="BZ4" s="601" t="s">
        <v>1225</v>
      </c>
      <c r="CA4" s="428" t="s">
        <v>1226</v>
      </c>
    </row>
    <row r="5" spans="1:79" ht="11.25" customHeight="1">
      <c r="A5" s="94" t="s">
        <v>1227</v>
      </c>
      <c r="B5" s="586">
        <v>2003</v>
      </c>
      <c r="C5" s="586">
        <v>2025</v>
      </c>
      <c r="E5" s="587" t="s">
        <v>1228</v>
      </c>
      <c r="F5" s="587" t="s">
        <v>1229</v>
      </c>
      <c r="H5" s="587" t="s">
        <v>1230</v>
      </c>
      <c r="I5" s="587" t="s">
        <v>27</v>
      </c>
      <c r="K5" s="588" t="s">
        <v>1231</v>
      </c>
      <c r="L5" s="588">
        <f>IFERROR(MATCH(K5,OFFER_METHOD,0),0)</f>
        <v>0</v>
      </c>
      <c r="M5" s="588">
        <v>4</v>
      </c>
      <c r="N5" s="602" t="s">
        <v>1232</v>
      </c>
      <c r="O5" s="587" t="s">
        <v>1233</v>
      </c>
      <c r="Q5" s="591" t="s">
        <v>1234</v>
      </c>
      <c r="R5" s="592" t="s">
        <v>1235</v>
      </c>
      <c r="T5" s="587" t="s">
        <v>1236</v>
      </c>
      <c r="U5" s="588" t="s">
        <v>1237</v>
      </c>
      <c r="V5" s="594">
        <v>4</v>
      </c>
      <c r="W5" s="595"/>
      <c r="X5" s="595" t="s">
        <v>91</v>
      </c>
      <c r="Y5" s="586" t="s">
        <v>1238</v>
      </c>
      <c r="Z5" s="59">
        <v>1</v>
      </c>
      <c r="AF5" s="587" t="s">
        <v>1239</v>
      </c>
      <c r="AH5" s="587" t="s">
        <v>1240</v>
      </c>
      <c r="AK5" s="587" t="s">
        <v>1241</v>
      </c>
      <c r="AM5" s="587" t="s">
        <v>1242</v>
      </c>
      <c r="AP5" s="428" t="s">
        <v>91</v>
      </c>
      <c r="AQ5" s="598" t="s">
        <v>91</v>
      </c>
      <c r="AU5" s="599" t="s">
        <v>1243</v>
      </c>
      <c r="AW5" s="599" t="s">
        <v>1244</v>
      </c>
      <c r="AX5" s="599" t="s">
        <v>1244</v>
      </c>
      <c r="AZ5" s="599" t="s">
        <v>1245</v>
      </c>
      <c r="BB5" s="599" t="s">
        <v>1246</v>
      </c>
      <c r="BC5" s="599" t="s">
        <v>1247</v>
      </c>
      <c r="BE5" s="599">
        <v>2003</v>
      </c>
      <c r="BF5" s="599" t="s">
        <v>1248</v>
      </c>
      <c r="BH5" s="600" t="s">
        <v>1249</v>
      </c>
      <c r="BJ5" s="600" t="s">
        <v>1249</v>
      </c>
      <c r="BL5" s="600" t="s">
        <v>1249</v>
      </c>
      <c r="BN5" s="600" t="s">
        <v>1250</v>
      </c>
      <c r="BQ5" s="599">
        <v>4213775</v>
      </c>
      <c r="BR5" s="600" t="s">
        <v>1144</v>
      </c>
      <c r="BT5" s="599">
        <v>64236871</v>
      </c>
      <c r="BU5" s="600" t="s">
        <v>152</v>
      </c>
      <c r="BW5" s="599">
        <v>4213767</v>
      </c>
      <c r="BX5" s="600" t="s">
        <v>1251</v>
      </c>
      <c r="BZ5" s="599">
        <v>64237509</v>
      </c>
      <c r="CA5" s="603" t="s">
        <v>1252</v>
      </c>
    </row>
    <row r="6" spans="1:79" ht="11.25" customHeight="1">
      <c r="A6" s="94" t="s">
        <v>1253</v>
      </c>
      <c r="B6" s="586">
        <v>2004</v>
      </c>
      <c r="C6" s="586">
        <v>2026</v>
      </c>
      <c r="E6" s="587" t="s">
        <v>1254</v>
      </c>
      <c r="H6" s="587" t="s">
        <v>1255</v>
      </c>
      <c r="I6" s="587" t="s">
        <v>40</v>
      </c>
      <c r="J6" s="579" t="s">
        <v>1256</v>
      </c>
      <c r="L6" s="588">
        <f>SUM(kind_of_control_method_filter)</f>
        <v>0</v>
      </c>
      <c r="N6" s="602" t="s">
        <v>1257</v>
      </c>
      <c r="O6" s="587" t="s">
        <v>1258</v>
      </c>
      <c r="R6" s="592" t="s">
        <v>1139</v>
      </c>
      <c r="T6" s="587" t="s">
        <v>1259</v>
      </c>
      <c r="U6" s="588" t="s">
        <v>1239</v>
      </c>
      <c r="V6" s="594">
        <v>5</v>
      </c>
      <c r="W6" s="595"/>
      <c r="X6" s="586" t="s">
        <v>97</v>
      </c>
      <c r="Y6" s="586" t="s">
        <v>1260</v>
      </c>
      <c r="AH6" s="587" t="s">
        <v>1261</v>
      </c>
      <c r="AK6" s="587" t="s">
        <v>1262</v>
      </c>
      <c r="AM6" s="587" t="s">
        <v>1263</v>
      </c>
      <c r="AP6" s="428" t="s">
        <v>97</v>
      </c>
      <c r="AQ6" s="598" t="s">
        <v>97</v>
      </c>
      <c r="AU6" s="599" t="s">
        <v>1264</v>
      </c>
      <c r="AW6" s="599" t="s">
        <v>1265</v>
      </c>
      <c r="AX6" s="599" t="s">
        <v>1265</v>
      </c>
      <c r="BB6" s="599" t="s">
        <v>1266</v>
      </c>
      <c r="BC6" s="599" t="s">
        <v>1247</v>
      </c>
      <c r="BE6" s="599">
        <v>2004</v>
      </c>
      <c r="BF6" s="599" t="s">
        <v>1267</v>
      </c>
      <c r="BH6" s="600" t="s">
        <v>1268</v>
      </c>
      <c r="BJ6" s="600" t="s">
        <v>1269</v>
      </c>
      <c r="BL6" s="600" t="s">
        <v>1269</v>
      </c>
      <c r="BN6" s="600" t="s">
        <v>1270</v>
      </c>
      <c r="BQ6" s="599">
        <v>4213784</v>
      </c>
      <c r="BR6" s="603" t="s">
        <v>1178</v>
      </c>
      <c r="BT6" s="599">
        <v>64236872</v>
      </c>
      <c r="BU6" s="600" t="s">
        <v>157</v>
      </c>
      <c r="BW6" s="599">
        <v>4213768</v>
      </c>
      <c r="BX6" s="600" t="s">
        <v>177</v>
      </c>
      <c r="BZ6" s="599">
        <v>64237510</v>
      </c>
      <c r="CA6" s="600" t="s">
        <v>1271</v>
      </c>
    </row>
    <row r="7" spans="1:79" ht="11.25" customHeight="1">
      <c r="A7" s="94" t="s">
        <v>1272</v>
      </c>
      <c r="B7" s="586">
        <v>2005</v>
      </c>
      <c r="E7" s="587" t="s">
        <v>1273</v>
      </c>
      <c r="H7" s="587" t="s">
        <v>1274</v>
      </c>
      <c r="I7" s="587" t="s">
        <v>28</v>
      </c>
      <c r="J7" s="587" t="s">
        <v>1275</v>
      </c>
      <c r="N7" s="604" t="s">
        <v>1276</v>
      </c>
      <c r="O7" s="587" t="s">
        <v>1277</v>
      </c>
      <c r="U7" s="588" t="s">
        <v>3</v>
      </c>
      <c r="V7" s="605" t="s">
        <v>28</v>
      </c>
      <c r="W7" s="595"/>
      <c r="X7" s="586" t="s">
        <v>103</v>
      </c>
      <c r="Y7" s="586" t="s">
        <v>1238</v>
      </c>
      <c r="AH7" s="587" t="s">
        <v>1278</v>
      </c>
      <c r="AK7" s="587" t="s">
        <v>1279</v>
      </c>
      <c r="AM7" s="587" t="s">
        <v>1280</v>
      </c>
      <c r="AP7" s="428" t="s">
        <v>103</v>
      </c>
      <c r="AQ7" s="598" t="s">
        <v>103</v>
      </c>
      <c r="AU7" s="599" t="s">
        <v>1281</v>
      </c>
      <c r="AW7" s="599" t="s">
        <v>1282</v>
      </c>
      <c r="AX7" s="599" t="s">
        <v>1282</v>
      </c>
      <c r="AZ7" s="579" t="s">
        <v>1283</v>
      </c>
      <c r="BB7" s="599" t="s">
        <v>1284</v>
      </c>
      <c r="BC7" s="599" t="s">
        <v>1247</v>
      </c>
      <c r="BE7" s="599">
        <v>2005</v>
      </c>
      <c r="BF7" s="599" t="s">
        <v>1285</v>
      </c>
      <c r="BH7" s="600" t="s">
        <v>1286</v>
      </c>
      <c r="BJ7" s="600" t="s">
        <v>1268</v>
      </c>
      <c r="BL7" s="600" t="s">
        <v>1268</v>
      </c>
      <c r="BN7" s="600" t="s">
        <v>1287</v>
      </c>
      <c r="BQ7" s="599">
        <v>4213781</v>
      </c>
      <c r="BR7" s="600" t="s">
        <v>1171</v>
      </c>
      <c r="BT7" s="599">
        <v>64236873</v>
      </c>
      <c r="BU7" s="600" t="s">
        <v>162</v>
      </c>
      <c r="BW7" s="599">
        <v>4213769</v>
      </c>
      <c r="BX7" s="600" t="s">
        <v>1288</v>
      </c>
      <c r="BZ7" s="599">
        <v>64237511</v>
      </c>
      <c r="CA7" s="600" t="s">
        <v>192</v>
      </c>
    </row>
    <row r="8" spans="1:79" ht="11.25" customHeight="1">
      <c r="A8" s="94" t="s">
        <v>1289</v>
      </c>
      <c r="B8" s="586">
        <v>2006</v>
      </c>
      <c r="E8" s="587" t="s">
        <v>1290</v>
      </c>
      <c r="H8" s="587" t="s">
        <v>1291</v>
      </c>
      <c r="I8" s="587" t="s">
        <v>29</v>
      </c>
      <c r="J8" s="587" t="s">
        <v>1292</v>
      </c>
      <c r="N8" s="606" t="s">
        <v>1293</v>
      </c>
      <c r="O8" s="587" t="s">
        <v>1294</v>
      </c>
      <c r="V8" s="605" t="s">
        <v>29</v>
      </c>
      <c r="W8" s="595"/>
      <c r="X8" s="586" t="s">
        <v>109</v>
      </c>
      <c r="Y8" s="586" t="s">
        <v>1238</v>
      </c>
      <c r="AK8" s="587" t="s">
        <v>1295</v>
      </c>
      <c r="AP8" s="428" t="s">
        <v>109</v>
      </c>
      <c r="AQ8" s="598" t="s">
        <v>109</v>
      </c>
      <c r="AU8" s="599" t="s">
        <v>1296</v>
      </c>
      <c r="AW8" s="599" t="s">
        <v>1297</v>
      </c>
      <c r="AX8" s="599" t="s">
        <v>1297</v>
      </c>
      <c r="AZ8" s="599" t="s">
        <v>1298</v>
      </c>
      <c r="BB8" s="599" t="s">
        <v>1299</v>
      </c>
      <c r="BC8" s="599" t="s">
        <v>1247</v>
      </c>
      <c r="BE8" s="599">
        <v>2006</v>
      </c>
      <c r="BF8" s="599" t="s">
        <v>1300</v>
      </c>
      <c r="BH8" s="600" t="s">
        <v>1301</v>
      </c>
      <c r="BJ8" s="600" t="s">
        <v>1302</v>
      </c>
      <c r="BL8" s="600" t="s">
        <v>1302</v>
      </c>
      <c r="BN8" s="600" t="s">
        <v>1303</v>
      </c>
      <c r="BQ8" s="599">
        <v>4213776</v>
      </c>
      <c r="BR8" s="600" t="s">
        <v>91</v>
      </c>
      <c r="BT8" s="599">
        <v>64236874</v>
      </c>
      <c r="BU8" s="603" t="s">
        <v>1304</v>
      </c>
      <c r="BW8" s="599">
        <v>4213770</v>
      </c>
      <c r="BX8" s="603" t="s">
        <v>1305</v>
      </c>
      <c r="BZ8" s="599">
        <v>64237512</v>
      </c>
      <c r="CA8" s="600" t="s">
        <v>187</v>
      </c>
    </row>
    <row r="9" spans="1:79" ht="11.25" customHeight="1">
      <c r="A9" s="94" t="s">
        <v>1306</v>
      </c>
      <c r="B9" s="586">
        <v>2007</v>
      </c>
      <c r="E9" s="587" t="s">
        <v>1307</v>
      </c>
      <c r="G9" s="579" t="s">
        <v>1308</v>
      </c>
      <c r="H9" s="579" t="s">
        <v>1309</v>
      </c>
      <c r="I9" s="587" t="s">
        <v>41</v>
      </c>
      <c r="O9" s="587" t="s">
        <v>1310</v>
      </c>
      <c r="V9" s="605" t="s">
        <v>41</v>
      </c>
      <c r="W9" s="595"/>
      <c r="X9" s="586" t="s">
        <v>115</v>
      </c>
      <c r="Y9" s="586" t="s">
        <v>1145</v>
      </c>
      <c r="Z9" s="59">
        <v>1</v>
      </c>
      <c r="AK9" s="587" t="s">
        <v>1311</v>
      </c>
      <c r="AP9" s="428" t="s">
        <v>1312</v>
      </c>
      <c r="AQ9" s="598" t="s">
        <v>1312</v>
      </c>
      <c r="AW9" s="599" t="s">
        <v>1313</v>
      </c>
      <c r="AX9" s="599" t="s">
        <v>1313</v>
      </c>
      <c r="AZ9" s="599" t="s">
        <v>1314</v>
      </c>
      <c r="BB9" s="599" t="s">
        <v>1315</v>
      </c>
      <c r="BC9" s="599" t="s">
        <v>1247</v>
      </c>
      <c r="BE9" s="599">
        <v>2007</v>
      </c>
      <c r="BF9" s="599" t="s">
        <v>1316</v>
      </c>
      <c r="BH9" s="600" t="s">
        <v>1317</v>
      </c>
      <c r="BJ9" s="600" t="s">
        <v>1318</v>
      </c>
      <c r="BL9" s="600" t="s">
        <v>1318</v>
      </c>
      <c r="BN9" s="600" t="s">
        <v>1319</v>
      </c>
      <c r="BQ9" s="599">
        <v>4213777</v>
      </c>
      <c r="BR9" s="600" t="s">
        <v>97</v>
      </c>
      <c r="BT9" s="599">
        <v>64236875</v>
      </c>
      <c r="BU9" s="600" t="s">
        <v>167</v>
      </c>
    </row>
    <row r="10" spans="1:79" ht="11.25" customHeight="1">
      <c r="A10" s="94" t="s">
        <v>1320</v>
      </c>
      <c r="B10" s="586">
        <v>2008</v>
      </c>
      <c r="E10" s="587" t="s">
        <v>1321</v>
      </c>
      <c r="G10" s="587" t="s">
        <v>1322</v>
      </c>
      <c r="H10" s="587" t="s">
        <v>1323</v>
      </c>
      <c r="I10" s="587" t="s">
        <v>73</v>
      </c>
      <c r="J10" s="579" t="s">
        <v>1324</v>
      </c>
      <c r="K10" s="579" t="s">
        <v>1325</v>
      </c>
      <c r="O10" s="587" t="s">
        <v>1326</v>
      </c>
      <c r="V10" s="607" t="s">
        <v>73</v>
      </c>
      <c r="W10" s="608"/>
      <c r="X10" s="608" t="s">
        <v>1327</v>
      </c>
      <c r="Y10" s="609" t="s">
        <v>1328</v>
      </c>
      <c r="AP10" s="428" t="s">
        <v>1327</v>
      </c>
      <c r="AQ10" s="598" t="s">
        <v>1327</v>
      </c>
      <c r="AW10" s="599" t="s">
        <v>1329</v>
      </c>
      <c r="AX10" s="599" t="s">
        <v>1329</v>
      </c>
      <c r="AZ10" s="599" t="s">
        <v>1330</v>
      </c>
      <c r="BB10" s="599" t="s">
        <v>1331</v>
      </c>
      <c r="BC10" s="599" t="s">
        <v>1247</v>
      </c>
      <c r="BE10" s="599">
        <v>2008</v>
      </c>
      <c r="BF10" s="599" t="s">
        <v>1332</v>
      </c>
      <c r="BH10" s="600" t="s">
        <v>1333</v>
      </c>
      <c r="BJ10" s="600" t="s">
        <v>1334</v>
      </c>
      <c r="BL10" s="600" t="s">
        <v>1334</v>
      </c>
      <c r="BN10" s="600" t="s">
        <v>1335</v>
      </c>
      <c r="BQ10" s="599">
        <v>4213778</v>
      </c>
      <c r="BR10" s="600" t="s">
        <v>103</v>
      </c>
      <c r="BT10" s="599">
        <v>64236876</v>
      </c>
      <c r="BU10" s="600" t="s">
        <v>147</v>
      </c>
    </row>
    <row r="11" spans="1:79" ht="11.25" customHeight="1">
      <c r="A11" s="94" t="s">
        <v>1336</v>
      </c>
      <c r="B11" s="586">
        <v>2009</v>
      </c>
      <c r="E11" s="587" t="s">
        <v>1337</v>
      </c>
      <c r="G11" s="587" t="s">
        <v>1338</v>
      </c>
      <c r="H11" s="587" t="s">
        <v>1339</v>
      </c>
      <c r="I11" s="587" t="s">
        <v>74</v>
      </c>
      <c r="J11" s="587" t="s">
        <v>1340</v>
      </c>
      <c r="K11" s="610" t="s">
        <v>1341</v>
      </c>
      <c r="O11" s="587" t="s">
        <v>1342</v>
      </c>
      <c r="V11" s="605" t="s">
        <v>74</v>
      </c>
      <c r="W11" s="611"/>
      <c r="X11" s="595" t="s">
        <v>1312</v>
      </c>
      <c r="Y11" s="586" t="s">
        <v>1343</v>
      </c>
      <c r="AP11" s="428" t="s">
        <v>115</v>
      </c>
      <c r="AQ11" s="612" t="s">
        <v>115</v>
      </c>
      <c r="AW11" s="599" t="s">
        <v>1344</v>
      </c>
      <c r="AX11" s="599" t="s">
        <v>1344</v>
      </c>
      <c r="AZ11" s="599" t="s">
        <v>1345</v>
      </c>
      <c r="BB11" s="599" t="s">
        <v>1346</v>
      </c>
      <c r="BC11" s="599" t="s">
        <v>1247</v>
      </c>
      <c r="BE11" s="599">
        <v>2009</v>
      </c>
      <c r="BF11" s="599" t="s">
        <v>1347</v>
      </c>
      <c r="BH11" s="600" t="s">
        <v>1348</v>
      </c>
      <c r="BJ11" s="600" t="s">
        <v>1317</v>
      </c>
      <c r="BL11" s="600" t="s">
        <v>1317</v>
      </c>
      <c r="BN11" s="600" t="s">
        <v>1349</v>
      </c>
      <c r="BQ11" s="599">
        <v>4213780</v>
      </c>
      <c r="BR11" s="600" t="s">
        <v>109</v>
      </c>
    </row>
    <row r="12" spans="1:79" ht="11.25" customHeight="1">
      <c r="A12" s="94" t="s">
        <v>1350</v>
      </c>
      <c r="B12" s="586">
        <v>2010</v>
      </c>
      <c r="E12" s="587" t="s">
        <v>1351</v>
      </c>
      <c r="G12" s="587" t="s">
        <v>1339</v>
      </c>
      <c r="I12" s="587" t="s">
        <v>75</v>
      </c>
      <c r="J12" s="587" t="s">
        <v>1352</v>
      </c>
      <c r="K12" s="610" t="s">
        <v>1353</v>
      </c>
      <c r="O12" s="587" t="s">
        <v>1139</v>
      </c>
      <c r="V12" s="605" t="s">
        <v>75</v>
      </c>
      <c r="W12" s="612"/>
      <c r="X12" s="595" t="s">
        <v>1354</v>
      </c>
      <c r="Y12" s="586" t="s">
        <v>1145</v>
      </c>
      <c r="AW12" s="599" t="s">
        <v>74</v>
      </c>
      <c r="AX12" s="599" t="s">
        <v>74</v>
      </c>
      <c r="AZ12" s="599" t="s">
        <v>1355</v>
      </c>
      <c r="BB12" s="599" t="s">
        <v>1356</v>
      </c>
      <c r="BC12" s="599" t="s">
        <v>1247</v>
      </c>
      <c r="BE12" s="599">
        <v>2010</v>
      </c>
      <c r="BF12" s="599" t="s">
        <v>1357</v>
      </c>
      <c r="BH12" s="600" t="s">
        <v>1358</v>
      </c>
      <c r="BJ12" s="600" t="s">
        <v>1359</v>
      </c>
      <c r="BL12" s="600" t="s">
        <v>1359</v>
      </c>
      <c r="BN12" s="600" t="s">
        <v>1360</v>
      </c>
      <c r="BQ12" s="599">
        <v>4213779</v>
      </c>
      <c r="BR12" s="600" t="s">
        <v>1312</v>
      </c>
    </row>
    <row r="13" spans="1:79" ht="11.25" customHeight="1">
      <c r="A13" s="94" t="s">
        <v>2</v>
      </c>
      <c r="B13" s="586">
        <v>2011</v>
      </c>
      <c r="E13" s="587" t="s">
        <v>1361</v>
      </c>
      <c r="I13" s="587" t="s">
        <v>76</v>
      </c>
      <c r="K13" s="610" t="s">
        <v>1311</v>
      </c>
      <c r="V13" s="605" t="s">
        <v>76</v>
      </c>
      <c r="W13" s="612"/>
      <c r="X13" s="612"/>
      <c r="Y13" s="612"/>
      <c r="AW13" s="599" t="s">
        <v>75</v>
      </c>
      <c r="AX13" s="599" t="s">
        <v>75</v>
      </c>
      <c r="BB13" s="599" t="s">
        <v>1362</v>
      </c>
      <c r="BC13" s="599" t="s">
        <v>1363</v>
      </c>
      <c r="BE13" s="599">
        <v>2011</v>
      </c>
      <c r="BF13" s="599" t="s">
        <v>1364</v>
      </c>
      <c r="BH13" s="600" t="s">
        <v>1365</v>
      </c>
      <c r="BJ13" s="600" t="s">
        <v>1348</v>
      </c>
      <c r="BL13" s="600" t="s">
        <v>1348</v>
      </c>
      <c r="BN13" s="600" t="s">
        <v>1366</v>
      </c>
      <c r="BQ13" s="599">
        <v>4213783</v>
      </c>
      <c r="BR13" s="600" t="s">
        <v>1327</v>
      </c>
    </row>
    <row r="14" spans="1:79" ht="11.25" customHeight="1">
      <c r="A14" s="94" t="s">
        <v>1367</v>
      </c>
      <c r="B14" s="586">
        <v>2012</v>
      </c>
      <c r="I14" s="587" t="s">
        <v>77</v>
      </c>
      <c r="J14" s="579" t="s">
        <v>1368</v>
      </c>
      <c r="N14" s="579" t="s">
        <v>1369</v>
      </c>
      <c r="V14" s="594">
        <v>13</v>
      </c>
      <c r="W14" s="595"/>
      <c r="X14" s="595" t="s">
        <v>1178</v>
      </c>
      <c r="Y14" s="586" t="s">
        <v>1145</v>
      </c>
      <c r="AW14" s="599" t="s">
        <v>76</v>
      </c>
      <c r="AX14" s="599" t="s">
        <v>76</v>
      </c>
      <c r="AZ14" s="579" t="s">
        <v>1370</v>
      </c>
      <c r="BB14" s="599" t="s">
        <v>1371</v>
      </c>
      <c r="BC14" s="599" t="s">
        <v>1363</v>
      </c>
      <c r="BE14" s="599">
        <v>2012</v>
      </c>
      <c r="BH14" s="600" t="s">
        <v>1287</v>
      </c>
      <c r="BJ14" s="613" t="s">
        <v>1372</v>
      </c>
      <c r="BL14" s="613" t="s">
        <v>1372</v>
      </c>
      <c r="BN14" s="600" t="s">
        <v>1373</v>
      </c>
      <c r="BQ14" s="599">
        <v>4213782</v>
      </c>
      <c r="BR14" s="600" t="s">
        <v>115</v>
      </c>
    </row>
    <row r="15" spans="1:79" ht="19.5" customHeight="1">
      <c r="A15" s="94" t="s">
        <v>1374</v>
      </c>
      <c r="B15" s="586">
        <v>2013</v>
      </c>
      <c r="E15" s="614" t="s">
        <v>1375</v>
      </c>
      <c r="G15" s="579" t="s">
        <v>1376</v>
      </c>
      <c r="H15" s="579" t="s">
        <v>1377</v>
      </c>
      <c r="I15" s="588" t="s">
        <v>78</v>
      </c>
      <c r="J15" s="612" t="s">
        <v>506</v>
      </c>
      <c r="N15" s="615" t="s">
        <v>1378</v>
      </c>
      <c r="AW15" s="599" t="s">
        <v>77</v>
      </c>
      <c r="AX15" s="599" t="s">
        <v>77</v>
      </c>
      <c r="AZ15" s="599" t="s">
        <v>1298</v>
      </c>
      <c r="BB15" s="599" t="s">
        <v>1379</v>
      </c>
      <c r="BC15" s="599" t="s">
        <v>1363</v>
      </c>
      <c r="BE15" s="599">
        <v>2013</v>
      </c>
      <c r="BH15" s="600" t="s">
        <v>1303</v>
      </c>
      <c r="BJ15" s="613" t="s">
        <v>1380</v>
      </c>
      <c r="BL15" s="613" t="s">
        <v>1380</v>
      </c>
      <c r="BN15" s="600" t="s">
        <v>1381</v>
      </c>
    </row>
    <row r="16" spans="1:79" ht="21" customHeight="1">
      <c r="A16" s="616" t="s">
        <v>1382</v>
      </c>
      <c r="B16" s="586">
        <v>2014</v>
      </c>
      <c r="E16" s="617" t="s">
        <v>1383</v>
      </c>
      <c r="G16" s="587" t="s">
        <v>1384</v>
      </c>
      <c r="H16" s="587" t="s">
        <v>1385</v>
      </c>
      <c r="I16" s="588" t="s">
        <v>1386</v>
      </c>
      <c r="J16" s="612" t="s">
        <v>479</v>
      </c>
      <c r="N16" s="615" t="s">
        <v>1387</v>
      </c>
      <c r="AW16" s="599" t="s">
        <v>78</v>
      </c>
      <c r="AX16" s="599" t="s">
        <v>78</v>
      </c>
      <c r="AZ16" s="599" t="s">
        <v>1314</v>
      </c>
      <c r="BB16" s="599" t="s">
        <v>1388</v>
      </c>
      <c r="BC16" s="599" t="s">
        <v>1363</v>
      </c>
      <c r="BE16" s="599">
        <v>2014</v>
      </c>
      <c r="BH16" s="600" t="s">
        <v>1319</v>
      </c>
      <c r="BJ16" s="613" t="s">
        <v>1389</v>
      </c>
      <c r="BL16" s="613" t="s">
        <v>1389</v>
      </c>
      <c r="BN16" s="600" t="s">
        <v>1390</v>
      </c>
    </row>
    <row r="17" spans="1:82" ht="21" customHeight="1">
      <c r="A17" s="94" t="s">
        <v>1391</v>
      </c>
      <c r="B17" s="586">
        <v>2015</v>
      </c>
      <c r="G17" s="587" t="s">
        <v>1339</v>
      </c>
      <c r="H17" s="587" t="s">
        <v>1339</v>
      </c>
      <c r="I17" s="587" t="s">
        <v>1392</v>
      </c>
      <c r="N17" s="615" t="s">
        <v>1393</v>
      </c>
      <c r="AW17" s="599" t="s">
        <v>1386</v>
      </c>
      <c r="AX17" s="599" t="s">
        <v>1386</v>
      </c>
      <c r="AZ17" s="599" t="s">
        <v>1394</v>
      </c>
      <c r="BB17" s="599" t="s">
        <v>1395</v>
      </c>
      <c r="BC17" s="599" t="s">
        <v>1247</v>
      </c>
      <c r="BE17" s="599">
        <v>2015</v>
      </c>
      <c r="BH17" s="600" t="s">
        <v>1335</v>
      </c>
      <c r="BJ17" s="613" t="s">
        <v>1396</v>
      </c>
      <c r="BL17" s="613" t="s">
        <v>1396</v>
      </c>
      <c r="BN17" s="600" t="s">
        <v>1397</v>
      </c>
      <c r="BR17" s="579" t="s">
        <v>1189</v>
      </c>
      <c r="BU17" s="579" t="s">
        <v>1398</v>
      </c>
      <c r="BX17" s="579" t="s">
        <v>1399</v>
      </c>
      <c r="CA17" s="579" t="s">
        <v>1400</v>
      </c>
      <c r="CD17" s="579" t="s">
        <v>1401</v>
      </c>
    </row>
    <row r="18" spans="1:82" ht="21" customHeight="1">
      <c r="A18" s="94" t="s">
        <v>1402</v>
      </c>
      <c r="B18" s="586">
        <v>2016</v>
      </c>
      <c r="E18" s="618" t="s">
        <v>1403</v>
      </c>
      <c r="I18" s="587" t="s">
        <v>1404</v>
      </c>
      <c r="N18" s="615" t="s">
        <v>1405</v>
      </c>
      <c r="AW18" s="599" t="s">
        <v>1392</v>
      </c>
      <c r="AX18" s="599" t="s">
        <v>1392</v>
      </c>
      <c r="BB18" s="599" t="s">
        <v>1406</v>
      </c>
      <c r="BC18" s="599" t="s">
        <v>1247</v>
      </c>
      <c r="BE18" s="599">
        <v>2016</v>
      </c>
      <c r="BH18" s="600" t="s">
        <v>1349</v>
      </c>
      <c r="BJ18" s="613" t="s">
        <v>1407</v>
      </c>
      <c r="BL18" s="613" t="s">
        <v>1407</v>
      </c>
      <c r="BN18" s="600" t="s">
        <v>1408</v>
      </c>
      <c r="BQ18" s="601" t="s">
        <v>1219</v>
      </c>
      <c r="BR18" s="428" t="s">
        <v>1220</v>
      </c>
      <c r="BT18" s="601" t="s">
        <v>1409</v>
      </c>
      <c r="BU18" s="428" t="s">
        <v>1410</v>
      </c>
      <c r="BW18" s="601" t="s">
        <v>1411</v>
      </c>
      <c r="BX18" s="428" t="s">
        <v>1412</v>
      </c>
      <c r="BZ18" s="601" t="s">
        <v>1413</v>
      </c>
      <c r="CA18" s="428" t="s">
        <v>1414</v>
      </c>
      <c r="CC18" s="601" t="s">
        <v>1415</v>
      </c>
      <c r="CD18" s="428" t="s">
        <v>1416</v>
      </c>
    </row>
    <row r="19" spans="1:82" ht="21" customHeight="1">
      <c r="A19" s="616" t="s">
        <v>1417</v>
      </c>
      <c r="B19" s="586">
        <v>2017</v>
      </c>
      <c r="E19" s="94" t="s">
        <v>90</v>
      </c>
      <c r="I19" s="587" t="s">
        <v>1418</v>
      </c>
      <c r="N19" s="615" t="s">
        <v>1419</v>
      </c>
      <c r="AW19" s="599" t="s">
        <v>1404</v>
      </c>
      <c r="AX19" s="599" t="s">
        <v>1404</v>
      </c>
      <c r="AZ19" s="579" t="s">
        <v>1420</v>
      </c>
      <c r="BB19" s="599" t="s">
        <v>1421</v>
      </c>
      <c r="BC19" s="599" t="s">
        <v>1247</v>
      </c>
      <c r="BE19" s="599">
        <v>2017</v>
      </c>
      <c r="BH19" s="600" t="s">
        <v>1422</v>
      </c>
      <c r="BJ19" s="613" t="s">
        <v>1423</v>
      </c>
      <c r="BL19" s="613" t="s">
        <v>1423</v>
      </c>
      <c r="BQ19" s="599">
        <v>4190064</v>
      </c>
      <c r="BR19" s="600" t="s">
        <v>1424</v>
      </c>
      <c r="BT19" s="599">
        <v>4189671</v>
      </c>
      <c r="BU19" s="600" t="s">
        <v>1425</v>
      </c>
      <c r="BW19" s="599">
        <v>4189706</v>
      </c>
      <c r="BX19" s="600" t="s">
        <v>1426</v>
      </c>
      <c r="BZ19" s="599">
        <v>4189714</v>
      </c>
      <c r="CA19" s="600" t="s">
        <v>1427</v>
      </c>
      <c r="CC19" s="599">
        <v>4189708</v>
      </c>
      <c r="CD19" s="600" t="s">
        <v>1428</v>
      </c>
    </row>
    <row r="20" spans="1:82" ht="21" customHeight="1">
      <c r="A20" s="94" t="s">
        <v>1429</v>
      </c>
      <c r="B20" s="586">
        <v>2018</v>
      </c>
      <c r="E20" s="94" t="s">
        <v>1178</v>
      </c>
      <c r="I20" s="587" t="s">
        <v>1430</v>
      </c>
      <c r="N20" s="615" t="s">
        <v>1431</v>
      </c>
      <c r="AW20" s="599" t="s">
        <v>1418</v>
      </c>
      <c r="AX20" s="599" t="s">
        <v>1418</v>
      </c>
      <c r="AZ20" s="599" t="s">
        <v>1432</v>
      </c>
      <c r="BB20" s="599" t="s">
        <v>1433</v>
      </c>
      <c r="BC20" s="599" t="s">
        <v>1363</v>
      </c>
      <c r="BE20" s="599">
        <v>2018</v>
      </c>
      <c r="BH20" s="600" t="s">
        <v>1360</v>
      </c>
      <c r="BJ20" s="600" t="s">
        <v>1287</v>
      </c>
      <c r="BL20" s="600" t="s">
        <v>1287</v>
      </c>
      <c r="BQ20" s="599">
        <v>4190065</v>
      </c>
      <c r="BR20" s="600" t="s">
        <v>1434</v>
      </c>
      <c r="BT20" s="599">
        <v>4189672</v>
      </c>
      <c r="BU20" s="600" t="s">
        <v>1435</v>
      </c>
      <c r="BW20" s="599">
        <v>4189705</v>
      </c>
      <c r="BX20" s="600" t="s">
        <v>1436</v>
      </c>
      <c r="BZ20" s="599">
        <v>4189713</v>
      </c>
      <c r="CA20" s="600" t="s">
        <v>1436</v>
      </c>
      <c r="CC20" s="599">
        <v>4189709</v>
      </c>
      <c r="CD20" s="600" t="s">
        <v>1437</v>
      </c>
    </row>
    <row r="21" spans="1:82" ht="21" customHeight="1">
      <c r="A21" s="94" t="s">
        <v>1438</v>
      </c>
      <c r="B21" s="586">
        <v>2019</v>
      </c>
      <c r="I21" s="587" t="s">
        <v>1439</v>
      </c>
      <c r="N21" s="615" t="s">
        <v>1440</v>
      </c>
      <c r="AW21" s="599" t="s">
        <v>1430</v>
      </c>
      <c r="AX21" s="599" t="s">
        <v>1430</v>
      </c>
      <c r="AZ21" s="599" t="s">
        <v>1441</v>
      </c>
      <c r="BB21" s="599" t="s">
        <v>1442</v>
      </c>
      <c r="BC21" s="599" t="s">
        <v>1247</v>
      </c>
      <c r="BE21" s="599">
        <v>2019</v>
      </c>
      <c r="BH21" s="600" t="s">
        <v>1366</v>
      </c>
      <c r="BJ21" s="600" t="s">
        <v>1303</v>
      </c>
      <c r="BL21" s="600" t="s">
        <v>1303</v>
      </c>
      <c r="BQ21" s="599">
        <v>4190066</v>
      </c>
      <c r="BR21" s="600" t="s">
        <v>1443</v>
      </c>
      <c r="BT21" s="599">
        <v>4189673</v>
      </c>
      <c r="BU21" s="600" t="s">
        <v>1444</v>
      </c>
      <c r="BW21" s="599">
        <v>4189707</v>
      </c>
      <c r="BX21" s="600" t="s">
        <v>1445</v>
      </c>
      <c r="BZ21" s="599">
        <v>4189712</v>
      </c>
      <c r="CA21" s="600" t="s">
        <v>1446</v>
      </c>
      <c r="CC21" s="599">
        <v>4189710</v>
      </c>
      <c r="CD21" s="600" t="s">
        <v>1447</v>
      </c>
    </row>
    <row r="22" spans="1:82" ht="21" customHeight="1">
      <c r="A22" s="94" t="s">
        <v>1448</v>
      </c>
      <c r="B22" s="586">
        <v>2020</v>
      </c>
      <c r="N22" s="615" t="s">
        <v>1449</v>
      </c>
      <c r="AW22" s="599" t="s">
        <v>1439</v>
      </c>
      <c r="AX22" s="599" t="s">
        <v>1439</v>
      </c>
      <c r="AZ22" s="599" t="s">
        <v>1450</v>
      </c>
      <c r="BB22" s="599" t="s">
        <v>1451</v>
      </c>
      <c r="BC22" s="599" t="s">
        <v>1247</v>
      </c>
      <c r="BE22" s="599">
        <v>2020</v>
      </c>
      <c r="BH22" s="600" t="s">
        <v>1373</v>
      </c>
      <c r="BJ22" s="600" t="s">
        <v>1319</v>
      </c>
      <c r="BL22" s="600" t="s">
        <v>1319</v>
      </c>
      <c r="BQ22" s="599">
        <v>4190067</v>
      </c>
      <c r="BR22" s="600" t="s">
        <v>1452</v>
      </c>
      <c r="BT22" s="599">
        <v>4189674</v>
      </c>
      <c r="BU22" s="600" t="s">
        <v>1453</v>
      </c>
      <c r="CC22" s="599">
        <v>4189711</v>
      </c>
      <c r="CD22" s="600" t="s">
        <v>216</v>
      </c>
    </row>
    <row r="23" spans="1:82" ht="21" customHeight="1">
      <c r="A23" s="94" t="s">
        <v>1454</v>
      </c>
      <c r="B23" s="586">
        <v>2021</v>
      </c>
      <c r="AW23" s="599" t="s">
        <v>1455</v>
      </c>
      <c r="AX23" s="599" t="s">
        <v>1455</v>
      </c>
      <c r="AZ23" s="599" t="s">
        <v>1456</v>
      </c>
      <c r="BB23" s="599" t="s">
        <v>1457</v>
      </c>
      <c r="BC23" s="599" t="s">
        <v>1156</v>
      </c>
      <c r="BE23" s="599">
        <v>2021</v>
      </c>
      <c r="BH23" s="600" t="s">
        <v>1381</v>
      </c>
      <c r="BJ23" s="600" t="s">
        <v>1335</v>
      </c>
      <c r="BL23" s="600" t="s">
        <v>1335</v>
      </c>
      <c r="BQ23" s="599">
        <v>4190068</v>
      </c>
      <c r="BR23" s="600" t="s">
        <v>1458</v>
      </c>
      <c r="BT23" s="599">
        <v>4189675</v>
      </c>
      <c r="BU23" s="600" t="s">
        <v>1459</v>
      </c>
      <c r="CC23" s="599">
        <v>5110778</v>
      </c>
      <c r="CD23" s="600" t="s">
        <v>1460</v>
      </c>
    </row>
    <row r="24" spans="1:82" ht="21" customHeight="1">
      <c r="A24" s="94" t="s">
        <v>1461</v>
      </c>
      <c r="B24" s="586">
        <v>2022</v>
      </c>
      <c r="AW24" s="599" t="s">
        <v>1462</v>
      </c>
      <c r="AX24" s="599" t="s">
        <v>1462</v>
      </c>
      <c r="AZ24" s="599" t="s">
        <v>1463</v>
      </c>
      <c r="BB24" s="599" t="s">
        <v>1464</v>
      </c>
      <c r="BC24" s="599" t="s">
        <v>1465</v>
      </c>
      <c r="BE24" s="599">
        <v>2022</v>
      </c>
      <c r="BH24" s="600" t="s">
        <v>1390</v>
      </c>
      <c r="BJ24" s="600" t="s">
        <v>1349</v>
      </c>
      <c r="BL24" s="600" t="s">
        <v>1349</v>
      </c>
      <c r="BQ24" s="599">
        <v>4190069</v>
      </c>
      <c r="BR24" s="600" t="s">
        <v>1466</v>
      </c>
      <c r="BT24" s="599">
        <v>4189676</v>
      </c>
      <c r="BU24" s="600" t="s">
        <v>1467</v>
      </c>
      <c r="CC24" s="599">
        <v>25575374</v>
      </c>
      <c r="CD24" s="600" t="s">
        <v>1468</v>
      </c>
    </row>
    <row r="25" spans="1:82" ht="11.25" customHeight="1">
      <c r="A25" s="94" t="s">
        <v>1469</v>
      </c>
      <c r="B25" s="586">
        <v>2023</v>
      </c>
      <c r="AW25" s="599" t="s">
        <v>1470</v>
      </c>
      <c r="AX25" s="599" t="s">
        <v>1470</v>
      </c>
      <c r="AZ25" s="599" t="s">
        <v>1471</v>
      </c>
      <c r="BB25" s="599" t="s">
        <v>1472</v>
      </c>
      <c r="BC25" s="599" t="s">
        <v>1465</v>
      </c>
      <c r="BE25" s="599">
        <v>2023</v>
      </c>
      <c r="BH25" s="600" t="s">
        <v>1397</v>
      </c>
      <c r="BJ25" s="600" t="s">
        <v>1422</v>
      </c>
      <c r="BL25" s="600" t="s">
        <v>1422</v>
      </c>
      <c r="BQ25" s="599">
        <v>4190070</v>
      </c>
      <c r="BR25" s="600" t="s">
        <v>1473</v>
      </c>
      <c r="BT25" s="599">
        <v>4189677</v>
      </c>
      <c r="BU25" s="600" t="s">
        <v>1474</v>
      </c>
    </row>
    <row r="26" spans="1:82" ht="11.25" customHeight="1">
      <c r="A26" s="94" t="s">
        <v>1475</v>
      </c>
      <c r="B26" s="586">
        <v>2024</v>
      </c>
      <c r="J26" s="619" t="s">
        <v>1476</v>
      </c>
      <c r="AX26" s="599" t="s">
        <v>1477</v>
      </c>
      <c r="AZ26" s="599" t="s">
        <v>1342</v>
      </c>
      <c r="BB26" s="599" t="s">
        <v>1478</v>
      </c>
      <c r="BC26" s="599" t="s">
        <v>1465</v>
      </c>
      <c r="BE26" s="599">
        <v>2024</v>
      </c>
      <c r="BH26" s="600" t="s">
        <v>1408</v>
      </c>
      <c r="BJ26" s="600" t="s">
        <v>1360</v>
      </c>
      <c r="BL26" s="600" t="s">
        <v>1360</v>
      </c>
      <c r="BQ26" s="599">
        <v>4190071</v>
      </c>
      <c r="BR26" s="600" t="s">
        <v>1479</v>
      </c>
    </row>
    <row r="27" spans="1:82" ht="11.25" customHeight="1">
      <c r="A27" s="94" t="s">
        <v>1480</v>
      </c>
      <c r="B27" s="586">
        <v>2025</v>
      </c>
      <c r="J27" s="516" t="s">
        <v>612</v>
      </c>
      <c r="AX27" s="599" t="s">
        <v>1481</v>
      </c>
      <c r="BB27" s="599" t="s">
        <v>1482</v>
      </c>
      <c r="BC27" s="599" t="s">
        <v>1465</v>
      </c>
      <c r="BE27" s="599">
        <v>2025</v>
      </c>
      <c r="BH27" t="s">
        <v>4</v>
      </c>
      <c r="BJ27" s="600" t="s">
        <v>1366</v>
      </c>
      <c r="BL27" s="600" t="s">
        <v>1366</v>
      </c>
      <c r="BN27" t="s">
        <v>4</v>
      </c>
      <c r="BQ27" s="599">
        <v>4190072</v>
      </c>
      <c r="BR27" s="600" t="s">
        <v>1483</v>
      </c>
    </row>
    <row r="28" spans="1:82" ht="11.25" customHeight="1">
      <c r="A28" s="94" t="s">
        <v>1484</v>
      </c>
      <c r="E28" s="620"/>
      <c r="F28" s="620"/>
      <c r="H28" s="69" t="s">
        <v>1485</v>
      </c>
      <c r="AX28" s="599" t="s">
        <v>1486</v>
      </c>
      <c r="AZ28" s="579" t="s">
        <v>1487</v>
      </c>
      <c r="BB28" s="599" t="s">
        <v>1488</v>
      </c>
      <c r="BC28" s="599" t="s">
        <v>1489</v>
      </c>
      <c r="BE28" s="599">
        <v>2026</v>
      </c>
      <c r="BH28" t="s">
        <v>4</v>
      </c>
      <c r="BJ28" s="600" t="s">
        <v>1373</v>
      </c>
      <c r="BL28" s="600" t="s">
        <v>1373</v>
      </c>
      <c r="BN28" t="s">
        <v>4</v>
      </c>
      <c r="BQ28" s="599">
        <v>4190073</v>
      </c>
      <c r="BR28" s="600" t="s">
        <v>1490</v>
      </c>
    </row>
    <row r="29" spans="1:82" ht="11.25" customHeight="1">
      <c r="A29" s="94" t="s">
        <v>1491</v>
      </c>
      <c r="D29" s="621" t="s">
        <v>1492</v>
      </c>
      <c r="E29" s="622" t="str">
        <f ca="1">IF(TEMPLATE_GROUP="","",INDEX(StartDateList,MATCH(TEMPLATE_GROUP,CodeTemplateList,0),1))</f>
        <v>01.01.2026</v>
      </c>
      <c r="F29" s="622" t="str">
        <f ca="1">IF(TEMPLATE_GROUP="","",INDEX(EndDateList,MATCH(TEMPLATE_GROUP,CodeTemplateList,0),1))</f>
        <v>31.12.2026</v>
      </c>
      <c r="H29" s="623" t="s">
        <v>1493</v>
      </c>
      <c r="AX29" s="599" t="s">
        <v>1494</v>
      </c>
      <c r="AZ29" s="599" t="s">
        <v>1140</v>
      </c>
      <c r="BB29" s="599" t="s">
        <v>1342</v>
      </c>
      <c r="BE29" s="599">
        <v>2027</v>
      </c>
      <c r="BJ29" s="600" t="s">
        <v>1381</v>
      </c>
      <c r="BL29" s="600" t="s">
        <v>1381</v>
      </c>
    </row>
    <row r="30" spans="1:82" ht="11.25" customHeight="1">
      <c r="A30" s="94" t="s">
        <v>1495</v>
      </c>
      <c r="AX30" s="599" t="s">
        <v>1496</v>
      </c>
      <c r="AZ30" s="599" t="s">
        <v>1167</v>
      </c>
      <c r="BE30" s="599">
        <v>2028</v>
      </c>
      <c r="BJ30" s="600" t="s">
        <v>1497</v>
      </c>
      <c r="BL30" s="600" t="s">
        <v>1497</v>
      </c>
    </row>
    <row r="31" spans="1:82" ht="12.75" customHeight="1">
      <c r="A31" s="94" t="s">
        <v>1498</v>
      </c>
      <c r="E31" s="620"/>
      <c r="F31" s="620"/>
      <c r="H31" s="624"/>
      <c r="AX31" s="599" t="s">
        <v>1499</v>
      </c>
      <c r="AZ31" s="599" t="s">
        <v>1500</v>
      </c>
      <c r="BE31" s="599">
        <v>2029</v>
      </c>
      <c r="BJ31" s="600" t="s">
        <v>1501</v>
      </c>
      <c r="BL31" s="600" t="s">
        <v>1501</v>
      </c>
    </row>
    <row r="32" spans="1:82" ht="11.25" customHeight="1">
      <c r="A32" s="94" t="s">
        <v>1502</v>
      </c>
      <c r="D32" s="621" t="s">
        <v>1503</v>
      </c>
      <c r="E32" s="622" t="str">
        <f ca="1">IF(TEMPLATE_GROUP="","",INDEX(StartDateList,MATCH(TEMPLATE_GROUP,CodeTemplateList,0),1))</f>
        <v>01.01.2026</v>
      </c>
      <c r="F32" s="622" t="str">
        <f ca="1">IF(TEMPLATE_GROUP="","",INDEX(EndDateList,MATCH(TEMPLATE_GROUP,CodeTemplateList,0),1))</f>
        <v>31.12.2026</v>
      </c>
      <c r="H32" s="625" t="s">
        <v>1504</v>
      </c>
      <c r="O32" s="94" t="s">
        <v>1138</v>
      </c>
      <c r="AX32" s="599" t="s">
        <v>1505</v>
      </c>
      <c r="AZ32" s="599" t="s">
        <v>1235</v>
      </c>
      <c r="BE32" s="599">
        <v>2030</v>
      </c>
      <c r="BJ32" s="600" t="s">
        <v>1390</v>
      </c>
      <c r="BL32" s="600" t="s">
        <v>1390</v>
      </c>
    </row>
    <row r="33" spans="1:66" ht="11.25" customHeight="1">
      <c r="A33" s="94" t="s">
        <v>1506</v>
      </c>
      <c r="O33" s="94" t="s">
        <v>1164</v>
      </c>
      <c r="AX33" s="599" t="s">
        <v>1507</v>
      </c>
      <c r="AZ33" s="599" t="s">
        <v>1139</v>
      </c>
      <c r="BE33" s="599">
        <v>2031</v>
      </c>
      <c r="BJ33" s="600" t="s">
        <v>1397</v>
      </c>
      <c r="BL33" s="600" t="s">
        <v>1397</v>
      </c>
    </row>
    <row r="34" spans="1:66" ht="11.25" customHeight="1">
      <c r="A34" s="94" t="s">
        <v>1508</v>
      </c>
      <c r="O34" s="94" t="s">
        <v>1200</v>
      </c>
      <c r="AX34" s="599" t="s">
        <v>1509</v>
      </c>
      <c r="BE34" s="599">
        <v>2032</v>
      </c>
      <c r="BJ34" s="600" t="s">
        <v>1408</v>
      </c>
      <c r="BL34" s="600" t="s">
        <v>1408</v>
      </c>
    </row>
    <row r="35" spans="1:66" ht="11.25" customHeight="1">
      <c r="A35" s="94" t="s">
        <v>1510</v>
      </c>
      <c r="O35" s="94" t="s">
        <v>1233</v>
      </c>
      <c r="AX35" s="599" t="s">
        <v>1511</v>
      </c>
      <c r="AZ35" s="579" t="s">
        <v>1512</v>
      </c>
      <c r="BE35" s="599">
        <v>2033</v>
      </c>
      <c r="BL35" s="600" t="s">
        <v>1513</v>
      </c>
    </row>
    <row r="36" spans="1:66" ht="11.25" customHeight="1">
      <c r="A36" s="616" t="s">
        <v>1514</v>
      </c>
      <c r="D36" s="626" t="s">
        <v>1515</v>
      </c>
      <c r="E36" s="627" t="s">
        <v>817</v>
      </c>
      <c r="F36" s="598" t="str">
        <f>INDEX(E37:E41,MATCH(TEMPLATE_SPHERE,F37:F41,0))</f>
        <v>горячего водоснабжения</v>
      </c>
      <c r="G36" s="598" t="str">
        <f>INDEX(G37:G41,MATCH(TEMPLATE_SPHERE,F37:F41,0))</f>
        <v>горячее водоснабжение</v>
      </c>
      <c r="O36" s="94" t="s">
        <v>1258</v>
      </c>
      <c r="AX36" s="599" t="s">
        <v>1516</v>
      </c>
      <c r="AZ36" s="599" t="s">
        <v>1139</v>
      </c>
      <c r="BE36" s="599">
        <v>2034</v>
      </c>
      <c r="BL36" s="600" t="s">
        <v>1517</v>
      </c>
    </row>
    <row r="37" spans="1:66" ht="11.25" customHeight="1">
      <c r="A37" s="94" t="s">
        <v>1518</v>
      </c>
      <c r="E37" s="628" t="s">
        <v>1519</v>
      </c>
      <c r="F37" s="629" t="s">
        <v>731</v>
      </c>
      <c r="G37" s="628" t="s">
        <v>1520</v>
      </c>
      <c r="O37" s="94" t="s">
        <v>1277</v>
      </c>
      <c r="AX37" s="599" t="s">
        <v>1521</v>
      </c>
      <c r="AZ37" s="599" t="s">
        <v>1166</v>
      </c>
      <c r="BE37" s="599">
        <v>2035</v>
      </c>
    </row>
    <row r="38" spans="1:66" ht="11.25" customHeight="1">
      <c r="A38" s="94" t="s">
        <v>1522</v>
      </c>
      <c r="E38" s="628" t="s">
        <v>1523</v>
      </c>
      <c r="F38" s="630" t="s">
        <v>777</v>
      </c>
      <c r="G38" s="628" t="s">
        <v>1524</v>
      </c>
      <c r="O38" s="94" t="s">
        <v>1294</v>
      </c>
      <c r="AX38" s="599" t="s">
        <v>1525</v>
      </c>
      <c r="AZ38" s="599" t="s">
        <v>1201</v>
      </c>
      <c r="BE38" s="599">
        <v>2036</v>
      </c>
      <c r="BH38" s="579" t="s">
        <v>1526</v>
      </c>
      <c r="BJ38" s="579" t="s">
        <v>1527</v>
      </c>
      <c r="BL38" s="579" t="s">
        <v>1528</v>
      </c>
      <c r="BN38" s="579" t="s">
        <v>1529</v>
      </c>
    </row>
    <row r="39" spans="1:66" ht="11.25" customHeight="1">
      <c r="A39" s="94" t="s">
        <v>1530</v>
      </c>
      <c r="E39" s="628" t="s">
        <v>1531</v>
      </c>
      <c r="F39" s="630" t="s">
        <v>830</v>
      </c>
      <c r="G39" s="628" t="s">
        <v>1532</v>
      </c>
      <c r="O39" s="94" t="s">
        <v>1310</v>
      </c>
      <c r="AX39" s="599" t="s">
        <v>1533</v>
      </c>
      <c r="AZ39" s="599" t="s">
        <v>1234</v>
      </c>
      <c r="BE39" s="599">
        <v>2037</v>
      </c>
      <c r="BH39" s="600" t="s">
        <v>1534</v>
      </c>
      <c r="BJ39" s="613" t="s">
        <v>1534</v>
      </c>
      <c r="BL39" s="613" t="s">
        <v>1534</v>
      </c>
      <c r="BN39" s="600" t="s">
        <v>1535</v>
      </c>
    </row>
    <row r="40" spans="1:66" ht="11.25" customHeight="1">
      <c r="A40" s="94" t="s">
        <v>1536</v>
      </c>
      <c r="E40" s="628" t="s">
        <v>1537</v>
      </c>
      <c r="F40" s="630" t="s">
        <v>817</v>
      </c>
      <c r="G40" s="628" t="s">
        <v>1538</v>
      </c>
      <c r="O40" s="94" t="s">
        <v>1326</v>
      </c>
      <c r="AX40" s="599" t="s">
        <v>1539</v>
      </c>
      <c r="BE40" s="599">
        <v>2038</v>
      </c>
      <c r="BH40" s="600" t="s">
        <v>1540</v>
      </c>
      <c r="BJ40" s="613" t="s">
        <v>950</v>
      </c>
      <c r="BL40" s="613" t="s">
        <v>950</v>
      </c>
      <c r="BN40" s="600" t="s">
        <v>984</v>
      </c>
    </row>
    <row r="41" spans="1:66" ht="11.25" customHeight="1">
      <c r="A41" s="94" t="s">
        <v>1541</v>
      </c>
      <c r="E41" s="628" t="s">
        <v>1542</v>
      </c>
      <c r="F41" s="630" t="s">
        <v>1543</v>
      </c>
      <c r="G41" s="628" t="s">
        <v>1542</v>
      </c>
      <c r="O41" s="94" t="s">
        <v>1342</v>
      </c>
      <c r="AX41" s="599" t="s">
        <v>1544</v>
      </c>
      <c r="AZ41" s="579" t="s">
        <v>1545</v>
      </c>
      <c r="BE41" s="599">
        <v>2039</v>
      </c>
      <c r="BH41" s="600" t="s">
        <v>1546</v>
      </c>
      <c r="BJ41" s="613" t="s">
        <v>946</v>
      </c>
      <c r="BL41" s="613" t="s">
        <v>946</v>
      </c>
      <c r="BN41" s="600" t="s">
        <v>971</v>
      </c>
    </row>
    <row r="42" spans="1:66" ht="11.25" customHeight="1">
      <c r="A42" s="94" t="s">
        <v>1547</v>
      </c>
      <c r="AX42" s="599" t="s">
        <v>1548</v>
      </c>
      <c r="AZ42" s="599" t="s">
        <v>1138</v>
      </c>
      <c r="BE42" s="599">
        <v>2040</v>
      </c>
      <c r="BH42" s="600" t="s">
        <v>968</v>
      </c>
      <c r="BJ42" s="613" t="s">
        <v>948</v>
      </c>
      <c r="BL42" s="613" t="s">
        <v>948</v>
      </c>
      <c r="BN42" s="600" t="s">
        <v>1549</v>
      </c>
    </row>
    <row r="43" spans="1:66" ht="11.25" customHeight="1">
      <c r="A43" s="94" t="s">
        <v>1550</v>
      </c>
      <c r="AX43" s="599" t="s">
        <v>1551</v>
      </c>
      <c r="AZ43" s="599" t="s">
        <v>1164</v>
      </c>
      <c r="BE43" s="599">
        <v>2041</v>
      </c>
      <c r="BH43" s="600" t="s">
        <v>1552</v>
      </c>
      <c r="BJ43" s="613" t="s">
        <v>1546</v>
      </c>
      <c r="BL43" s="613" t="s">
        <v>1546</v>
      </c>
      <c r="BN43" s="600" t="s">
        <v>1553</v>
      </c>
    </row>
    <row r="44" spans="1:66" ht="11.25" customHeight="1">
      <c r="A44" s="94" t="s">
        <v>1554</v>
      </c>
      <c r="G44" s="481">
        <f ca="1">YEAR(TODAY())</f>
        <v>2026</v>
      </c>
      <c r="I44" s="631" t="s">
        <v>1555</v>
      </c>
      <c r="J44" s="612" t="s">
        <v>1556</v>
      </c>
      <c r="K44" s="612" t="s">
        <v>1557</v>
      </c>
      <c r="AX44" s="599" t="s">
        <v>1558</v>
      </c>
      <c r="AZ44" s="599" t="s">
        <v>1200</v>
      </c>
      <c r="BE44" s="599">
        <v>2042</v>
      </c>
      <c r="BH44" s="600" t="s">
        <v>1559</v>
      </c>
      <c r="BJ44" s="613" t="s">
        <v>968</v>
      </c>
      <c r="BL44" s="613" t="s">
        <v>968</v>
      </c>
      <c r="BN44" s="600" t="s">
        <v>1560</v>
      </c>
    </row>
    <row r="45" spans="1:66" ht="11.25" customHeight="1">
      <c r="A45" s="94" t="s">
        <v>1561</v>
      </c>
      <c r="D45" s="626" t="s">
        <v>1562</v>
      </c>
      <c r="E45" s="627" t="s">
        <v>1563</v>
      </c>
      <c r="F45" s="580" t="s">
        <v>1564</v>
      </c>
      <c r="G45" s="632" t="s">
        <v>1565</v>
      </c>
      <c r="H45" s="631" t="s">
        <v>1566</v>
      </c>
      <c r="I45" s="633" t="e">
        <f>INDEX(PeriodIsEmptyList,MATCH(TEMPLATE_GROUP,CodeTemplateList,0),1)</f>
        <v>#REF!</v>
      </c>
      <c r="J45" s="634"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63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599" t="s">
        <v>1567</v>
      </c>
      <c r="AZ45" s="599" t="s">
        <v>1233</v>
      </c>
      <c r="BE45" s="599">
        <v>2043</v>
      </c>
      <c r="BH45" s="600" t="s">
        <v>1568</v>
      </c>
      <c r="BJ45" s="613" t="s">
        <v>962</v>
      </c>
      <c r="BL45" s="613" t="s">
        <v>962</v>
      </c>
      <c r="BN45" s="600" t="s">
        <v>1569</v>
      </c>
    </row>
    <row r="46" spans="1:66" ht="11.25" customHeight="1">
      <c r="A46" s="94" t="s">
        <v>1570</v>
      </c>
      <c r="E46" s="628" t="s">
        <v>5</v>
      </c>
      <c r="F46" s="629" t="s">
        <v>1571</v>
      </c>
      <c r="G46" s="635" t="str">
        <f ca="1">IFERROR(IF(TITLE_DATE_FIL="","01.01."&amp;CURRENT_YEAR,"01.01."&amp;YEAR(TITLE_DATE_FIL)),"01.01."&amp;CURRENT_YEAR)</f>
        <v>01.01.2026</v>
      </c>
      <c r="H46" s="635" t="str">
        <f ca="1">IFERROR(IF(TITLE_DATE_FIL="","31.12."&amp;CURRENT_YEAR,"31.12."&amp;YEAR(TITLE_DATE_FIL)),"31.12."&amp;CURRENT_YEAR)</f>
        <v>31.12.2026</v>
      </c>
      <c r="I46" s="636" t="e">
        <f>IF(TITLE_DATE_FIL="",TRUE,FALSE)</f>
        <v>#REF!</v>
      </c>
      <c r="J46" s="637" t="str">
        <f>"Общая информация о регулируемой организации ("&amp;TEMPLATE_SPHERE_RUS&amp;")"</f>
        <v>Общая информация о регулируемой организации (горячего водоснабжения)</v>
      </c>
      <c r="AX46" s="599" t="s">
        <v>1572</v>
      </c>
      <c r="AZ46" s="599" t="s">
        <v>1258</v>
      </c>
      <c r="BE46" s="599">
        <v>2044</v>
      </c>
      <c r="BH46" s="600" t="s">
        <v>971</v>
      </c>
      <c r="BJ46" s="613" t="s">
        <v>952</v>
      </c>
      <c r="BL46" s="613" t="s">
        <v>952</v>
      </c>
      <c r="BN46" s="600" t="s">
        <v>1573</v>
      </c>
    </row>
    <row r="47" spans="1:66" ht="11.25" customHeight="1">
      <c r="A47" s="94" t="s">
        <v>1574</v>
      </c>
      <c r="E47" s="628" t="s">
        <v>6</v>
      </c>
      <c r="F47" s="630" t="s">
        <v>1563</v>
      </c>
      <c r="G47" s="635" t="str">
        <f ca="1">IFERROR(IF(f_year="","01.01."&amp;CURRENT_YEAR,IF(LEN(f_quart)=0,"01.01."&amp;f_year,IF(f_quart="I квартал","01.01."&amp;f_year,IF(f_quart="II квартал","01.04."&amp;f_year,(IF(f_quart="III квартал","01.07."&amp;f_year,"01.10."&amp;f_year)))))),"01.01."&amp;CURRENT_YEAR)</f>
        <v>01.01.2026</v>
      </c>
      <c r="H47" s="635" t="str">
        <f ca="1">IFERROR(IF(f_year="","31.12."&amp;CURRENT_YEAR,IF(LEN(f_quart)=0,"31.12."&amp;f_year,IF(f_quart="I квартал","31.03."&amp;f_year,IF(f_quart="II квартал","30.06."&amp;f_year,(IF(f_quart="III квартал","30.09."&amp;f_year,"31.12."&amp;f_year)))))),"31.12."&amp;CURRENT_YEAR)</f>
        <v>31.12.2026</v>
      </c>
      <c r="I47" s="638" t="e">
        <f>IF(OR(f_year="",f_quart=""),TRUE,FALSE)</f>
        <v>#REF!</v>
      </c>
      <c r="J47" s="63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AX47" s="599" t="s">
        <v>1575</v>
      </c>
      <c r="AZ47" s="599" t="s">
        <v>1277</v>
      </c>
      <c r="BE47" s="599">
        <v>2045</v>
      </c>
      <c r="BH47" s="600" t="s">
        <v>1549</v>
      </c>
      <c r="BJ47" s="613" t="s">
        <v>954</v>
      </c>
      <c r="BL47" s="613" t="s">
        <v>954</v>
      </c>
      <c r="BN47" s="600" t="s">
        <v>1576</v>
      </c>
    </row>
    <row r="48" spans="1:66" ht="11.25" customHeight="1">
      <c r="A48" s="94" t="s">
        <v>1577</v>
      </c>
      <c r="E48" s="628" t="s">
        <v>1578</v>
      </c>
      <c r="F48" s="630" t="s">
        <v>1579</v>
      </c>
      <c r="G48" s="635" t="str">
        <f ca="1">IFERROR(IF(f_year="","01.01."&amp;CURRENT_YEAR,"01.01."&amp;f_year),"01.01."&amp;CURRENT_YEAR)</f>
        <v>01.01.2026</v>
      </c>
      <c r="H48" s="635" t="str">
        <f ca="1">IFERROR(IF(f_year="","31.12."&amp;CURRENT_YEAR,"31.12."&amp;f_year),"31.12."&amp;CURRENT_YEAR)</f>
        <v>31.12.2026</v>
      </c>
      <c r="I48" s="636" t="e">
        <f>IF(f_year="",TRUE,FALSE)</f>
        <v>#REF!</v>
      </c>
      <c r="J48" s="637" t="s">
        <v>1580</v>
      </c>
      <c r="AX48" s="599" t="s">
        <v>1581</v>
      </c>
      <c r="AZ48" s="599" t="s">
        <v>1294</v>
      </c>
      <c r="BE48" s="599">
        <v>2046</v>
      </c>
      <c r="BH48" s="600" t="s">
        <v>1553</v>
      </c>
      <c r="BJ48" s="613" t="s">
        <v>956</v>
      </c>
      <c r="BL48" s="613" t="s">
        <v>956</v>
      </c>
      <c r="BN48" s="600" t="s">
        <v>1582</v>
      </c>
    </row>
    <row r="49" spans="1:64" ht="11.25" customHeight="1">
      <c r="A49" s="94" t="s">
        <v>1583</v>
      </c>
      <c r="E49" s="628" t="s">
        <v>1584</v>
      </c>
      <c r="F49" s="630" t="s">
        <v>1585</v>
      </c>
      <c r="G49" s="635" t="str">
        <f ca="1">IFERROR(IF(f_year="","01.01."&amp;CURRENT_YEAR,"01.01."&amp;f_year),"01.01."&amp;CURRENT_YEAR)</f>
        <v>01.01.2026</v>
      </c>
      <c r="H49" s="635" t="str">
        <f ca="1">IFERROR(IF(f_year="","31.12."&amp;CURRENT_YEAR,"31.12."&amp;f_year),"31.12."&amp;CURRENT_YEAR)</f>
        <v>31.12.2026</v>
      </c>
      <c r="I49" s="636" t="e">
        <f>IF(f_year="",TRUE,FALSE)</f>
        <v>#REF!</v>
      </c>
      <c r="J49" s="63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AX49" s="599" t="s">
        <v>1586</v>
      </c>
      <c r="AZ49" s="599" t="s">
        <v>1310</v>
      </c>
      <c r="BE49" s="599">
        <v>2047</v>
      </c>
      <c r="BH49" s="600" t="s">
        <v>972</v>
      </c>
      <c r="BJ49" s="613" t="s">
        <v>958</v>
      </c>
      <c r="BL49" s="613" t="s">
        <v>958</v>
      </c>
    </row>
    <row r="50" spans="1:64" ht="11.25" customHeight="1">
      <c r="A50" s="94" t="s">
        <v>1587</v>
      </c>
      <c r="E50" s="628" t="s">
        <v>1588</v>
      </c>
      <c r="F50" s="630" t="s">
        <v>942</v>
      </c>
      <c r="G50" s="635" t="str">
        <f ca="1">IFERROR(IF(f_year="","01.01."&amp;CURRENT_YEAR,"01.01."&amp;f_year),"01.01."&amp;CURRENT_YEAR)</f>
        <v>01.01.2026</v>
      </c>
      <c r="H50" s="635" t="str">
        <f ca="1">IFERROR(IF(f_year="","31.12."&amp;CURRENT_YEAR,"31.12."&amp;f_year),"31.12."&amp;CURRENT_YEAR)</f>
        <v>31.12.2026</v>
      </c>
      <c r="I50" s="636" t="e">
        <f>IF(f_year="",TRUE,FALSE)</f>
        <v>#REF!</v>
      </c>
      <c r="J50" s="63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AX50" s="599" t="s">
        <v>1589</v>
      </c>
      <c r="AZ50" s="599" t="s">
        <v>1326</v>
      </c>
      <c r="BE50" s="599">
        <v>2048</v>
      </c>
      <c r="BH50" s="600" t="s">
        <v>1560</v>
      </c>
      <c r="BJ50" s="613" t="s">
        <v>960</v>
      </c>
      <c r="BL50" s="613" t="s">
        <v>960</v>
      </c>
    </row>
    <row r="51" spans="1:64" ht="11.25" customHeight="1">
      <c r="A51" s="94" t="s">
        <v>1590</v>
      </c>
      <c r="E51" s="628" t="s">
        <v>1591</v>
      </c>
      <c r="F51" s="630" t="s">
        <v>1592</v>
      </c>
      <c r="G51" s="635" t="str">
        <f ca="1">IFERROR(IF(TITLE_PERIOD_START="","01.01."&amp;CURRENT_YEAR,"01.01."&amp;YEAR(TITLE_PERIOD_START)),"01.01."&amp;CURRENT_YEAR)</f>
        <v>01.01.2026</v>
      </c>
      <c r="H51" s="635" t="str">
        <f ca="1">IFERROR(IF(TITLE_PERIOD_END="","31.12."&amp;CURRENT_YEAR,"31.12."&amp;YEAR(TITLE_PERIOD_END)),"31.12."&amp;CURRENT_YEAR)</f>
        <v>31.12.2026</v>
      </c>
      <c r="I51" s="638" t="e">
        <f>IF(OR(TITLE_PERIOD_START="",TITLE_PERIOD_END=""),TRUE,FALSE)</f>
        <v>#REF!</v>
      </c>
      <c r="J51" s="63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AX51" s="599" t="s">
        <v>1593</v>
      </c>
      <c r="AZ51" s="599" t="s">
        <v>1342</v>
      </c>
      <c r="BE51" s="599">
        <v>2049</v>
      </c>
      <c r="BH51" s="600" t="s">
        <v>1569</v>
      </c>
      <c r="BJ51" s="613" t="s">
        <v>1594</v>
      </c>
      <c r="BL51" s="613" t="s">
        <v>1594</v>
      </c>
    </row>
    <row r="52" spans="1:64" ht="11.25" customHeight="1">
      <c r="A52" s="94" t="s">
        <v>1595</v>
      </c>
      <c r="E52" s="628" t="s">
        <v>1596</v>
      </c>
      <c r="F52" s="630" t="s">
        <v>1597</v>
      </c>
      <c r="G52" s="635" t="str">
        <f ca="1">IFERROR(IF(TITLE_PERIOD_START="","01.01."&amp;CURRENT_YEAR,"01.01."&amp;YEAR(TITLE_PERIOD_START)),"01.01."&amp;CURRENT_YEAR)</f>
        <v>01.01.2026</v>
      </c>
      <c r="H52" s="635" t="str">
        <f ca="1">IFERROR(IF(TITLE_PERIOD_END="","31.12."&amp;CURRENT_YEAR,"31.12."&amp;YEAR(TITLE_PERIOD_END)),"31.12."&amp;CURRENT_YEAR)</f>
        <v>31.12.2026</v>
      </c>
      <c r="I52" s="638" t="e">
        <f>IF(OR(TITLE_PERIOD_START="",TITLE_PERIOD_END=""),TRUE,FALSE)</f>
        <v>#REF!</v>
      </c>
      <c r="J52" s="637"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AX52" s="599" t="s">
        <v>1598</v>
      </c>
      <c r="AZ52" s="599" t="s">
        <v>1139</v>
      </c>
      <c r="BE52" s="599">
        <v>2050</v>
      </c>
      <c r="BH52" s="600" t="s">
        <v>1573</v>
      </c>
      <c r="BJ52" s="613" t="s">
        <v>971</v>
      </c>
      <c r="BL52" s="613" t="s">
        <v>971</v>
      </c>
    </row>
    <row r="53" spans="1:64" ht="11.25" customHeight="1">
      <c r="A53" s="94" t="s">
        <v>1599</v>
      </c>
      <c r="E53" s="628" t="s">
        <v>1600</v>
      </c>
      <c r="F53" s="630" t="s">
        <v>1600</v>
      </c>
      <c r="G53" s="635" t="str">
        <f ca="1">IFERROR(IF(f_year="","01.01."&amp;CURRENT_YEAR,"01.01."&amp;f_year),"01.01."&amp;CURRENT_YEAR)</f>
        <v>01.01.2026</v>
      </c>
      <c r="H53" s="635" t="str">
        <f ca="1">IFERROR(IF(f_year="","31.12."&amp;CURRENT_YEAR,"31.12."&amp;f_year),"31.12."&amp;CURRENT_YEAR)</f>
        <v>31.12.2026</v>
      </c>
      <c r="I53" s="636" t="e">
        <f>IF(AND(f_year="",TITLE_DATE_FIL=""),TRUE,FALSE)</f>
        <v>#REF!</v>
      </c>
      <c r="J53" s="637" t="s">
        <v>1601</v>
      </c>
      <c r="AX53" s="599" t="s">
        <v>1602</v>
      </c>
      <c r="BE53" s="599">
        <v>2051</v>
      </c>
      <c r="BH53" s="600" t="s">
        <v>1576</v>
      </c>
      <c r="BJ53" s="613" t="s">
        <v>1549</v>
      </c>
      <c r="BL53" s="613" t="s">
        <v>1549</v>
      </c>
    </row>
    <row r="54" spans="1:64" ht="11.25" customHeight="1">
      <c r="A54" s="94" t="s">
        <v>1603</v>
      </c>
      <c r="AX54" s="599" t="s">
        <v>1604</v>
      </c>
      <c r="AZ54" s="579" t="s">
        <v>1605</v>
      </c>
      <c r="BE54" s="599">
        <v>2052</v>
      </c>
      <c r="BH54" s="600" t="s">
        <v>1582</v>
      </c>
      <c r="BJ54" s="613" t="s">
        <v>1553</v>
      </c>
      <c r="BL54" s="613" t="s">
        <v>1553</v>
      </c>
    </row>
    <row r="55" spans="1:64" ht="11.25" customHeight="1">
      <c r="A55" s="94" t="s">
        <v>1606</v>
      </c>
      <c r="AX55" s="599" t="s">
        <v>1607</v>
      </c>
      <c r="AZ55" s="599" t="s">
        <v>1141</v>
      </c>
      <c r="BE55" s="599">
        <v>2053</v>
      </c>
      <c r="BH55" t="s">
        <v>4</v>
      </c>
      <c r="BJ55" s="613" t="s">
        <v>972</v>
      </c>
      <c r="BL55" s="613" t="s">
        <v>972</v>
      </c>
    </row>
    <row r="56" spans="1:64" ht="11.25" customHeight="1">
      <c r="A56" s="94" t="s">
        <v>1608</v>
      </c>
      <c r="D56" s="639" t="s">
        <v>1609</v>
      </c>
      <c r="E56" s="612" t="s">
        <v>40</v>
      </c>
      <c r="F56" s="94" t="s">
        <v>1610</v>
      </c>
      <c r="AX56" s="599" t="s">
        <v>1611</v>
      </c>
      <c r="AZ56" s="599" t="s">
        <v>1168</v>
      </c>
      <c r="BE56" s="599">
        <v>2054</v>
      </c>
      <c r="BH56" t="s">
        <v>4</v>
      </c>
      <c r="BJ56" s="613" t="s">
        <v>1560</v>
      </c>
      <c r="BL56" s="613" t="s">
        <v>1560</v>
      </c>
    </row>
    <row r="57" spans="1:64" ht="11.25" customHeight="1">
      <c r="A57" s="94" t="s">
        <v>1612</v>
      </c>
      <c r="D57" s="639" t="s">
        <v>1613</v>
      </c>
      <c r="E57" s="612" t="s">
        <v>40</v>
      </c>
      <c r="F57" s="94" t="s">
        <v>1610</v>
      </c>
      <c r="AX57" s="599" t="s">
        <v>1614</v>
      </c>
      <c r="AZ57" s="599" t="s">
        <v>1203</v>
      </c>
      <c r="BE57" s="599">
        <v>2055</v>
      </c>
      <c r="BJ57" s="613" t="s">
        <v>1569</v>
      </c>
      <c r="BL57" s="613" t="s">
        <v>1569</v>
      </c>
    </row>
    <row r="58" spans="1:64" ht="11.25" customHeight="1">
      <c r="A58" s="94" t="s">
        <v>1615</v>
      </c>
      <c r="D58" s="639" t="s">
        <v>1616</v>
      </c>
      <c r="E58" s="612" t="s">
        <v>40</v>
      </c>
      <c r="F58" s="94" t="s">
        <v>1610</v>
      </c>
      <c r="AX58" s="599" t="s">
        <v>1617</v>
      </c>
      <c r="BE58" s="599">
        <v>2056</v>
      </c>
      <c r="BJ58" s="613" t="s">
        <v>1573</v>
      </c>
      <c r="BL58" s="613" t="s">
        <v>1573</v>
      </c>
    </row>
    <row r="59" spans="1:64" ht="11.25" customHeight="1">
      <c r="A59" s="94" t="s">
        <v>1618</v>
      </c>
      <c r="D59" s="639" t="s">
        <v>56</v>
      </c>
      <c r="E59" s="612" t="s">
        <v>1505</v>
      </c>
      <c r="F59" s="94" t="s">
        <v>1619</v>
      </c>
      <c r="AX59" s="599" t="s">
        <v>1620</v>
      </c>
      <c r="AZ59" s="579" t="s">
        <v>1621</v>
      </c>
      <c r="BE59" s="599">
        <v>2057</v>
      </c>
      <c r="BJ59" s="613" t="s">
        <v>1576</v>
      </c>
      <c r="BL59" s="613" t="s">
        <v>1576</v>
      </c>
    </row>
    <row r="60" spans="1:64" ht="11.25" customHeight="1">
      <c r="A60" s="94" t="s">
        <v>1622</v>
      </c>
      <c r="D60" s="639" t="s">
        <v>1623</v>
      </c>
      <c r="E60" s="612" t="s">
        <v>1505</v>
      </c>
      <c r="F60" s="94" t="s">
        <v>1619</v>
      </c>
      <c r="AX60" s="599" t="s">
        <v>1624</v>
      </c>
      <c r="AZ60" s="599" t="s">
        <v>1142</v>
      </c>
      <c r="BE60" s="599">
        <v>2058</v>
      </c>
      <c r="BJ60" s="613" t="s">
        <v>1582</v>
      </c>
      <c r="BL60" s="613" t="s">
        <v>1582</v>
      </c>
    </row>
    <row r="61" spans="1:64" ht="11.25" customHeight="1">
      <c r="A61" s="94" t="s">
        <v>1625</v>
      </c>
      <c r="D61" s="639" t="s">
        <v>1626</v>
      </c>
      <c r="E61" s="612" t="s">
        <v>1505</v>
      </c>
      <c r="F61" s="94" t="s">
        <v>1619</v>
      </c>
      <c r="AX61" s="599" t="s">
        <v>1627</v>
      </c>
      <c r="AZ61" s="599" t="s">
        <v>1169</v>
      </c>
      <c r="BE61" s="599">
        <v>2059</v>
      </c>
      <c r="BL61" s="613" t="s">
        <v>964</v>
      </c>
    </row>
    <row r="62" spans="1:64" ht="11.25" customHeight="1">
      <c r="A62" s="94" t="s">
        <v>1628</v>
      </c>
      <c r="D62" s="639" t="s">
        <v>55</v>
      </c>
      <c r="E62" s="612">
        <v>30</v>
      </c>
      <c r="F62" s="94" t="s">
        <v>1619</v>
      </c>
      <c r="AZ62" s="599" t="s">
        <v>1204</v>
      </c>
      <c r="BE62" s="599">
        <v>2060</v>
      </c>
      <c r="BL62" s="613" t="s">
        <v>966</v>
      </c>
    </row>
    <row r="63" spans="1:64" ht="11.25" customHeight="1">
      <c r="A63" s="94" t="s">
        <v>1629</v>
      </c>
      <c r="D63" s="639" t="s">
        <v>1630</v>
      </c>
      <c r="E63" s="612">
        <v>30</v>
      </c>
      <c r="F63" s="94" t="s">
        <v>1619</v>
      </c>
      <c r="AZ63" s="599" t="s">
        <v>1236</v>
      </c>
      <c r="BE63" s="599">
        <v>2061</v>
      </c>
    </row>
    <row r="64" spans="1:64" ht="11.25" customHeight="1">
      <c r="A64" s="94" t="s">
        <v>1631</v>
      </c>
      <c r="D64" s="639" t="s">
        <v>1632</v>
      </c>
      <c r="E64" s="612">
        <v>30</v>
      </c>
      <c r="F64" s="94" t="s">
        <v>1619</v>
      </c>
      <c r="AZ64" s="599" t="s">
        <v>1259</v>
      </c>
      <c r="BE64" s="599">
        <v>2062</v>
      </c>
    </row>
    <row r="65" spans="1:66" ht="11.25" customHeight="1">
      <c r="A65" s="94" t="s">
        <v>1633</v>
      </c>
      <c r="BE65" s="599">
        <v>2063</v>
      </c>
    </row>
    <row r="66" spans="1:66" ht="11.25" customHeight="1">
      <c r="A66" s="94" t="s">
        <v>1634</v>
      </c>
      <c r="AZ66" s="579" t="s">
        <v>1635</v>
      </c>
      <c r="BE66" s="599">
        <v>2064</v>
      </c>
    </row>
    <row r="67" spans="1:66" ht="11.25" customHeight="1">
      <c r="A67" s="94" t="s">
        <v>1636</v>
      </c>
      <c r="AZ67" s="599" t="s">
        <v>1143</v>
      </c>
      <c r="BE67" s="599">
        <v>2065</v>
      </c>
    </row>
    <row r="68" spans="1:66" ht="11.25" customHeight="1">
      <c r="A68" s="94" t="s">
        <v>1637</v>
      </c>
      <c r="AZ68" s="599" t="s">
        <v>1170</v>
      </c>
      <c r="BE68" s="599">
        <v>2066</v>
      </c>
      <c r="BH68" s="579" t="s">
        <v>1638</v>
      </c>
      <c r="BJ68" s="579" t="s">
        <v>1639</v>
      </c>
      <c r="BL68" s="579" t="s">
        <v>1640</v>
      </c>
      <c r="BN68" s="579" t="s">
        <v>1641</v>
      </c>
    </row>
    <row r="69" spans="1:66" ht="11.25" customHeight="1">
      <c r="A69" s="94" t="s">
        <v>1642</v>
      </c>
      <c r="AZ69" s="599" t="s">
        <v>1205</v>
      </c>
      <c r="BE69" s="599">
        <v>2067</v>
      </c>
      <c r="BH69" s="600" t="s">
        <v>1643</v>
      </c>
      <c r="BI69" s="640" t="s">
        <v>31</v>
      </c>
      <c r="BJ69" s="600" t="s">
        <v>1644</v>
      </c>
      <c r="BK69" s="640" t="s">
        <v>31</v>
      </c>
      <c r="BL69" s="600" t="s">
        <v>1645</v>
      </c>
      <c r="BM69" s="640" t="s">
        <v>31</v>
      </c>
      <c r="BN69" s="600" t="s">
        <v>1646</v>
      </c>
    </row>
    <row r="70" spans="1:66" ht="11.25" customHeight="1">
      <c r="A70" s="94" t="s">
        <v>1647</v>
      </c>
      <c r="AZ70" s="599" t="s">
        <v>1237</v>
      </c>
      <c r="BE70" s="599">
        <v>2068</v>
      </c>
      <c r="BH70" s="600" t="s">
        <v>1648</v>
      </c>
      <c r="BJ70" s="600" t="s">
        <v>1649</v>
      </c>
      <c r="BL70" s="600" t="s">
        <v>1650</v>
      </c>
      <c r="BN70" s="600" t="s">
        <v>1651</v>
      </c>
    </row>
    <row r="71" spans="1:66" ht="11.25" customHeight="1">
      <c r="A71" s="94" t="s">
        <v>1652</v>
      </c>
      <c r="AZ71" s="599" t="s">
        <v>1239</v>
      </c>
      <c r="BE71" s="599">
        <v>2069</v>
      </c>
      <c r="BH71" s="600" t="s">
        <v>1653</v>
      </c>
      <c r="BI71" s="640" t="s">
        <v>26</v>
      </c>
      <c r="BJ71" s="600" t="s">
        <v>1654</v>
      </c>
      <c r="BK71" s="640" t="s">
        <v>26</v>
      </c>
      <c r="BL71" s="600" t="s">
        <v>1655</v>
      </c>
      <c r="BM71" s="640" t="s">
        <v>26</v>
      </c>
      <c r="BN71" s="600" t="s">
        <v>1656</v>
      </c>
    </row>
    <row r="72" spans="1:66" ht="11.25" customHeight="1">
      <c r="A72" s="94" t="s">
        <v>1657</v>
      </c>
      <c r="AZ72" s="599" t="s">
        <v>3</v>
      </c>
      <c r="BE72" s="599">
        <v>2070</v>
      </c>
      <c r="BH72" s="600" t="s">
        <v>1658</v>
      </c>
      <c r="BJ72" s="600" t="s">
        <v>1658</v>
      </c>
      <c r="BL72" s="600" t="s">
        <v>1658</v>
      </c>
      <c r="BN72" s="600" t="s">
        <v>1659</v>
      </c>
    </row>
    <row r="73" spans="1:66" ht="11.25" customHeight="1">
      <c r="A73" s="94" t="s">
        <v>1660</v>
      </c>
      <c r="BH73" s="600" t="s">
        <v>1661</v>
      </c>
      <c r="BI73" s="640" t="s">
        <v>40</v>
      </c>
      <c r="BJ73" s="600" t="s">
        <v>1662</v>
      </c>
      <c r="BK73" s="640" t="s">
        <v>40</v>
      </c>
      <c r="BL73" s="600" t="s">
        <v>1663</v>
      </c>
      <c r="BM73" s="640" t="s">
        <v>40</v>
      </c>
      <c r="BN73" s="600" t="s">
        <v>1664</v>
      </c>
    </row>
    <row r="74" spans="1:66" ht="11.25" customHeight="1">
      <c r="A74" s="94" t="s">
        <v>1665</v>
      </c>
      <c r="BH74" s="600" t="s">
        <v>1666</v>
      </c>
      <c r="BJ74" s="600" t="s">
        <v>1667</v>
      </c>
      <c r="BL74" s="600" t="s">
        <v>1668</v>
      </c>
      <c r="BN74" s="600" t="s">
        <v>1669</v>
      </c>
    </row>
    <row r="75" spans="1:66" ht="11.25" customHeight="1">
      <c r="A75" s="94" t="s">
        <v>1670</v>
      </c>
      <c r="AZ75" s="579" t="s">
        <v>1671</v>
      </c>
      <c r="BH75" s="600" t="s">
        <v>1672</v>
      </c>
      <c r="BJ75" s="600" t="s">
        <v>1672</v>
      </c>
      <c r="BL75" s="600" t="s">
        <v>1672</v>
      </c>
    </row>
    <row r="76" spans="1:66" ht="11.25" customHeight="1">
      <c r="A76" s="94" t="s">
        <v>1673</v>
      </c>
      <c r="AZ76" s="599" t="s">
        <v>1152</v>
      </c>
      <c r="BH76" s="600" t="s">
        <v>1674</v>
      </c>
      <c r="BJ76" s="600" t="s">
        <v>1675</v>
      </c>
      <c r="BL76" s="600" t="s">
        <v>1676</v>
      </c>
    </row>
    <row r="77" spans="1:66" ht="11.25" customHeight="1">
      <c r="A77" s="94" t="s">
        <v>1677</v>
      </c>
      <c r="AZ77" s="599" t="s">
        <v>1180</v>
      </c>
    </row>
    <row r="78" spans="1:66" ht="11.25" customHeight="1">
      <c r="A78" s="94" t="s">
        <v>1678</v>
      </c>
      <c r="AZ78" s="599" t="s">
        <v>1212</v>
      </c>
    </row>
    <row r="79" spans="1:66" ht="11.25" customHeight="1">
      <c r="A79" s="94" t="s">
        <v>1679</v>
      </c>
      <c r="AZ79" s="599" t="s">
        <v>1243</v>
      </c>
      <c r="BH79" s="579" t="s">
        <v>1680</v>
      </c>
      <c r="BJ79" s="579" t="s">
        <v>1681</v>
      </c>
      <c r="BL79" s="579" t="s">
        <v>1682</v>
      </c>
    </row>
    <row r="80" spans="1:66" ht="11.25" customHeight="1">
      <c r="A80" s="94" t="s">
        <v>1683</v>
      </c>
      <c r="AZ80" s="599" t="s">
        <v>1264</v>
      </c>
      <c r="BH80" s="600" t="s">
        <v>1684</v>
      </c>
      <c r="BJ80" s="600" t="s">
        <v>1685</v>
      </c>
      <c r="BL80" s="600" t="s">
        <v>1686</v>
      </c>
    </row>
    <row r="81" spans="1:66" ht="11.25" customHeight="1">
      <c r="A81" s="94" t="s">
        <v>1687</v>
      </c>
      <c r="AZ81" s="599" t="s">
        <v>1281</v>
      </c>
      <c r="BH81" s="600" t="s">
        <v>1688</v>
      </c>
      <c r="BJ81" s="600" t="s">
        <v>1689</v>
      </c>
      <c r="BL81" s="600" t="s">
        <v>1690</v>
      </c>
    </row>
    <row r="82" spans="1:66" ht="11.25" customHeight="1">
      <c r="A82" s="94" t="s">
        <v>1691</v>
      </c>
      <c r="AZ82" s="599" t="s">
        <v>1296</v>
      </c>
      <c r="BH82" s="600" t="s">
        <v>1692</v>
      </c>
      <c r="BJ82" s="600" t="s">
        <v>1693</v>
      </c>
      <c r="BL82" s="600" t="s">
        <v>1694</v>
      </c>
    </row>
    <row r="83" spans="1:66" ht="11.25" customHeight="1">
      <c r="A83" s="94" t="s">
        <v>1695</v>
      </c>
      <c r="BH83" s="600" t="s">
        <v>1696</v>
      </c>
      <c r="BJ83" s="600" t="s">
        <v>1697</v>
      </c>
      <c r="BL83" s="600" t="s">
        <v>1698</v>
      </c>
    </row>
    <row r="84" spans="1:66" ht="11.25" customHeight="1">
      <c r="A84" s="94" t="s">
        <v>1699</v>
      </c>
      <c r="AZ84" s="579" t="s">
        <v>1700</v>
      </c>
    </row>
    <row r="85" spans="1:66" ht="11.25" customHeight="1">
      <c r="A85" s="616" t="s">
        <v>1701</v>
      </c>
      <c r="AZ85" s="599" t="s">
        <v>1702</v>
      </c>
    </row>
    <row r="86" spans="1:66" ht="11.25" customHeight="1">
      <c r="A86" s="94" t="s">
        <v>1703</v>
      </c>
      <c r="AZ86" s="599" t="s">
        <v>1704</v>
      </c>
      <c r="BH86" s="579" t="s">
        <v>1705</v>
      </c>
      <c r="BJ86" s="579" t="s">
        <v>1706</v>
      </c>
      <c r="BL86" s="579" t="s">
        <v>1707</v>
      </c>
    </row>
    <row r="87" spans="1:66" ht="11.25" customHeight="1">
      <c r="A87" s="94" t="s">
        <v>1708</v>
      </c>
      <c r="AZ87" s="599" t="s">
        <v>1709</v>
      </c>
      <c r="BH87" s="600" t="s">
        <v>1710</v>
      </c>
      <c r="BJ87" s="600" t="s">
        <v>1711</v>
      </c>
      <c r="BL87" s="600" t="s">
        <v>1712</v>
      </c>
    </row>
    <row r="88" spans="1:66" ht="11.25" customHeight="1">
      <c r="A88" s="94" t="s">
        <v>1713</v>
      </c>
      <c r="BH88" s="600" t="s">
        <v>1714</v>
      </c>
      <c r="BJ88" s="600" t="s">
        <v>1715</v>
      </c>
      <c r="BL88" s="600" t="s">
        <v>1716</v>
      </c>
    </row>
    <row r="89" spans="1:66" ht="11.25" customHeight="1">
      <c r="A89" s="94" t="s">
        <v>1717</v>
      </c>
      <c r="AZ89" s="579" t="s">
        <v>1718</v>
      </c>
    </row>
    <row r="90" spans="1:66" ht="11.25" customHeight="1">
      <c r="A90" s="94" t="s">
        <v>1719</v>
      </c>
      <c r="AZ90" s="599" t="s">
        <v>942</v>
      </c>
    </row>
    <row r="91" spans="1:66" ht="11.25" customHeight="1">
      <c r="A91" s="94" t="s">
        <v>1720</v>
      </c>
      <c r="AZ91" s="599" t="s">
        <v>978</v>
      </c>
      <c r="BH91" s="579" t="s">
        <v>1721</v>
      </c>
      <c r="BJ91" s="579" t="s">
        <v>1722</v>
      </c>
      <c r="BL91" s="579" t="s">
        <v>1723</v>
      </c>
    </row>
    <row r="92" spans="1:66" ht="11.25" customHeight="1">
      <c r="AZ92" s="599" t="s">
        <v>1724</v>
      </c>
      <c r="BH92" s="600" t="s">
        <v>1725</v>
      </c>
      <c r="BJ92" s="600" t="s">
        <v>1726</v>
      </c>
      <c r="BL92" s="600" t="s">
        <v>1727</v>
      </c>
    </row>
    <row r="93" spans="1:66" ht="11.25" customHeight="1">
      <c r="AZ93" s="599" t="s">
        <v>1728</v>
      </c>
      <c r="BH93" s="600" t="s">
        <v>1729</v>
      </c>
      <c r="BJ93" s="600" t="s">
        <v>1730</v>
      </c>
      <c r="BL93" s="600" t="s">
        <v>1731</v>
      </c>
    </row>
    <row r="94" spans="1:66" ht="11.25" customHeight="1">
      <c r="AZ94" s="599" t="s">
        <v>1732</v>
      </c>
    </row>
    <row r="96" spans="1:66" ht="11.25" customHeight="1">
      <c r="AZ96" s="579" t="s">
        <v>1733</v>
      </c>
      <c r="BH96" s="579" t="s">
        <v>1734</v>
      </c>
      <c r="BJ96" s="579" t="s">
        <v>1735</v>
      </c>
      <c r="BL96" s="579" t="s">
        <v>1736</v>
      </c>
      <c r="BN96" s="579" t="s">
        <v>1737</v>
      </c>
    </row>
    <row r="97" spans="52:66" ht="11.25" customHeight="1">
      <c r="AZ97" s="641" t="s">
        <v>1738</v>
      </c>
      <c r="BA97" s="475" t="s">
        <v>1739</v>
      </c>
      <c r="BH97" s="600" t="s">
        <v>1740</v>
      </c>
      <c r="BJ97" s="600" t="s">
        <v>1741</v>
      </c>
      <c r="BL97" s="600" t="s">
        <v>1742</v>
      </c>
      <c r="BN97" s="600" t="s">
        <v>1743</v>
      </c>
    </row>
    <row r="98" spans="52:66" ht="11.25" customHeight="1">
      <c r="AZ98" s="641" t="s">
        <v>1744</v>
      </c>
      <c r="BA98" s="475" t="s">
        <v>1745</v>
      </c>
      <c r="BH98" s="600" t="s">
        <v>1746</v>
      </c>
      <c r="BJ98" s="600" t="s">
        <v>1747</v>
      </c>
      <c r="BL98" s="600" t="s">
        <v>1748</v>
      </c>
      <c r="BN98" s="600" t="s">
        <v>1749</v>
      </c>
    </row>
    <row r="99" spans="52:66" ht="22.5" customHeight="1">
      <c r="AZ99" s="641" t="s">
        <v>1750</v>
      </c>
      <c r="BA99" s="475" t="str">
        <f>"не позднее чем за "&amp;IF(TEMPLATE_SPHERE="TKO","3","10")&amp;" дней до дня проведения заседания правления"</f>
        <v>не позднее чем за 10 дней до дня проведения заседания правления</v>
      </c>
      <c r="BH99" s="600" t="s">
        <v>1751</v>
      </c>
      <c r="BJ99" s="600" t="s">
        <v>1752</v>
      </c>
      <c r="BL99" s="600" t="s">
        <v>1753</v>
      </c>
      <c r="BN99" s="600" t="s">
        <v>1754</v>
      </c>
    </row>
    <row r="100" spans="52:66" ht="22.5" customHeight="1">
      <c r="AZ100" s="641" t="s">
        <v>1755</v>
      </c>
      <c r="BA100" s="47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600" t="s">
        <v>1342</v>
      </c>
      <c r="BL100" s="600" t="s">
        <v>1342</v>
      </c>
      <c r="BN100" s="600" t="s">
        <v>1756</v>
      </c>
    </row>
    <row r="101" spans="52:66" ht="22.5" customHeight="1">
      <c r="AZ101" s="641" t="s">
        <v>1757</v>
      </c>
      <c r="BA101" s="475" t="s">
        <v>1758</v>
      </c>
      <c r="BN101" s="600" t="s">
        <v>1759</v>
      </c>
    </row>
    <row r="102" spans="52:66" ht="22.5" customHeight="1">
      <c r="AZ102" s="641" t="s">
        <v>1760</v>
      </c>
      <c r="BA102" s="47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600" t="s">
        <v>1761</v>
      </c>
    </row>
    <row r="103" spans="52:66" ht="11.25" customHeight="1">
      <c r="AZ103" s="641" t="s">
        <v>1762</v>
      </c>
      <c r="BA103" s="475" t="s">
        <v>1763</v>
      </c>
      <c r="BN103" s="600" t="s">
        <v>1764</v>
      </c>
    </row>
    <row r="104" spans="52:66" ht="11.25" customHeight="1">
      <c r="BN104" s="600" t="s">
        <v>1765</v>
      </c>
    </row>
    <row r="105" spans="52:66" ht="11.25" customHeight="1">
      <c r="AZ105" s="579" t="s">
        <v>1766</v>
      </c>
    </row>
    <row r="106" spans="52:66" ht="11.25" customHeight="1">
      <c r="AZ106" s="599" t="s">
        <v>1767</v>
      </c>
    </row>
    <row r="107" spans="52:66" ht="11.25" customHeight="1">
      <c r="AZ107" s="599" t="s">
        <v>1768</v>
      </c>
      <c r="BH107" s="579" t="s">
        <v>1769</v>
      </c>
      <c r="BJ107" s="579" t="s">
        <v>1770</v>
      </c>
      <c r="BL107" s="579" t="s">
        <v>1771</v>
      </c>
      <c r="BN107" s="579" t="s">
        <v>1772</v>
      </c>
    </row>
    <row r="108" spans="52:66" ht="11.25" customHeight="1">
      <c r="AZ108" s="599" t="s">
        <v>494</v>
      </c>
      <c r="BH108" s="600" t="s">
        <v>1773</v>
      </c>
      <c r="BJ108" s="600" t="s">
        <v>1774</v>
      </c>
      <c r="BL108" s="600" t="s">
        <v>1427</v>
      </c>
      <c r="BN108" s="600" t="s">
        <v>1775</v>
      </c>
    </row>
    <row r="109" spans="52:66" ht="11.25" customHeight="1">
      <c r="BH109" s="600" t="s">
        <v>1776</v>
      </c>
    </row>
    <row r="110" spans="52:66" ht="11.25" customHeight="1">
      <c r="AZ110" s="579" t="s">
        <v>1777</v>
      </c>
      <c r="BH110" s="600" t="s">
        <v>1776</v>
      </c>
    </row>
    <row r="111" spans="52:66" ht="11.25" customHeight="1">
      <c r="AZ111" s="641" t="s">
        <v>1738</v>
      </c>
      <c r="BA111" s="475" t="s">
        <v>1739</v>
      </c>
    </row>
    <row r="112" spans="52:66" ht="11.25" customHeight="1">
      <c r="AZ112" s="641" t="s">
        <v>1744</v>
      </c>
      <c r="BA112" s="475" t="s">
        <v>1745</v>
      </c>
    </row>
    <row r="113" spans="52:60" ht="22.5" customHeight="1">
      <c r="AZ113" s="641" t="s">
        <v>1750</v>
      </c>
      <c r="BA113" s="475"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641" t="s">
        <v>1755</v>
      </c>
      <c r="BA114" s="47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579" t="s">
        <v>1778</v>
      </c>
    </row>
    <row r="115" spans="52:60" ht="22.5" customHeight="1">
      <c r="AZ115" s="641" t="s">
        <v>1760</v>
      </c>
      <c r="BA115" s="47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600" t="s">
        <v>1139</v>
      </c>
    </row>
    <row r="116" spans="52:60" ht="11.25" customHeight="1">
      <c r="AZ116" s="641" t="s">
        <v>1762</v>
      </c>
      <c r="BA116" s="475" t="s">
        <v>1763</v>
      </c>
      <c r="BH116" s="600" t="s">
        <v>1166</v>
      </c>
    </row>
    <row r="117" spans="52:60" ht="11.25" customHeight="1">
      <c r="BH117" s="600" t="s">
        <v>1201</v>
      </c>
    </row>
    <row r="118" spans="52:60" ht="11.25" customHeight="1">
      <c r="BH118" s="600" t="s">
        <v>1234</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hidden="1" customWidth="1"/>
    <col min="3" max="3" width="3" customWidth="1"/>
    <col min="4" max="4" width="6" customWidth="1"/>
    <col min="5" max="5" width="52" customWidth="1"/>
    <col min="6" max="6" width="48" customWidth="1"/>
    <col min="7" max="7" width="93" customWidth="1"/>
    <col min="8" max="8" width="8" customWidth="1"/>
    <col min="9" max="9" width="64" customWidth="1"/>
    <col min="10" max="10" width="9.140625" hidden="1"/>
  </cols>
  <sheetData>
    <row r="1" spans="1:10" ht="11.25" hidden="1" customHeight="1">
      <c r="A1" s="112" t="s">
        <v>222</v>
      </c>
      <c r="J1" s="111" t="s">
        <v>1</v>
      </c>
    </row>
    <row r="2" spans="1:10" ht="22.5" hidden="1" customHeight="1">
      <c r="A2" s="116"/>
      <c r="B2" s="116"/>
      <c r="C2" s="457" t="s">
        <v>612</v>
      </c>
      <c r="D2" s="642"/>
      <c r="E2" s="204"/>
      <c r="F2" s="351"/>
      <c r="H2" s="125"/>
      <c r="J2" s="111">
        <v>0</v>
      </c>
    </row>
    <row r="3" spans="1:10" ht="11.25" hidden="1" customHeight="1">
      <c r="J3" s="111">
        <v>0</v>
      </c>
    </row>
    <row r="4" spans="1:10" ht="11.45" customHeight="1">
      <c r="A4" s="643"/>
      <c r="B4" s="643"/>
      <c r="J4" s="111">
        <v>11</v>
      </c>
    </row>
    <row r="5" spans="1:10" ht="27.4" customHeight="1">
      <c r="D5" s="89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892"/>
      <c r="F5" s="893"/>
      <c r="J5" s="111">
        <v>26</v>
      </c>
    </row>
    <row r="6" spans="1:10" ht="18" customHeight="1">
      <c r="D6" s="955" t="e">
        <f>IF(region_name=0,"Не определено",region_name)</f>
        <v>#REF!</v>
      </c>
      <c r="E6" s="955"/>
      <c r="F6" s="955"/>
      <c r="J6" s="111">
        <v>17</v>
      </c>
    </row>
    <row r="7" spans="1:10" ht="11.45" customHeight="1">
      <c r="A7" s="112"/>
      <c r="B7" s="112"/>
      <c r="F7" s="115"/>
      <c r="J7" s="114">
        <v>11</v>
      </c>
    </row>
    <row r="8" spans="1:10" ht="11.25" hidden="1" customHeight="1">
      <c r="A8" s="116"/>
      <c r="B8" s="116"/>
      <c r="C8" s="12"/>
      <c r="D8" s="8"/>
      <c r="E8" s="960"/>
      <c r="F8" s="960"/>
      <c r="J8" s="111">
        <v>0</v>
      </c>
    </row>
    <row r="9" spans="1:10" ht="11.45" customHeight="1">
      <c r="A9" s="116"/>
      <c r="B9" s="116"/>
      <c r="C9" s="12"/>
      <c r="D9" s="957" t="s">
        <v>223</v>
      </c>
      <c r="E9" s="958"/>
      <c r="F9" s="958"/>
      <c r="G9" s="961" t="s">
        <v>224</v>
      </c>
      <c r="J9" s="111">
        <v>11</v>
      </c>
    </row>
    <row r="10" spans="1:10" ht="11.45" customHeight="1">
      <c r="A10" s="116"/>
      <c r="B10" s="116"/>
      <c r="C10" s="12"/>
      <c r="D10" s="118" t="s">
        <v>24</v>
      </c>
      <c r="E10" s="119" t="s">
        <v>225</v>
      </c>
      <c r="F10" s="119" t="s">
        <v>226</v>
      </c>
      <c r="G10" s="962"/>
      <c r="J10" s="111">
        <v>11</v>
      </c>
    </row>
    <row r="11" spans="1:10" ht="1.1499999999999999" customHeight="1">
      <c r="A11" s="116"/>
      <c r="B11" s="116"/>
      <c r="C11" s="12"/>
      <c r="D11" s="121"/>
      <c r="E11" s="121"/>
      <c r="F11" s="121"/>
      <c r="G11" s="121"/>
      <c r="J11" s="111">
        <v>1</v>
      </c>
    </row>
    <row r="12" spans="1:10" ht="24" customHeight="1">
      <c r="A12" s="116"/>
      <c r="B12" s="116"/>
      <c r="C12" s="12"/>
      <c r="D12" s="642">
        <v>1</v>
      </c>
      <c r="E12" s="12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306" t="e">
        <f>IF(org="","",org)</f>
        <v>#REF!</v>
      </c>
      <c r="G12" s="12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644"/>
      <c r="J12" s="111">
        <v>23</v>
      </c>
    </row>
    <row r="13" spans="1:10" ht="19.899999999999999" customHeight="1">
      <c r="A13" s="116"/>
      <c r="B13" s="116"/>
      <c r="C13" s="12"/>
      <c r="D13" s="642">
        <v>2</v>
      </c>
      <c r="E13" s="226" t="s">
        <v>1779</v>
      </c>
      <c r="F13" s="30" t="s">
        <v>229</v>
      </c>
      <c r="G13" s="128"/>
      <c r="H13" s="644"/>
      <c r="J13" s="111">
        <v>19</v>
      </c>
    </row>
    <row r="14" spans="1:10" ht="19.899999999999999" customHeight="1">
      <c r="A14" s="116"/>
      <c r="B14" s="116"/>
      <c r="C14" s="12"/>
      <c r="D14" s="95" t="s">
        <v>632</v>
      </c>
      <c r="E14" s="352" t="s">
        <v>1780</v>
      </c>
      <c r="F14" s="204"/>
      <c r="G14" s="227" t="s">
        <v>1781</v>
      </c>
      <c r="H14" s="644"/>
      <c r="J14" s="111">
        <v>19</v>
      </c>
    </row>
    <row r="15" spans="1:10" ht="19.899999999999999" customHeight="1">
      <c r="A15" s="116"/>
      <c r="B15" s="116"/>
      <c r="C15" s="12"/>
      <c r="D15" s="95" t="s">
        <v>230</v>
      </c>
      <c r="E15" s="352" t="s">
        <v>1782</v>
      </c>
      <c r="F15" s="204"/>
      <c r="G15" s="227" t="s">
        <v>1783</v>
      </c>
      <c r="H15" s="644"/>
      <c r="J15" s="111">
        <v>19</v>
      </c>
    </row>
    <row r="16" spans="1:10" ht="24" customHeight="1">
      <c r="A16" s="116"/>
      <c r="B16" s="116"/>
      <c r="C16" s="12"/>
      <c r="D16" s="95" t="s">
        <v>233</v>
      </c>
      <c r="E16" s="233" t="s">
        <v>1784</v>
      </c>
      <c r="F16" s="156"/>
      <c r="G16" s="128" t="s">
        <v>1785</v>
      </c>
      <c r="H16" s="644"/>
      <c r="J16" s="111">
        <v>23</v>
      </c>
    </row>
    <row r="17" spans="1:10" ht="48.2" customHeight="1">
      <c r="A17" s="116"/>
      <c r="B17" s="116"/>
      <c r="C17" s="12"/>
      <c r="D17" s="642">
        <v>3</v>
      </c>
      <c r="E17" s="226" t="s">
        <v>1786</v>
      </c>
      <c r="F17" s="204"/>
      <c r="G17" s="128" t="s">
        <v>1787</v>
      </c>
      <c r="H17" s="644"/>
      <c r="J17" s="111">
        <v>46</v>
      </c>
    </row>
    <row r="18" spans="1:10" ht="48.2" customHeight="1">
      <c r="A18" s="645">
        <v>1</v>
      </c>
      <c r="B18" s="116"/>
      <c r="C18" s="133"/>
      <c r="D18" s="642" t="s">
        <v>27</v>
      </c>
      <c r="E18" s="226" t="s">
        <v>1788</v>
      </c>
      <c r="F18" s="204"/>
      <c r="G18" s="128" t="s">
        <v>1787</v>
      </c>
      <c r="H18" s="644"/>
      <c r="J18" s="111">
        <v>46</v>
      </c>
    </row>
    <row r="19" spans="1:10" ht="23.25" customHeight="1">
      <c r="A19" s="116"/>
      <c r="B19" s="116"/>
      <c r="C19" s="12"/>
      <c r="D19" s="642" t="s">
        <v>40</v>
      </c>
      <c r="E19" s="226" t="s">
        <v>1789</v>
      </c>
      <c r="F19" s="30" t="s">
        <v>229</v>
      </c>
      <c r="G19" s="1160" t="s">
        <v>1790</v>
      </c>
      <c r="H19" s="125"/>
      <c r="J19" s="111">
        <v>22</v>
      </c>
    </row>
    <row r="20" spans="1:10" ht="5.25" hidden="1" customHeight="1">
      <c r="A20" s="116"/>
      <c r="B20" s="116"/>
      <c r="C20" s="646"/>
      <c r="D20" s="647" t="s">
        <v>1040</v>
      </c>
      <c r="E20" s="145"/>
      <c r="F20" s="31"/>
      <c r="G20" s="1161"/>
      <c r="J20" s="648">
        <v>0</v>
      </c>
    </row>
    <row r="21" spans="1:10" ht="15.75" customHeight="1">
      <c r="A21" s="116"/>
      <c r="B21" s="116"/>
      <c r="C21" s="12"/>
      <c r="D21" s="139"/>
      <c r="E21" s="42" t="s">
        <v>262</v>
      </c>
      <c r="F21" s="141"/>
      <c r="G21" s="1162"/>
      <c r="H21" s="644"/>
      <c r="J21" s="111">
        <v>15</v>
      </c>
    </row>
    <row r="22" spans="1:10" ht="26.25" customHeight="1">
      <c r="A22" s="116"/>
      <c r="B22" s="116"/>
      <c r="C22" s="116"/>
      <c r="D22" s="642" t="s">
        <v>28</v>
      </c>
      <c r="E22" s="128" t="s">
        <v>1791</v>
      </c>
      <c r="F22" s="204"/>
      <c r="G22" s="128" t="s">
        <v>1792</v>
      </c>
      <c r="H22" s="649"/>
      <c r="J22" s="112">
        <v>25</v>
      </c>
    </row>
    <row r="23" spans="1:10" ht="19.899999999999999" customHeight="1">
      <c r="A23" s="116"/>
      <c r="B23" s="116"/>
      <c r="C23" s="116"/>
      <c r="D23" s="642" t="s">
        <v>29</v>
      </c>
      <c r="E23" s="226" t="s">
        <v>1793</v>
      </c>
      <c r="F23" s="156"/>
      <c r="G23" s="128" t="s">
        <v>1794</v>
      </c>
      <c r="H23" s="649"/>
      <c r="J23" s="112">
        <v>19</v>
      </c>
    </row>
    <row r="24" spans="1:10" ht="144" hidden="1" customHeight="1">
      <c r="A24" s="116"/>
      <c r="B24" s="116"/>
      <c r="C24" s="116"/>
      <c r="D24" s="642" t="s">
        <v>41</v>
      </c>
      <c r="E24" s="65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651"/>
      <c r="G24" s="65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649"/>
      <c r="J24" s="112">
        <v>0</v>
      </c>
    </row>
    <row r="25" spans="1:10" ht="11.25" hidden="1" customHeight="1">
      <c r="A25" s="112" t="s">
        <v>18</v>
      </c>
      <c r="B25" s="112">
        <v>0</v>
      </c>
      <c r="C25" s="111">
        <v>3</v>
      </c>
      <c r="D25" s="170">
        <v>6</v>
      </c>
      <c r="E25" s="111">
        <v>52</v>
      </c>
      <c r="F25" s="111">
        <v>48</v>
      </c>
      <c r="G25" s="111">
        <v>93</v>
      </c>
      <c r="H25" s="111">
        <v>8</v>
      </c>
      <c r="I25" s="111">
        <v>64</v>
      </c>
      <c r="J25" s="11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2" width="9.140625" hidden="1"/>
    <col min="3" max="3" width="3.7109375" hidden="1" customWidth="1"/>
    <col min="4" max="4" width="3" customWidth="1"/>
    <col min="5" max="5" width="6" customWidth="1"/>
    <col min="6" max="6" width="46" customWidth="1"/>
    <col min="7" max="8" width="16" customWidth="1"/>
    <col min="9" max="9" width="35" customWidth="1"/>
    <col min="10" max="10" width="89" customWidth="1"/>
    <col min="11" max="11" width="3" customWidth="1"/>
    <col min="12" max="14" width="8" customWidth="1"/>
    <col min="15" max="15" width="25" customWidth="1"/>
    <col min="16" max="16" width="14" customWidth="1"/>
    <col min="17" max="254" width="8" customWidth="1"/>
    <col min="255" max="255" width="9.140625" hidden="1"/>
  </cols>
  <sheetData>
    <row r="1" spans="2:255" ht="22.5" hidden="1" customHeight="1">
      <c r="F1" s="3" t="s">
        <v>1795</v>
      </c>
      <c r="G1" s="3" t="s">
        <v>12</v>
      </c>
      <c r="H1" s="3" t="s">
        <v>14</v>
      </c>
      <c r="IU1" s="3" t="s">
        <v>1</v>
      </c>
    </row>
    <row r="2" spans="2:255" ht="22.5" hidden="1" customHeight="1">
      <c r="B2" s="11">
        <v>1</v>
      </c>
      <c r="D2" s="516" t="s">
        <v>612</v>
      </c>
      <c r="E2" s="30"/>
      <c r="F2" s="157"/>
      <c r="G2" s="157"/>
      <c r="H2" s="157"/>
      <c r="I2" s="653"/>
      <c r="J2" s="654"/>
      <c r="N2" s="29" t="str">
        <f t="array" ref="N2">IF(ISERROR(MATCH(MID(O2,1,250),MID(note_ter,1,250),0)),"n","y")</f>
        <v>n</v>
      </c>
      <c r="P2" s="29" t="str">
        <f>G2&amp;"("&amp;J2&amp;")"</f>
        <v>()</v>
      </c>
      <c r="IU2" s="39">
        <v>0</v>
      </c>
    </row>
    <row r="3" spans="2:255" ht="4.1500000000000004" customHeight="1">
      <c r="F3" s="21" t="s">
        <v>19</v>
      </c>
      <c r="G3" s="22" t="s">
        <v>20</v>
      </c>
      <c r="J3" s="23" t="s">
        <v>21</v>
      </c>
      <c r="K3" s="21" t="s">
        <v>19</v>
      </c>
      <c r="IU3" s="24">
        <v>4</v>
      </c>
    </row>
    <row r="4" spans="2:255" ht="14.65" customHeight="1">
      <c r="IU4" s="25">
        <v>14</v>
      </c>
    </row>
    <row r="5" spans="2:255" ht="27.4" customHeight="1">
      <c r="E5" s="88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889"/>
      <c r="G5" s="889"/>
      <c r="H5" s="889"/>
      <c r="I5" s="889"/>
      <c r="J5" s="889"/>
      <c r="IU5" s="25">
        <v>26</v>
      </c>
    </row>
    <row r="6" spans="2:255" ht="14.65" customHeight="1">
      <c r="IU6" s="25">
        <v>14</v>
      </c>
    </row>
    <row r="7" spans="2:255" ht="14.65" customHeight="1">
      <c r="E7" s="887" t="s">
        <v>223</v>
      </c>
      <c r="F7" s="890"/>
      <c r="G7" s="890"/>
      <c r="H7" s="890"/>
      <c r="I7" s="890"/>
      <c r="J7" s="1163" t="s">
        <v>224</v>
      </c>
      <c r="IU7" s="25">
        <v>14</v>
      </c>
    </row>
    <row r="8" spans="2:255" ht="21" customHeight="1">
      <c r="E8" s="655" t="s">
        <v>24</v>
      </c>
      <c r="F8" s="656" t="s">
        <v>1795</v>
      </c>
      <c r="G8" s="656" t="s">
        <v>12</v>
      </c>
      <c r="H8" s="656" t="s">
        <v>14</v>
      </c>
      <c r="I8" s="656" t="s">
        <v>1796</v>
      </c>
      <c r="J8" s="1164"/>
      <c r="IU8" s="25">
        <v>20</v>
      </c>
    </row>
    <row r="9" spans="2:255" ht="23.25" customHeight="1">
      <c r="B9" s="11">
        <v>1</v>
      </c>
      <c r="E9" s="30">
        <v>1</v>
      </c>
      <c r="F9" s="657"/>
      <c r="G9" s="157"/>
      <c r="H9" s="157"/>
      <c r="I9" s="658"/>
      <c r="J9" s="92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N9" s="29" t="str">
        <f t="array" ref="N9">IF(ISERROR(MATCH(MID(O9,1,250),MID(note_ter,1,250),0)),"n","y")</f>
        <v>n</v>
      </c>
      <c r="P9" s="2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IU9" s="39">
        <v>22</v>
      </c>
    </row>
    <row r="10" spans="2:255" ht="15.75" customHeight="1">
      <c r="E10" s="659"/>
      <c r="F10" s="368" t="s">
        <v>1797</v>
      </c>
      <c r="G10" s="660"/>
      <c r="H10" s="660"/>
      <c r="I10" s="661"/>
      <c r="J10" s="922"/>
      <c r="IU10" s="39">
        <v>15</v>
      </c>
    </row>
    <row r="11" spans="2:255" ht="21.95" customHeight="1">
      <c r="E11" s="46"/>
      <c r="F11" s="46"/>
      <c r="G11" s="46"/>
      <c r="H11" s="46"/>
      <c r="I11" s="46"/>
      <c r="J11" s="46"/>
      <c r="IU11" s="25">
        <v>21</v>
      </c>
    </row>
    <row r="12" spans="2:255" ht="14.65" customHeight="1">
      <c r="IU12" s="25">
        <v>14</v>
      </c>
    </row>
    <row r="13" spans="2:255" ht="1.1499999999999999" customHeight="1">
      <c r="IU13" s="25">
        <v>1</v>
      </c>
    </row>
    <row r="14" spans="2:255" ht="10.5" customHeight="1">
      <c r="IU14" s="47">
        <v>10</v>
      </c>
    </row>
    <row r="15" spans="2:255" ht="10.5" customHeight="1">
      <c r="IU15" s="47">
        <v>10</v>
      </c>
    </row>
    <row r="16" spans="2:255" ht="14.65" customHeight="1">
      <c r="IU16" s="3">
        <v>14</v>
      </c>
    </row>
    <row r="17" spans="1:255" ht="14.65" customHeight="1">
      <c r="IU17" s="3">
        <v>14</v>
      </c>
    </row>
    <row r="18" spans="1:255" ht="14.65" customHeight="1">
      <c r="IU18" s="3">
        <v>14</v>
      </c>
    </row>
    <row r="19" spans="1:255" ht="14.65" customHeight="1">
      <c r="IU19" s="3">
        <v>14</v>
      </c>
    </row>
    <row r="20" spans="1:255" ht="14.65" customHeight="1">
      <c r="IU20" s="3">
        <v>14</v>
      </c>
    </row>
    <row r="21" spans="1:255" ht="14.65" customHeight="1">
      <c r="IU21" s="3">
        <v>14</v>
      </c>
    </row>
    <row r="22" spans="1:255" ht="14.65" customHeight="1">
      <c r="IU22" s="3">
        <v>14</v>
      </c>
    </row>
    <row r="23" spans="1:255" ht="14.65" customHeight="1">
      <c r="IU23" s="3">
        <v>14</v>
      </c>
    </row>
    <row r="24" spans="1:255" ht="22.5" hidden="1" customHeight="1">
      <c r="A24" s="3" t="s">
        <v>18</v>
      </c>
      <c r="B24" s="11">
        <v>0</v>
      </c>
      <c r="C24" s="3">
        <v>0</v>
      </c>
      <c r="D24" s="48">
        <v>3</v>
      </c>
      <c r="E24" s="3">
        <v>6</v>
      </c>
      <c r="F24" s="3">
        <v>46</v>
      </c>
      <c r="G24" s="3">
        <v>16</v>
      </c>
      <c r="H24" s="3">
        <v>16</v>
      </c>
      <c r="I24" s="3">
        <v>35</v>
      </c>
      <c r="J24" s="3">
        <v>89</v>
      </c>
      <c r="K24" s="29">
        <v>3</v>
      </c>
      <c r="L24" s="29">
        <v>8</v>
      </c>
      <c r="M24" s="29">
        <v>8</v>
      </c>
      <c r="N24" s="29">
        <v>8</v>
      </c>
      <c r="O24" s="29">
        <v>25</v>
      </c>
      <c r="P24" s="29">
        <v>14</v>
      </c>
      <c r="Q24" s="49">
        <v>8</v>
      </c>
      <c r="R24" s="49">
        <v>8</v>
      </c>
      <c r="S24" s="49">
        <v>8</v>
      </c>
      <c r="T24" s="49">
        <v>8</v>
      </c>
      <c r="U24" s="3">
        <v>8</v>
      </c>
      <c r="V24" s="3">
        <v>8</v>
      </c>
      <c r="W24" s="3">
        <v>8</v>
      </c>
      <c r="X24" s="3">
        <v>8</v>
      </c>
      <c r="Y24" s="3">
        <v>8</v>
      </c>
      <c r="Z24" s="3">
        <v>8</v>
      </c>
      <c r="AA24" s="3">
        <v>8</v>
      </c>
      <c r="AB24" s="3">
        <v>8</v>
      </c>
      <c r="AC24" s="3">
        <v>8</v>
      </c>
      <c r="AD24" s="3">
        <v>8</v>
      </c>
      <c r="AE24" s="3">
        <v>8</v>
      </c>
      <c r="AF24" s="3">
        <v>8</v>
      </c>
      <c r="AG24" s="3">
        <v>8</v>
      </c>
      <c r="AH24" s="3">
        <v>8</v>
      </c>
      <c r="AI24" s="3">
        <v>8</v>
      </c>
      <c r="AJ24" s="3">
        <v>8</v>
      </c>
      <c r="AK24" s="3">
        <v>8</v>
      </c>
      <c r="AL24" s="3">
        <v>8</v>
      </c>
      <c r="AM24" s="3">
        <v>8</v>
      </c>
      <c r="AN24" s="3">
        <v>8</v>
      </c>
      <c r="AO24" s="3">
        <v>8</v>
      </c>
      <c r="AP24" s="3">
        <v>8</v>
      </c>
      <c r="AQ24" s="3">
        <v>8</v>
      </c>
      <c r="AR24" s="3">
        <v>8</v>
      </c>
      <c r="AS24" s="3">
        <v>8</v>
      </c>
      <c r="AT24" s="3">
        <v>8</v>
      </c>
      <c r="AU24" s="3">
        <v>8</v>
      </c>
      <c r="AV24" s="3">
        <v>8</v>
      </c>
      <c r="AW24" s="3">
        <v>8</v>
      </c>
      <c r="AX24" s="3">
        <v>8</v>
      </c>
      <c r="AY24" s="3">
        <v>8</v>
      </c>
      <c r="AZ24" s="3">
        <v>8</v>
      </c>
      <c r="BA24" s="3">
        <v>8</v>
      </c>
      <c r="BB24" s="3">
        <v>8</v>
      </c>
      <c r="BC24" s="3">
        <v>8</v>
      </c>
      <c r="BD24" s="3">
        <v>8</v>
      </c>
      <c r="BE24" s="3">
        <v>8</v>
      </c>
      <c r="BF24" s="3">
        <v>8</v>
      </c>
      <c r="BG24" s="3">
        <v>8</v>
      </c>
      <c r="BH24" s="3">
        <v>8</v>
      </c>
      <c r="BI24" s="3">
        <v>8</v>
      </c>
      <c r="BJ24" s="3">
        <v>8</v>
      </c>
      <c r="BK24" s="3">
        <v>8</v>
      </c>
      <c r="BL24" s="3">
        <v>8</v>
      </c>
      <c r="BM24" s="3">
        <v>8</v>
      </c>
      <c r="BN24" s="3">
        <v>8</v>
      </c>
      <c r="BO24" s="3">
        <v>8</v>
      </c>
      <c r="BP24" s="3">
        <v>8</v>
      </c>
      <c r="BQ24" s="3">
        <v>8</v>
      </c>
      <c r="BR24" s="3">
        <v>8</v>
      </c>
      <c r="BS24" s="3">
        <v>8</v>
      </c>
      <c r="BT24" s="3">
        <v>8</v>
      </c>
      <c r="BU24" s="3">
        <v>8</v>
      </c>
      <c r="BV24" s="3">
        <v>8</v>
      </c>
      <c r="BW24" s="3">
        <v>8</v>
      </c>
      <c r="BX24" s="3">
        <v>8</v>
      </c>
      <c r="BY24" s="3">
        <v>8</v>
      </c>
      <c r="BZ24" s="3">
        <v>8</v>
      </c>
      <c r="CA24" s="3">
        <v>8</v>
      </c>
      <c r="CB24" s="3">
        <v>8</v>
      </c>
      <c r="CC24" s="3">
        <v>8</v>
      </c>
      <c r="CD24" s="3">
        <v>8</v>
      </c>
      <c r="CE24" s="3">
        <v>8</v>
      </c>
      <c r="CF24" s="3">
        <v>8</v>
      </c>
      <c r="CG24" s="3">
        <v>8</v>
      </c>
      <c r="CH24" s="3">
        <v>8</v>
      </c>
      <c r="CI24" s="3">
        <v>8</v>
      </c>
      <c r="CJ24" s="3">
        <v>8</v>
      </c>
      <c r="CK24" s="3">
        <v>8</v>
      </c>
      <c r="CL24" s="3">
        <v>8</v>
      </c>
      <c r="CM24" s="3">
        <v>8</v>
      </c>
      <c r="CN24" s="3">
        <v>8</v>
      </c>
      <c r="CO24" s="3">
        <v>8</v>
      </c>
      <c r="CP24" s="3">
        <v>8</v>
      </c>
      <c r="CQ24" s="3">
        <v>8</v>
      </c>
      <c r="CR24" s="3">
        <v>8</v>
      </c>
      <c r="CS24" s="3">
        <v>8</v>
      </c>
      <c r="CT24" s="3">
        <v>8</v>
      </c>
      <c r="CU24" s="3">
        <v>8</v>
      </c>
      <c r="CV24" s="3">
        <v>8</v>
      </c>
      <c r="CW24" s="3">
        <v>8</v>
      </c>
      <c r="CX24" s="3">
        <v>8</v>
      </c>
      <c r="CY24" s="3">
        <v>8</v>
      </c>
      <c r="CZ24" s="3">
        <v>8</v>
      </c>
      <c r="DA24" s="3">
        <v>8</v>
      </c>
      <c r="DB24" s="3">
        <v>8</v>
      </c>
      <c r="DC24" s="3">
        <v>8</v>
      </c>
      <c r="DD24" s="3">
        <v>8</v>
      </c>
      <c r="DE24" s="3">
        <v>8</v>
      </c>
      <c r="DF24" s="3">
        <v>8</v>
      </c>
      <c r="DG24" s="3">
        <v>8</v>
      </c>
      <c r="DH24" s="3">
        <v>8</v>
      </c>
      <c r="DI24" s="3">
        <v>8</v>
      </c>
      <c r="DJ24" s="3">
        <v>8</v>
      </c>
      <c r="DK24" s="3">
        <v>8</v>
      </c>
      <c r="DL24" s="3">
        <v>8</v>
      </c>
      <c r="DM24" s="3">
        <v>8</v>
      </c>
      <c r="DN24" s="3">
        <v>8</v>
      </c>
      <c r="DO24" s="3">
        <v>8</v>
      </c>
      <c r="DP24" s="3">
        <v>8</v>
      </c>
      <c r="DQ24" s="3">
        <v>8</v>
      </c>
      <c r="DR24" s="3">
        <v>8</v>
      </c>
      <c r="DS24" s="3">
        <v>8</v>
      </c>
      <c r="DT24" s="3">
        <v>8</v>
      </c>
      <c r="DU24" s="3">
        <v>8</v>
      </c>
      <c r="DV24" s="3">
        <v>8</v>
      </c>
      <c r="DW24" s="3">
        <v>8</v>
      </c>
      <c r="DX24" s="3">
        <v>8</v>
      </c>
      <c r="DY24" s="3">
        <v>8</v>
      </c>
      <c r="DZ24" s="3">
        <v>8</v>
      </c>
      <c r="EA24" s="3">
        <v>8</v>
      </c>
      <c r="EB24" s="3">
        <v>8</v>
      </c>
      <c r="EC24" s="3">
        <v>8</v>
      </c>
      <c r="ED24" s="3">
        <v>8</v>
      </c>
      <c r="EE24" s="3">
        <v>8</v>
      </c>
      <c r="EF24" s="3">
        <v>8</v>
      </c>
      <c r="EG24" s="3">
        <v>8</v>
      </c>
      <c r="EH24" s="3">
        <v>8</v>
      </c>
      <c r="EI24" s="3">
        <v>8</v>
      </c>
      <c r="EJ24" s="3">
        <v>8</v>
      </c>
      <c r="EK24" s="3">
        <v>8</v>
      </c>
      <c r="EL24" s="3">
        <v>8</v>
      </c>
      <c r="EM24" s="3">
        <v>8</v>
      </c>
      <c r="EN24" s="3">
        <v>8</v>
      </c>
      <c r="EO24" s="3">
        <v>8</v>
      </c>
      <c r="EP24" s="3">
        <v>8</v>
      </c>
      <c r="EQ24" s="3">
        <v>8</v>
      </c>
      <c r="ER24" s="3">
        <v>8</v>
      </c>
      <c r="ES24" s="3">
        <v>8</v>
      </c>
      <c r="ET24" s="3">
        <v>8</v>
      </c>
      <c r="EU24" s="3">
        <v>8</v>
      </c>
      <c r="EV24" s="3">
        <v>8</v>
      </c>
      <c r="EW24" s="3">
        <v>8</v>
      </c>
      <c r="EX24" s="3">
        <v>8</v>
      </c>
      <c r="EY24" s="3">
        <v>8</v>
      </c>
      <c r="EZ24" s="3">
        <v>8</v>
      </c>
      <c r="FA24" s="3">
        <v>8</v>
      </c>
      <c r="FB24" s="3">
        <v>8</v>
      </c>
      <c r="FC24" s="3">
        <v>8</v>
      </c>
      <c r="FD24" s="3">
        <v>8</v>
      </c>
      <c r="FE24" s="3">
        <v>8</v>
      </c>
      <c r="FF24" s="3">
        <v>8</v>
      </c>
      <c r="FG24" s="3">
        <v>8</v>
      </c>
      <c r="FH24" s="3">
        <v>8</v>
      </c>
      <c r="FI24" s="3">
        <v>8</v>
      </c>
      <c r="FJ24" s="3">
        <v>8</v>
      </c>
      <c r="FK24" s="3">
        <v>8</v>
      </c>
      <c r="FL24" s="3">
        <v>8</v>
      </c>
      <c r="FM24" s="3">
        <v>8</v>
      </c>
      <c r="FN24" s="3">
        <v>8</v>
      </c>
      <c r="FO24" s="3">
        <v>8</v>
      </c>
      <c r="FP24" s="3">
        <v>8</v>
      </c>
      <c r="FQ24" s="3">
        <v>8</v>
      </c>
      <c r="FR24" s="3">
        <v>8</v>
      </c>
      <c r="FS24" s="3">
        <v>8</v>
      </c>
      <c r="FT24" s="3">
        <v>8</v>
      </c>
      <c r="FU24" s="3">
        <v>8</v>
      </c>
      <c r="FV24" s="3">
        <v>8</v>
      </c>
      <c r="FW24" s="3">
        <v>8</v>
      </c>
      <c r="FX24" s="3">
        <v>8</v>
      </c>
      <c r="FY24" s="3">
        <v>8</v>
      </c>
      <c r="FZ24" s="3">
        <v>8</v>
      </c>
      <c r="GA24" s="3">
        <v>8</v>
      </c>
      <c r="GB24" s="3">
        <v>8</v>
      </c>
      <c r="GC24" s="3">
        <v>8</v>
      </c>
      <c r="GD24" s="3">
        <v>8</v>
      </c>
      <c r="GE24" s="3">
        <v>8</v>
      </c>
      <c r="GF24" s="3">
        <v>8</v>
      </c>
      <c r="GG24" s="3">
        <v>8</v>
      </c>
      <c r="GH24" s="3">
        <v>8</v>
      </c>
      <c r="GI24" s="3">
        <v>8</v>
      </c>
      <c r="GJ24" s="3">
        <v>8</v>
      </c>
      <c r="GK24" s="3">
        <v>8</v>
      </c>
      <c r="GL24" s="3">
        <v>8</v>
      </c>
      <c r="GM24" s="3">
        <v>8</v>
      </c>
      <c r="GN24" s="3">
        <v>8</v>
      </c>
      <c r="GO24" s="3">
        <v>8</v>
      </c>
      <c r="GP24" s="3">
        <v>8</v>
      </c>
      <c r="GQ24" s="3">
        <v>8</v>
      </c>
      <c r="GR24" s="3">
        <v>8</v>
      </c>
      <c r="GS24" s="3">
        <v>8</v>
      </c>
      <c r="GT24" s="3">
        <v>8</v>
      </c>
      <c r="GU24" s="3">
        <v>8</v>
      </c>
      <c r="GV24" s="3">
        <v>8</v>
      </c>
      <c r="GW24" s="3">
        <v>8</v>
      </c>
      <c r="GX24" s="3">
        <v>8</v>
      </c>
      <c r="GY24" s="3">
        <v>8</v>
      </c>
      <c r="GZ24" s="3">
        <v>8</v>
      </c>
      <c r="HA24" s="3">
        <v>8</v>
      </c>
      <c r="HB24" s="3">
        <v>8</v>
      </c>
      <c r="HC24" s="3">
        <v>8</v>
      </c>
      <c r="HD24" s="3">
        <v>8</v>
      </c>
      <c r="HE24" s="3">
        <v>8</v>
      </c>
      <c r="HF24" s="3">
        <v>8</v>
      </c>
      <c r="HG24" s="3">
        <v>8</v>
      </c>
      <c r="HH24" s="3">
        <v>8</v>
      </c>
      <c r="HI24" s="3">
        <v>8</v>
      </c>
      <c r="HJ24" s="3">
        <v>8</v>
      </c>
      <c r="HK24" s="3">
        <v>8</v>
      </c>
      <c r="HL24" s="3">
        <v>8</v>
      </c>
      <c r="HM24" s="3">
        <v>8</v>
      </c>
      <c r="HN24" s="3">
        <v>8</v>
      </c>
      <c r="HO24" s="3">
        <v>8</v>
      </c>
      <c r="HP24" s="3">
        <v>8</v>
      </c>
      <c r="HQ24" s="3">
        <v>8</v>
      </c>
      <c r="HR24" s="3">
        <v>8</v>
      </c>
      <c r="HS24" s="3">
        <v>8</v>
      </c>
      <c r="HT24" s="3">
        <v>8</v>
      </c>
      <c r="HU24" s="3">
        <v>8</v>
      </c>
      <c r="HV24" s="3">
        <v>8</v>
      </c>
      <c r="HW24" s="3">
        <v>8</v>
      </c>
      <c r="HX24" s="3">
        <v>8</v>
      </c>
      <c r="HY24" s="3">
        <v>8</v>
      </c>
      <c r="HZ24" s="3">
        <v>8</v>
      </c>
      <c r="IA24" s="3">
        <v>8</v>
      </c>
      <c r="IB24" s="3">
        <v>8</v>
      </c>
      <c r="IC24" s="3">
        <v>8</v>
      </c>
      <c r="ID24" s="3">
        <v>8</v>
      </c>
      <c r="IE24" s="3">
        <v>8</v>
      </c>
      <c r="IF24" s="3">
        <v>8</v>
      </c>
      <c r="IG24" s="3">
        <v>8</v>
      </c>
      <c r="IH24" s="3">
        <v>8</v>
      </c>
      <c r="II24" s="3">
        <v>8</v>
      </c>
      <c r="IJ24" s="3">
        <v>8</v>
      </c>
      <c r="IK24" s="3">
        <v>8</v>
      </c>
      <c r="IL24" s="3">
        <v>8</v>
      </c>
      <c r="IM24" s="3">
        <v>8</v>
      </c>
      <c r="IN24" s="3">
        <v>8</v>
      </c>
      <c r="IO24" s="3">
        <v>8</v>
      </c>
      <c r="IP24" s="3">
        <v>8</v>
      </c>
      <c r="IQ24" s="3">
        <v>8</v>
      </c>
      <c r="IR24" s="3">
        <v>8</v>
      </c>
      <c r="IS24" s="3">
        <v>8</v>
      </c>
      <c r="IT24" s="3">
        <v>8</v>
      </c>
      <c r="IU24" s="3">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2" width="9.140625" hidden="1" customWidth="1"/>
    <col min="3" max="3" width="3" customWidth="1"/>
    <col min="4" max="4" width="5" customWidth="1"/>
    <col min="5" max="5" width="38" customWidth="1"/>
    <col min="6" max="7" width="3" customWidth="1"/>
    <col min="8" max="8" width="38" customWidth="1"/>
    <col min="9" max="9" width="35" customWidth="1"/>
    <col min="10" max="10" width="103" customWidth="1"/>
    <col min="11" max="11" width="3" customWidth="1"/>
    <col min="12" max="14" width="10" customWidth="1"/>
    <col min="15" max="15" width="13" customWidth="1"/>
    <col min="16" max="16" width="15" customWidth="1"/>
    <col min="17" max="17" width="16" customWidth="1"/>
    <col min="18" max="21" width="10" customWidth="1"/>
    <col min="22" max="22" width="10.5703125" hidden="1"/>
  </cols>
  <sheetData>
    <row r="1" spans="3:22" ht="22.5" hidden="1" customHeight="1">
      <c r="H1" s="979" t="s">
        <v>275</v>
      </c>
      <c r="I1" s="885"/>
      <c r="V1" s="3" t="s">
        <v>1</v>
      </c>
    </row>
    <row r="2" spans="3:22" ht="14.25" hidden="1" customHeight="1">
      <c r="C2" s="151"/>
      <c r="D2" s="983" t="s">
        <v>31</v>
      </c>
      <c r="E2" s="985"/>
      <c r="F2" s="203"/>
      <c r="G2" s="55" t="s">
        <v>31</v>
      </c>
      <c r="H2" s="204"/>
      <c r="I2" s="205"/>
      <c r="O2" s="24" t="s">
        <v>305</v>
      </c>
      <c r="R2" s="29" t="s">
        <v>304</v>
      </c>
      <c r="S2" s="29" t="s">
        <v>304</v>
      </c>
      <c r="V2" s="3">
        <v>0</v>
      </c>
    </row>
    <row r="3" spans="3:22" ht="14.25" hidden="1" customHeight="1">
      <c r="C3" s="151"/>
      <c r="D3" s="984"/>
      <c r="E3" s="986"/>
      <c r="F3" s="198"/>
      <c r="G3" s="199"/>
      <c r="H3" s="199" t="s">
        <v>306</v>
      </c>
      <c r="I3" s="200"/>
      <c r="V3" s="3">
        <v>0</v>
      </c>
    </row>
    <row r="4" spans="3:22" ht="14.25" hidden="1" customHeight="1">
      <c r="V4" s="3">
        <v>0</v>
      </c>
    </row>
    <row r="5" spans="3:22" ht="5.25" customHeight="1">
      <c r="C5" s="172"/>
      <c r="D5" s="173"/>
      <c r="E5" s="173"/>
      <c r="F5" s="173"/>
      <c r="G5" s="173"/>
      <c r="H5" s="173" t="s">
        <v>279</v>
      </c>
      <c r="I5" s="173"/>
      <c r="J5" s="173"/>
      <c r="V5" s="174">
        <v>5</v>
      </c>
    </row>
    <row r="6" spans="3:22" ht="29.25" customHeight="1">
      <c r="C6" s="151"/>
      <c r="D6" s="982" t="s">
        <v>307</v>
      </c>
      <c r="E6" s="982"/>
      <c r="F6" s="982"/>
      <c r="G6" s="982"/>
      <c r="H6" s="982"/>
      <c r="I6" s="982"/>
      <c r="V6" s="3">
        <v>28</v>
      </c>
    </row>
    <row r="7" spans="3:22" ht="18" customHeight="1">
      <c r="C7" s="151"/>
      <c r="D7" s="955" t="e">
        <f>IF(org=0,"Не определено",org)</f>
        <v>#REF!</v>
      </c>
      <c r="E7" s="955"/>
      <c r="F7" s="955"/>
      <c r="G7" s="955"/>
      <c r="H7" s="955"/>
      <c r="I7" s="955"/>
      <c r="V7" s="3">
        <v>17</v>
      </c>
    </row>
    <row r="8" spans="3:22" ht="5.25" customHeight="1">
      <c r="C8" s="176"/>
      <c r="V8" s="5">
        <v>5</v>
      </c>
    </row>
    <row r="9" spans="3:22" ht="5.25" customHeight="1">
      <c r="C9" s="176"/>
      <c r="V9" s="5">
        <v>5</v>
      </c>
    </row>
    <row r="10" spans="3:22" ht="14.65" customHeight="1">
      <c r="C10" s="151"/>
      <c r="D10" s="967" t="s">
        <v>223</v>
      </c>
      <c r="E10" s="980"/>
      <c r="F10" s="980"/>
      <c r="G10" s="980"/>
      <c r="H10" s="980"/>
      <c r="I10" s="980"/>
      <c r="J10" s="933" t="s">
        <v>224</v>
      </c>
      <c r="V10" s="3">
        <v>14</v>
      </c>
    </row>
    <row r="11" spans="3:22" ht="27.4" customHeight="1">
      <c r="C11" s="151"/>
      <c r="D11" s="894" t="s">
        <v>24</v>
      </c>
      <c r="E11" s="933" t="s">
        <v>37</v>
      </c>
      <c r="F11" s="936" t="s">
        <v>24</v>
      </c>
      <c r="G11" s="937"/>
      <c r="H11" s="935" t="s">
        <v>308</v>
      </c>
      <c r="I11" s="935" t="s">
        <v>309</v>
      </c>
      <c r="J11" s="933"/>
      <c r="V11" s="3">
        <v>26</v>
      </c>
    </row>
    <row r="12" spans="3:22" ht="14.65" customHeight="1">
      <c r="C12" s="151"/>
      <c r="D12" s="894"/>
      <c r="E12" s="933"/>
      <c r="F12" s="941"/>
      <c r="G12" s="942"/>
      <c r="H12" s="987"/>
      <c r="I12" s="987"/>
      <c r="J12" s="933"/>
      <c r="V12" s="3">
        <v>14</v>
      </c>
    </row>
    <row r="13" spans="3:22" ht="11.25" hidden="1" customHeight="1">
      <c r="C13" s="185"/>
      <c r="D13" s="186" t="s">
        <v>299</v>
      </c>
      <c r="E13" s="186"/>
      <c r="F13" s="186"/>
      <c r="G13" s="186"/>
      <c r="H13" s="187"/>
      <c r="I13" s="187"/>
      <c r="J13" s="188"/>
      <c r="V13" s="189">
        <v>0</v>
      </c>
    </row>
    <row r="14" spans="3:22" ht="14.65" customHeight="1">
      <c r="C14" s="151"/>
      <c r="D14" s="983" t="s">
        <v>31</v>
      </c>
      <c r="E14" s="985"/>
      <c r="F14" s="203"/>
      <c r="G14" s="55" t="s">
        <v>31</v>
      </c>
      <c r="H14" s="204"/>
      <c r="I14" s="205"/>
      <c r="J14" s="920" t="s">
        <v>310</v>
      </c>
      <c r="R14" s="29" t="s">
        <v>304</v>
      </c>
      <c r="S14" s="29" t="s">
        <v>304</v>
      </c>
      <c r="V14" s="3">
        <v>14</v>
      </c>
    </row>
    <row r="15" spans="3:22" ht="14.65" customHeight="1">
      <c r="C15" s="151"/>
      <c r="D15" s="984"/>
      <c r="E15" s="986"/>
      <c r="F15" s="198"/>
      <c r="G15" s="199"/>
      <c r="H15" s="199" t="s">
        <v>306</v>
      </c>
      <c r="I15" s="200"/>
      <c r="J15" s="921"/>
      <c r="V15" s="3">
        <v>14</v>
      </c>
    </row>
    <row r="16" spans="3:22" ht="14.65" customHeight="1">
      <c r="C16" s="151"/>
      <c r="D16" s="198"/>
      <c r="E16" s="199" t="s">
        <v>46</v>
      </c>
      <c r="F16" s="200"/>
      <c r="G16" s="200"/>
      <c r="H16" s="201"/>
      <c r="I16" s="201"/>
      <c r="J16" s="922"/>
      <c r="V16" s="3">
        <v>14</v>
      </c>
    </row>
    <row r="17" spans="1:22" ht="14.65" customHeight="1">
      <c r="V17" s="3">
        <v>14</v>
      </c>
    </row>
    <row r="18" spans="1:22" ht="22.5" hidden="1" customHeight="1">
      <c r="A18" s="2" t="s">
        <v>18</v>
      </c>
      <c r="B18" s="3">
        <v>0</v>
      </c>
      <c r="C18" s="48">
        <v>3</v>
      </c>
      <c r="D18" s="3">
        <v>5</v>
      </c>
      <c r="E18" s="3">
        <v>38</v>
      </c>
      <c r="F18" s="3">
        <v>3</v>
      </c>
      <c r="G18" s="3">
        <v>3</v>
      </c>
      <c r="H18" s="3">
        <v>38</v>
      </c>
      <c r="I18" s="3">
        <v>35</v>
      </c>
      <c r="J18" s="3">
        <v>103</v>
      </c>
      <c r="K18" s="25">
        <v>3</v>
      </c>
      <c r="L18" s="24">
        <v>10</v>
      </c>
      <c r="M18" s="24">
        <v>10</v>
      </c>
      <c r="N18" s="24">
        <v>10</v>
      </c>
      <c r="O18" s="24">
        <v>13</v>
      </c>
      <c r="P18" s="24">
        <v>15</v>
      </c>
      <c r="Q18" s="24">
        <v>16</v>
      </c>
      <c r="R18" s="24">
        <v>10</v>
      </c>
      <c r="S18" s="24">
        <v>10</v>
      </c>
      <c r="T18" s="24">
        <v>10</v>
      </c>
      <c r="U18" s="24">
        <v>10</v>
      </c>
      <c r="V18" s="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2" width="9.140625" hidden="1"/>
    <col min="3" max="3" width="3.7109375" hidden="1" customWidth="1"/>
    <col min="4" max="4" width="3" customWidth="1"/>
    <col min="5" max="5" width="6" customWidth="1"/>
    <col min="6" max="6" width="27" customWidth="1"/>
    <col min="7" max="7" width="16" customWidth="1"/>
    <col min="8" max="8" width="12" customWidth="1"/>
    <col min="9" max="9" width="32" customWidth="1"/>
    <col min="10" max="11" width="41" customWidth="1"/>
    <col min="12" max="12" width="89" customWidth="1"/>
    <col min="13" max="13" width="3" customWidth="1"/>
    <col min="14" max="16" width="8" customWidth="1"/>
    <col min="17" max="17" width="25" customWidth="1"/>
    <col min="18" max="18" width="14" customWidth="1"/>
    <col min="19" max="256" width="8" customWidth="1"/>
    <col min="257" max="257" width="9.140625" hidden="1"/>
  </cols>
  <sheetData>
    <row r="1" spans="1:257" ht="22.5" hidden="1" customHeight="1">
      <c r="IW1" s="3" t="s">
        <v>1</v>
      </c>
    </row>
    <row r="2" spans="1:257" ht="22.5" hidden="1" customHeight="1">
      <c r="B2" s="11">
        <v>1</v>
      </c>
      <c r="D2" s="516" t="s">
        <v>612</v>
      </c>
      <c r="E2" s="7"/>
      <c r="F2" s="269" t="e">
        <f>IF(ROIV_INFO_NAME="","",ROIV_INFO_NAME)</f>
        <v>#REF!</v>
      </c>
      <c r="G2" s="662" t="s">
        <v>4</v>
      </c>
      <c r="H2" s="663"/>
      <c r="I2" s="658"/>
      <c r="J2" s="408"/>
      <c r="K2" s="408"/>
      <c r="M2" s="664" t="e">
        <f ca="1">MERGEVALUE(F2)</f>
        <v>#NAME?</v>
      </c>
      <c r="P2" s="29" t="str">
        <f t="array" ref="P2">IF(ISERROR(MATCH(MID(Q2,1,250),MID(note_ter,1,250),0)),"n","y")</f>
        <v>n</v>
      </c>
      <c r="R2" s="29" t="str">
        <f>G2&amp;"("&amp;L2&amp;")"</f>
        <v>()</v>
      </c>
      <c r="IW2" s="39">
        <v>0</v>
      </c>
    </row>
    <row r="3" spans="1:257" ht="5.25" hidden="1" customHeight="1">
      <c r="F3" s="21" t="s">
        <v>19</v>
      </c>
      <c r="G3" s="665" t="s">
        <v>20</v>
      </c>
      <c r="L3" s="23" t="s">
        <v>21</v>
      </c>
      <c r="M3" s="21" t="s">
        <v>19</v>
      </c>
      <c r="IW3" s="24">
        <v>0</v>
      </c>
    </row>
    <row r="4" spans="1:257" ht="14.65" customHeight="1">
      <c r="IW4" s="25">
        <v>14</v>
      </c>
    </row>
    <row r="5" spans="1:257" ht="27.4" customHeight="1">
      <c r="E5" s="88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889"/>
      <c r="G5" s="889"/>
      <c r="H5" s="889"/>
      <c r="I5" s="889"/>
      <c r="J5" s="889"/>
      <c r="K5" s="889"/>
      <c r="IW5" s="25">
        <v>26</v>
      </c>
    </row>
    <row r="6" spans="1:257" ht="14.65" customHeight="1">
      <c r="IW6" s="25">
        <v>14</v>
      </c>
    </row>
    <row r="7" spans="1:257" ht="14.65" customHeight="1">
      <c r="E7" s="887" t="s">
        <v>223</v>
      </c>
      <c r="F7" s="890"/>
      <c r="G7" s="890"/>
      <c r="H7" s="890"/>
      <c r="I7" s="890"/>
      <c r="J7" s="890"/>
      <c r="K7" s="890"/>
      <c r="L7" s="1163" t="s">
        <v>224</v>
      </c>
      <c r="IW7" s="25">
        <v>14</v>
      </c>
    </row>
    <row r="8" spans="1:257" ht="67.150000000000006" customHeight="1">
      <c r="E8" s="1167" t="s">
        <v>24</v>
      </c>
      <c r="F8" s="116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116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1170"/>
      <c r="I8" s="1171"/>
      <c r="J8" s="116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116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1165"/>
      <c r="IW8" s="25">
        <v>64</v>
      </c>
    </row>
    <row r="9" spans="1:257" ht="29.25" customHeight="1">
      <c r="E9" s="1168"/>
      <c r="F9" s="1168"/>
      <c r="G9" s="666" t="s">
        <v>1798</v>
      </c>
      <c r="H9" s="666" t="s">
        <v>1799</v>
      </c>
      <c r="I9" s="666" t="s">
        <v>1800</v>
      </c>
      <c r="J9" s="1168"/>
      <c r="K9" s="1168"/>
      <c r="L9" s="1164"/>
      <c r="IW9" s="25">
        <v>28</v>
      </c>
    </row>
    <row r="10" spans="1:257" ht="23.25" customHeight="1">
      <c r="A10" s="885"/>
      <c r="B10" s="11">
        <v>1</v>
      </c>
      <c r="D10" s="34"/>
      <c r="E10" s="35">
        <v>1</v>
      </c>
      <c r="F10" s="667" t="e">
        <f>IF(ROIV_INFO_NAME="","",ROIV_INFO_NAME)</f>
        <v>#REF!</v>
      </c>
      <c r="G10" s="10" t="s">
        <v>4</v>
      </c>
      <c r="H10" s="663"/>
      <c r="I10" s="668"/>
      <c r="J10" s="408"/>
      <c r="K10" s="408"/>
      <c r="L10" s="115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664" t="e">
        <f ca="1">MERGEVALUE(F10)</f>
        <v>#NAME?</v>
      </c>
      <c r="P10" s="29" t="str">
        <f t="array" ref="P10">IF(ISERROR(MATCH(MID(Q10,1,250),MID(note_ter,1,250),0)),"n","y")</f>
        <v>n</v>
      </c>
      <c r="R10" s="29"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IW10" s="39">
        <v>22</v>
      </c>
    </row>
    <row r="11" spans="1:257" ht="15.75" customHeight="1">
      <c r="A11" s="885"/>
      <c r="E11" s="40"/>
      <c r="F11" s="45" t="s">
        <v>1801</v>
      </c>
      <c r="G11" s="43"/>
      <c r="H11" s="43"/>
      <c r="I11" s="43"/>
      <c r="J11" s="43"/>
      <c r="K11" s="44"/>
      <c r="L11" s="1166"/>
      <c r="IW11" s="39">
        <v>15</v>
      </c>
    </row>
    <row r="12" spans="1:257" ht="21.95" customHeight="1">
      <c r="E12" s="46"/>
      <c r="F12" s="46"/>
      <c r="G12" s="46"/>
      <c r="H12" s="46"/>
      <c r="I12" s="46"/>
      <c r="J12" s="46"/>
      <c r="K12" s="46"/>
      <c r="L12" s="46"/>
      <c r="IW12" s="25">
        <v>21</v>
      </c>
    </row>
    <row r="13" spans="1:257" ht="14.65" customHeight="1">
      <c r="IW13" s="25">
        <v>14</v>
      </c>
    </row>
    <row r="14" spans="1:257" ht="1.1499999999999999" customHeight="1">
      <c r="IW14" s="25">
        <v>1</v>
      </c>
    </row>
    <row r="15" spans="1:257" ht="22.5" hidden="1" customHeight="1">
      <c r="A15" s="3" t="s">
        <v>18</v>
      </c>
      <c r="B15" s="11">
        <v>0</v>
      </c>
      <c r="C15" s="3">
        <v>0</v>
      </c>
      <c r="D15" s="48">
        <v>3</v>
      </c>
      <c r="E15" s="3">
        <v>6</v>
      </c>
      <c r="F15" s="3">
        <v>27</v>
      </c>
      <c r="G15" s="3">
        <v>16</v>
      </c>
      <c r="H15" s="3">
        <v>12</v>
      </c>
      <c r="I15" s="3">
        <v>32</v>
      </c>
      <c r="J15" s="3">
        <v>41</v>
      </c>
      <c r="K15" s="3">
        <v>41</v>
      </c>
      <c r="L15" s="3">
        <v>89</v>
      </c>
      <c r="M15" s="29">
        <v>3</v>
      </c>
      <c r="N15" s="29">
        <v>8</v>
      </c>
      <c r="O15" s="29">
        <v>8</v>
      </c>
      <c r="P15" s="29">
        <v>8</v>
      </c>
      <c r="Q15" s="29">
        <v>25</v>
      </c>
      <c r="R15" s="29">
        <v>14</v>
      </c>
      <c r="S15" s="49">
        <v>8</v>
      </c>
      <c r="T15" s="49">
        <v>8</v>
      </c>
      <c r="U15" s="49">
        <v>8</v>
      </c>
      <c r="V15" s="49">
        <v>8</v>
      </c>
      <c r="W15" s="3">
        <v>8</v>
      </c>
      <c r="X15" s="3">
        <v>8</v>
      </c>
      <c r="Y15" s="3">
        <v>8</v>
      </c>
      <c r="Z15" s="3">
        <v>8</v>
      </c>
      <c r="AA15" s="3">
        <v>8</v>
      </c>
      <c r="AB15" s="3">
        <v>8</v>
      </c>
      <c r="AC15" s="3">
        <v>8</v>
      </c>
      <c r="AD15" s="3">
        <v>8</v>
      </c>
      <c r="AE15" s="3">
        <v>8</v>
      </c>
      <c r="AF15" s="3">
        <v>8</v>
      </c>
      <c r="AG15" s="3">
        <v>8</v>
      </c>
      <c r="AH15" s="3">
        <v>8</v>
      </c>
      <c r="AI15" s="3">
        <v>8</v>
      </c>
      <c r="AJ15" s="3">
        <v>8</v>
      </c>
      <c r="AK15" s="3">
        <v>8</v>
      </c>
      <c r="AL15" s="3">
        <v>8</v>
      </c>
      <c r="AM15" s="3">
        <v>8</v>
      </c>
      <c r="AN15" s="3">
        <v>8</v>
      </c>
      <c r="AO15" s="3">
        <v>8</v>
      </c>
      <c r="AP15" s="3">
        <v>8</v>
      </c>
      <c r="AQ15" s="3">
        <v>8</v>
      </c>
      <c r="AR15" s="3">
        <v>8</v>
      </c>
      <c r="AS15" s="3">
        <v>8</v>
      </c>
      <c r="AT15" s="3">
        <v>8</v>
      </c>
      <c r="AU15" s="3">
        <v>8</v>
      </c>
      <c r="AV15" s="3">
        <v>8</v>
      </c>
      <c r="AW15" s="3">
        <v>8</v>
      </c>
      <c r="AX15" s="3">
        <v>8</v>
      </c>
      <c r="AY15" s="3">
        <v>8</v>
      </c>
      <c r="AZ15" s="3">
        <v>8</v>
      </c>
      <c r="BA15" s="3">
        <v>8</v>
      </c>
      <c r="BB15" s="3">
        <v>8</v>
      </c>
      <c r="BC15" s="3">
        <v>8</v>
      </c>
      <c r="BD15" s="3">
        <v>8</v>
      </c>
      <c r="BE15" s="3">
        <v>8</v>
      </c>
      <c r="BF15" s="3">
        <v>8</v>
      </c>
      <c r="BG15" s="3">
        <v>8</v>
      </c>
      <c r="BH15" s="3">
        <v>8</v>
      </c>
      <c r="BI15" s="3">
        <v>8</v>
      </c>
      <c r="BJ15" s="3">
        <v>8</v>
      </c>
      <c r="BK15" s="3">
        <v>8</v>
      </c>
      <c r="BL15" s="3">
        <v>8</v>
      </c>
      <c r="BM15" s="3">
        <v>8</v>
      </c>
      <c r="BN15" s="3">
        <v>8</v>
      </c>
      <c r="BO15" s="3">
        <v>8</v>
      </c>
      <c r="BP15" s="3">
        <v>8</v>
      </c>
      <c r="BQ15" s="3">
        <v>8</v>
      </c>
      <c r="BR15" s="3">
        <v>8</v>
      </c>
      <c r="BS15" s="3">
        <v>8</v>
      </c>
      <c r="BT15" s="3">
        <v>8</v>
      </c>
      <c r="BU15" s="3">
        <v>8</v>
      </c>
      <c r="BV15" s="3">
        <v>8</v>
      </c>
      <c r="BW15" s="3">
        <v>8</v>
      </c>
      <c r="BX15" s="3">
        <v>8</v>
      </c>
      <c r="BY15" s="3">
        <v>8</v>
      </c>
      <c r="BZ15" s="3">
        <v>8</v>
      </c>
      <c r="CA15" s="3">
        <v>8</v>
      </c>
      <c r="CB15" s="3">
        <v>8</v>
      </c>
      <c r="CC15" s="3">
        <v>8</v>
      </c>
      <c r="CD15" s="3">
        <v>8</v>
      </c>
      <c r="CE15" s="3">
        <v>8</v>
      </c>
      <c r="CF15" s="3">
        <v>8</v>
      </c>
      <c r="CG15" s="3">
        <v>8</v>
      </c>
      <c r="CH15" s="3">
        <v>8</v>
      </c>
      <c r="CI15" s="3">
        <v>8</v>
      </c>
      <c r="CJ15" s="3">
        <v>8</v>
      </c>
      <c r="CK15" s="3">
        <v>8</v>
      </c>
      <c r="CL15" s="3">
        <v>8</v>
      </c>
      <c r="CM15" s="3">
        <v>8</v>
      </c>
      <c r="CN15" s="3">
        <v>8</v>
      </c>
      <c r="CO15" s="3">
        <v>8</v>
      </c>
      <c r="CP15" s="3">
        <v>8</v>
      </c>
      <c r="CQ15" s="3">
        <v>8</v>
      </c>
      <c r="CR15" s="3">
        <v>8</v>
      </c>
      <c r="CS15" s="3">
        <v>8</v>
      </c>
      <c r="CT15" s="3">
        <v>8</v>
      </c>
      <c r="CU15" s="3">
        <v>8</v>
      </c>
      <c r="CV15" s="3">
        <v>8</v>
      </c>
      <c r="CW15" s="3">
        <v>8</v>
      </c>
      <c r="CX15" s="3">
        <v>8</v>
      </c>
      <c r="CY15" s="3">
        <v>8</v>
      </c>
      <c r="CZ15" s="3">
        <v>8</v>
      </c>
      <c r="DA15" s="3">
        <v>8</v>
      </c>
      <c r="DB15" s="3">
        <v>8</v>
      </c>
      <c r="DC15" s="3">
        <v>8</v>
      </c>
      <c r="DD15" s="3">
        <v>8</v>
      </c>
      <c r="DE15" s="3">
        <v>8</v>
      </c>
      <c r="DF15" s="3">
        <v>8</v>
      </c>
      <c r="DG15" s="3">
        <v>8</v>
      </c>
      <c r="DH15" s="3">
        <v>8</v>
      </c>
      <c r="DI15" s="3">
        <v>8</v>
      </c>
      <c r="DJ15" s="3">
        <v>8</v>
      </c>
      <c r="DK15" s="3">
        <v>8</v>
      </c>
      <c r="DL15" s="3">
        <v>8</v>
      </c>
      <c r="DM15" s="3">
        <v>8</v>
      </c>
      <c r="DN15" s="3">
        <v>8</v>
      </c>
      <c r="DO15" s="3">
        <v>8</v>
      </c>
      <c r="DP15" s="3">
        <v>8</v>
      </c>
      <c r="DQ15" s="3">
        <v>8</v>
      </c>
      <c r="DR15" s="3">
        <v>8</v>
      </c>
      <c r="DS15" s="3">
        <v>8</v>
      </c>
      <c r="DT15" s="3">
        <v>8</v>
      </c>
      <c r="DU15" s="3">
        <v>8</v>
      </c>
      <c r="DV15" s="3">
        <v>8</v>
      </c>
      <c r="DW15" s="3">
        <v>8</v>
      </c>
      <c r="DX15" s="3">
        <v>8</v>
      </c>
      <c r="DY15" s="3">
        <v>8</v>
      </c>
      <c r="DZ15" s="3">
        <v>8</v>
      </c>
      <c r="EA15" s="3">
        <v>8</v>
      </c>
      <c r="EB15" s="3">
        <v>8</v>
      </c>
      <c r="EC15" s="3">
        <v>8</v>
      </c>
      <c r="ED15" s="3">
        <v>8</v>
      </c>
      <c r="EE15" s="3">
        <v>8</v>
      </c>
      <c r="EF15" s="3">
        <v>8</v>
      </c>
      <c r="EG15" s="3">
        <v>8</v>
      </c>
      <c r="EH15" s="3">
        <v>8</v>
      </c>
      <c r="EI15" s="3">
        <v>8</v>
      </c>
      <c r="EJ15" s="3">
        <v>8</v>
      </c>
      <c r="EK15" s="3">
        <v>8</v>
      </c>
      <c r="EL15" s="3">
        <v>8</v>
      </c>
      <c r="EM15" s="3">
        <v>8</v>
      </c>
      <c r="EN15" s="3">
        <v>8</v>
      </c>
      <c r="EO15" s="3">
        <v>8</v>
      </c>
      <c r="EP15" s="3">
        <v>8</v>
      </c>
      <c r="EQ15" s="3">
        <v>8</v>
      </c>
      <c r="ER15" s="3">
        <v>8</v>
      </c>
      <c r="ES15" s="3">
        <v>8</v>
      </c>
      <c r="ET15" s="3">
        <v>8</v>
      </c>
      <c r="EU15" s="3">
        <v>8</v>
      </c>
      <c r="EV15" s="3">
        <v>8</v>
      </c>
      <c r="EW15" s="3">
        <v>8</v>
      </c>
      <c r="EX15" s="3">
        <v>8</v>
      </c>
      <c r="EY15" s="3">
        <v>8</v>
      </c>
      <c r="EZ15" s="3">
        <v>8</v>
      </c>
      <c r="FA15" s="3">
        <v>8</v>
      </c>
      <c r="FB15" s="3">
        <v>8</v>
      </c>
      <c r="FC15" s="3">
        <v>8</v>
      </c>
      <c r="FD15" s="3">
        <v>8</v>
      </c>
      <c r="FE15" s="3">
        <v>8</v>
      </c>
      <c r="FF15" s="3">
        <v>8</v>
      </c>
      <c r="FG15" s="3">
        <v>8</v>
      </c>
      <c r="FH15" s="3">
        <v>8</v>
      </c>
      <c r="FI15" s="3">
        <v>8</v>
      </c>
      <c r="FJ15" s="3">
        <v>8</v>
      </c>
      <c r="FK15" s="3">
        <v>8</v>
      </c>
      <c r="FL15" s="3">
        <v>8</v>
      </c>
      <c r="FM15" s="3">
        <v>8</v>
      </c>
      <c r="FN15" s="3">
        <v>8</v>
      </c>
      <c r="FO15" s="3">
        <v>8</v>
      </c>
      <c r="FP15" s="3">
        <v>8</v>
      </c>
      <c r="FQ15" s="3">
        <v>8</v>
      </c>
      <c r="FR15" s="3">
        <v>8</v>
      </c>
      <c r="FS15" s="3">
        <v>8</v>
      </c>
      <c r="FT15" s="3">
        <v>8</v>
      </c>
      <c r="FU15" s="3">
        <v>8</v>
      </c>
      <c r="FV15" s="3">
        <v>8</v>
      </c>
      <c r="FW15" s="3">
        <v>8</v>
      </c>
      <c r="FX15" s="3">
        <v>8</v>
      </c>
      <c r="FY15" s="3">
        <v>8</v>
      </c>
      <c r="FZ15" s="3">
        <v>8</v>
      </c>
      <c r="GA15" s="3">
        <v>8</v>
      </c>
      <c r="GB15" s="3">
        <v>8</v>
      </c>
      <c r="GC15" s="3">
        <v>8</v>
      </c>
      <c r="GD15" s="3">
        <v>8</v>
      </c>
      <c r="GE15" s="3">
        <v>8</v>
      </c>
      <c r="GF15" s="3">
        <v>8</v>
      </c>
      <c r="GG15" s="3">
        <v>8</v>
      </c>
      <c r="GH15" s="3">
        <v>8</v>
      </c>
      <c r="GI15" s="3">
        <v>8</v>
      </c>
      <c r="GJ15" s="3">
        <v>8</v>
      </c>
      <c r="GK15" s="3">
        <v>8</v>
      </c>
      <c r="GL15" s="3">
        <v>8</v>
      </c>
      <c r="GM15" s="3">
        <v>8</v>
      </c>
      <c r="GN15" s="3">
        <v>8</v>
      </c>
      <c r="GO15" s="3">
        <v>8</v>
      </c>
      <c r="GP15" s="3">
        <v>8</v>
      </c>
      <c r="GQ15" s="3">
        <v>8</v>
      </c>
      <c r="GR15" s="3">
        <v>8</v>
      </c>
      <c r="GS15" s="3">
        <v>8</v>
      </c>
      <c r="GT15" s="3">
        <v>8</v>
      </c>
      <c r="GU15" s="3">
        <v>8</v>
      </c>
      <c r="GV15" s="3">
        <v>8</v>
      </c>
      <c r="GW15" s="3">
        <v>8</v>
      </c>
      <c r="GX15" s="3">
        <v>8</v>
      </c>
      <c r="GY15" s="3">
        <v>8</v>
      </c>
      <c r="GZ15" s="3">
        <v>8</v>
      </c>
      <c r="HA15" s="3">
        <v>8</v>
      </c>
      <c r="HB15" s="3">
        <v>8</v>
      </c>
      <c r="HC15" s="3">
        <v>8</v>
      </c>
      <c r="HD15" s="3">
        <v>8</v>
      </c>
      <c r="HE15" s="3">
        <v>8</v>
      </c>
      <c r="HF15" s="3">
        <v>8</v>
      </c>
      <c r="HG15" s="3">
        <v>8</v>
      </c>
      <c r="HH15" s="3">
        <v>8</v>
      </c>
      <c r="HI15" s="3">
        <v>8</v>
      </c>
      <c r="HJ15" s="3">
        <v>8</v>
      </c>
      <c r="HK15" s="3">
        <v>8</v>
      </c>
      <c r="HL15" s="3">
        <v>8</v>
      </c>
      <c r="HM15" s="3">
        <v>8</v>
      </c>
      <c r="HN15" s="3">
        <v>8</v>
      </c>
      <c r="HO15" s="3">
        <v>8</v>
      </c>
      <c r="HP15" s="3">
        <v>8</v>
      </c>
      <c r="HQ15" s="3">
        <v>8</v>
      </c>
      <c r="HR15" s="3">
        <v>8</v>
      </c>
      <c r="HS15" s="3">
        <v>8</v>
      </c>
      <c r="HT15" s="3">
        <v>8</v>
      </c>
      <c r="HU15" s="3">
        <v>8</v>
      </c>
      <c r="HV15" s="3">
        <v>8</v>
      </c>
      <c r="HW15" s="3">
        <v>8</v>
      </c>
      <c r="HX15" s="3">
        <v>8</v>
      </c>
      <c r="HY15" s="3">
        <v>8</v>
      </c>
      <c r="HZ15" s="3">
        <v>8</v>
      </c>
      <c r="IA15" s="3">
        <v>8</v>
      </c>
      <c r="IB15" s="3">
        <v>8</v>
      </c>
      <c r="IC15" s="3">
        <v>8</v>
      </c>
      <c r="ID15" s="3">
        <v>8</v>
      </c>
      <c r="IE15" s="3">
        <v>8</v>
      </c>
      <c r="IF15" s="3">
        <v>8</v>
      </c>
      <c r="IG15" s="3">
        <v>8</v>
      </c>
      <c r="IH15" s="3">
        <v>8</v>
      </c>
      <c r="II15" s="3">
        <v>8</v>
      </c>
      <c r="IJ15" s="3">
        <v>8</v>
      </c>
      <c r="IK15" s="3">
        <v>8</v>
      </c>
      <c r="IL15" s="3">
        <v>8</v>
      </c>
      <c r="IM15" s="3">
        <v>8</v>
      </c>
      <c r="IN15" s="3">
        <v>8</v>
      </c>
      <c r="IO15" s="3">
        <v>8</v>
      </c>
      <c r="IP15" s="3">
        <v>8</v>
      </c>
      <c r="IQ15" s="3">
        <v>8</v>
      </c>
      <c r="IR15" s="3">
        <v>8</v>
      </c>
      <c r="IS15" s="3">
        <v>8</v>
      </c>
      <c r="IT15" s="3">
        <v>8</v>
      </c>
      <c r="IU15" s="3">
        <v>8</v>
      </c>
      <c r="IV15" s="3">
        <v>8</v>
      </c>
      <c r="IW15" s="3">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2" width="9.140625" hidden="1"/>
    <col min="3" max="3" width="3.7109375" hidden="1" customWidth="1"/>
    <col min="4" max="4" width="3" customWidth="1"/>
    <col min="5" max="5" width="6" customWidth="1"/>
    <col min="6" max="6" width="27" customWidth="1"/>
    <col min="7" max="7" width="16" customWidth="1"/>
    <col min="8" max="8" width="12" customWidth="1"/>
    <col min="9" max="9" width="32" customWidth="1"/>
    <col min="10" max="11" width="41" customWidth="1"/>
    <col min="12" max="12" width="89" customWidth="1"/>
    <col min="13" max="13" width="3" customWidth="1"/>
    <col min="14" max="16" width="8" customWidth="1"/>
    <col min="17" max="17" width="25" customWidth="1"/>
    <col min="18" max="18" width="14" customWidth="1"/>
    <col min="19" max="256" width="8" customWidth="1"/>
    <col min="257" max="257" width="9.140625" hidden="1"/>
  </cols>
  <sheetData>
    <row r="1" spans="1:257" ht="22.5" hidden="1" customHeight="1">
      <c r="IW1" s="3" t="s">
        <v>1</v>
      </c>
    </row>
    <row r="2" spans="1:257" ht="22.5" hidden="1" customHeight="1">
      <c r="B2" s="11">
        <v>1</v>
      </c>
      <c r="D2" s="516" t="s">
        <v>612</v>
      </c>
      <c r="E2" s="30"/>
      <c r="F2" s="269" t="e">
        <f>IF(ROIV_INFO_NAME="","",ROIV_INFO_NAME)</f>
        <v>#REF!</v>
      </c>
      <c r="G2" s="10" t="s">
        <v>4</v>
      </c>
      <c r="H2" s="663"/>
      <c r="I2" s="658"/>
      <c r="J2" s="408"/>
      <c r="K2" s="408"/>
      <c r="M2" s="664" t="e">
        <f ca="1">MERGEVALUE(F2)</f>
        <v>#NAME?</v>
      </c>
      <c r="P2" s="29" t="str">
        <f t="array" ref="P2">IF(ISERROR(MATCH(MID(Q2,1,250),MID(note_ter,1,250),0)),"n","y")</f>
        <v>n</v>
      </c>
      <c r="R2" s="29" t="str">
        <f>G2&amp;"("&amp;L2&amp;")"</f>
        <v>()</v>
      </c>
      <c r="IW2" s="39">
        <v>0</v>
      </c>
    </row>
    <row r="3" spans="1:257" ht="5.25" hidden="1" customHeight="1">
      <c r="F3" s="21" t="s">
        <v>19</v>
      </c>
      <c r="G3" s="665" t="s">
        <v>20</v>
      </c>
      <c r="L3" s="23" t="s">
        <v>21</v>
      </c>
      <c r="M3" s="21" t="s">
        <v>19</v>
      </c>
      <c r="IW3" s="24">
        <v>0</v>
      </c>
    </row>
    <row r="4" spans="1:257" ht="14.65" customHeight="1">
      <c r="IW4" s="25">
        <v>14</v>
      </c>
    </row>
    <row r="5" spans="1:257" ht="27.4" customHeight="1">
      <c r="E5" s="88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889"/>
      <c r="G5" s="889"/>
      <c r="H5" s="889"/>
      <c r="I5" s="889"/>
      <c r="J5" s="889"/>
      <c r="K5" s="889"/>
      <c r="IW5" s="25">
        <v>26</v>
      </c>
    </row>
    <row r="6" spans="1:257" ht="14.65" customHeight="1">
      <c r="IW6" s="25">
        <v>14</v>
      </c>
    </row>
    <row r="7" spans="1:257" ht="14.65" customHeight="1">
      <c r="E7" s="887" t="s">
        <v>223</v>
      </c>
      <c r="F7" s="890"/>
      <c r="G7" s="890"/>
      <c r="H7" s="890"/>
      <c r="I7" s="890"/>
      <c r="J7" s="890"/>
      <c r="K7" s="890"/>
      <c r="L7" s="1163" t="s">
        <v>224</v>
      </c>
      <c r="IW7" s="25">
        <v>14</v>
      </c>
    </row>
    <row r="8" spans="1:257" ht="67.150000000000006" customHeight="1">
      <c r="E8" s="1167" t="s">
        <v>24</v>
      </c>
      <c r="F8" s="1167" t="s">
        <v>1802</v>
      </c>
      <c r="G8" s="1169" t="s">
        <v>1803</v>
      </c>
      <c r="H8" s="1170"/>
      <c r="I8" s="1171"/>
      <c r="J8" s="1167" t="s">
        <v>1804</v>
      </c>
      <c r="K8" s="116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1165"/>
      <c r="IW8" s="25">
        <v>64</v>
      </c>
    </row>
    <row r="9" spans="1:257" ht="29.25" customHeight="1">
      <c r="E9" s="1168"/>
      <c r="F9" s="1168"/>
      <c r="G9" s="666" t="s">
        <v>1798</v>
      </c>
      <c r="H9" s="666" t="s">
        <v>1799</v>
      </c>
      <c r="I9" s="666" t="s">
        <v>1800</v>
      </c>
      <c r="J9" s="1168"/>
      <c r="K9" s="1168"/>
      <c r="L9" s="1164"/>
      <c r="IW9" s="25">
        <v>28</v>
      </c>
    </row>
    <row r="10" spans="1:257" ht="1.1499999999999999" customHeight="1">
      <c r="A10" s="885"/>
      <c r="B10" s="11">
        <v>1</v>
      </c>
      <c r="D10" s="34"/>
      <c r="E10" s="36">
        <v>0</v>
      </c>
      <c r="F10" s="175" t="e">
        <f>IF(ROIV_INFO_NAME="","",ROIV_INFO_NAME)</f>
        <v>#REF!</v>
      </c>
      <c r="G10" s="16" t="s">
        <v>4</v>
      </c>
      <c r="H10" s="669"/>
      <c r="I10" s="669"/>
      <c r="J10" s="482"/>
      <c r="K10" s="482"/>
      <c r="L10" s="115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664" t="e">
        <f ca="1">MERGEVALUE(F10)</f>
        <v>#NAME?</v>
      </c>
      <c r="P10" s="29" t="str">
        <f t="array" ref="P10">IF(ISERROR(MATCH(MID(Q10,1,250),MID(note_ter,1,250),0)),"n","y")</f>
        <v>n</v>
      </c>
      <c r="R10" s="2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IW10" s="39">
        <v>1</v>
      </c>
    </row>
    <row r="11" spans="1:257" ht="15.75" customHeight="1">
      <c r="A11" s="885"/>
      <c r="E11" s="40"/>
      <c r="F11" s="45" t="s">
        <v>1801</v>
      </c>
      <c r="G11" s="43"/>
      <c r="H11" s="43"/>
      <c r="I11" s="43"/>
      <c r="J11" s="43"/>
      <c r="K11" s="44"/>
      <c r="L11" s="1166"/>
      <c r="IW11" s="39">
        <v>15</v>
      </c>
    </row>
    <row r="12" spans="1:257" ht="21.95" customHeight="1">
      <c r="E12" s="46"/>
      <c r="F12" s="46"/>
      <c r="G12" s="46"/>
      <c r="H12" s="46"/>
      <c r="I12" s="46"/>
      <c r="J12" s="46"/>
      <c r="K12" s="46"/>
      <c r="L12" s="46"/>
      <c r="IW12" s="25">
        <v>21</v>
      </c>
    </row>
    <row r="13" spans="1:257" ht="14.65" customHeight="1">
      <c r="IW13" s="25">
        <v>14</v>
      </c>
    </row>
    <row r="14" spans="1:257" ht="1.1499999999999999" customHeight="1">
      <c r="IW14" s="25">
        <v>1</v>
      </c>
    </row>
    <row r="15" spans="1:257" ht="22.5" hidden="1" customHeight="1">
      <c r="A15" s="3" t="s">
        <v>18</v>
      </c>
      <c r="B15" s="11">
        <v>0</v>
      </c>
      <c r="C15" s="3">
        <v>0</v>
      </c>
      <c r="D15" s="48">
        <v>3</v>
      </c>
      <c r="E15" s="3">
        <v>6</v>
      </c>
      <c r="F15" s="3">
        <v>27</v>
      </c>
      <c r="G15" s="3">
        <v>16</v>
      </c>
      <c r="H15" s="3">
        <v>12</v>
      </c>
      <c r="I15" s="3">
        <v>32</v>
      </c>
      <c r="J15" s="3">
        <v>41</v>
      </c>
      <c r="K15" s="3">
        <v>41</v>
      </c>
      <c r="L15" s="3">
        <v>89</v>
      </c>
      <c r="M15" s="29">
        <v>3</v>
      </c>
      <c r="N15" s="29">
        <v>8</v>
      </c>
      <c r="O15" s="29">
        <v>8</v>
      </c>
      <c r="P15" s="29">
        <v>8</v>
      </c>
      <c r="Q15" s="29">
        <v>25</v>
      </c>
      <c r="R15" s="29">
        <v>14</v>
      </c>
      <c r="S15" s="49">
        <v>8</v>
      </c>
      <c r="T15" s="49">
        <v>8</v>
      </c>
      <c r="U15" s="49">
        <v>8</v>
      </c>
      <c r="V15" s="49">
        <v>8</v>
      </c>
      <c r="W15" s="3">
        <v>8</v>
      </c>
      <c r="X15" s="3">
        <v>8</v>
      </c>
      <c r="Y15" s="3">
        <v>8</v>
      </c>
      <c r="Z15" s="3">
        <v>8</v>
      </c>
      <c r="AA15" s="3">
        <v>8</v>
      </c>
      <c r="AB15" s="3">
        <v>8</v>
      </c>
      <c r="AC15" s="3">
        <v>8</v>
      </c>
      <c r="AD15" s="3">
        <v>8</v>
      </c>
      <c r="AE15" s="3">
        <v>8</v>
      </c>
      <c r="AF15" s="3">
        <v>8</v>
      </c>
      <c r="AG15" s="3">
        <v>8</v>
      </c>
      <c r="AH15" s="3">
        <v>8</v>
      </c>
      <c r="AI15" s="3">
        <v>8</v>
      </c>
      <c r="AJ15" s="3">
        <v>8</v>
      </c>
      <c r="AK15" s="3">
        <v>8</v>
      </c>
      <c r="AL15" s="3">
        <v>8</v>
      </c>
      <c r="AM15" s="3">
        <v>8</v>
      </c>
      <c r="AN15" s="3">
        <v>8</v>
      </c>
      <c r="AO15" s="3">
        <v>8</v>
      </c>
      <c r="AP15" s="3">
        <v>8</v>
      </c>
      <c r="AQ15" s="3">
        <v>8</v>
      </c>
      <c r="AR15" s="3">
        <v>8</v>
      </c>
      <c r="AS15" s="3">
        <v>8</v>
      </c>
      <c r="AT15" s="3">
        <v>8</v>
      </c>
      <c r="AU15" s="3">
        <v>8</v>
      </c>
      <c r="AV15" s="3">
        <v>8</v>
      </c>
      <c r="AW15" s="3">
        <v>8</v>
      </c>
      <c r="AX15" s="3">
        <v>8</v>
      </c>
      <c r="AY15" s="3">
        <v>8</v>
      </c>
      <c r="AZ15" s="3">
        <v>8</v>
      </c>
      <c r="BA15" s="3">
        <v>8</v>
      </c>
      <c r="BB15" s="3">
        <v>8</v>
      </c>
      <c r="BC15" s="3">
        <v>8</v>
      </c>
      <c r="BD15" s="3">
        <v>8</v>
      </c>
      <c r="BE15" s="3">
        <v>8</v>
      </c>
      <c r="BF15" s="3">
        <v>8</v>
      </c>
      <c r="BG15" s="3">
        <v>8</v>
      </c>
      <c r="BH15" s="3">
        <v>8</v>
      </c>
      <c r="BI15" s="3">
        <v>8</v>
      </c>
      <c r="BJ15" s="3">
        <v>8</v>
      </c>
      <c r="BK15" s="3">
        <v>8</v>
      </c>
      <c r="BL15" s="3">
        <v>8</v>
      </c>
      <c r="BM15" s="3">
        <v>8</v>
      </c>
      <c r="BN15" s="3">
        <v>8</v>
      </c>
      <c r="BO15" s="3">
        <v>8</v>
      </c>
      <c r="BP15" s="3">
        <v>8</v>
      </c>
      <c r="BQ15" s="3">
        <v>8</v>
      </c>
      <c r="BR15" s="3">
        <v>8</v>
      </c>
      <c r="BS15" s="3">
        <v>8</v>
      </c>
      <c r="BT15" s="3">
        <v>8</v>
      </c>
      <c r="BU15" s="3">
        <v>8</v>
      </c>
      <c r="BV15" s="3">
        <v>8</v>
      </c>
      <c r="BW15" s="3">
        <v>8</v>
      </c>
      <c r="BX15" s="3">
        <v>8</v>
      </c>
      <c r="BY15" s="3">
        <v>8</v>
      </c>
      <c r="BZ15" s="3">
        <v>8</v>
      </c>
      <c r="CA15" s="3">
        <v>8</v>
      </c>
      <c r="CB15" s="3">
        <v>8</v>
      </c>
      <c r="CC15" s="3">
        <v>8</v>
      </c>
      <c r="CD15" s="3">
        <v>8</v>
      </c>
      <c r="CE15" s="3">
        <v>8</v>
      </c>
      <c r="CF15" s="3">
        <v>8</v>
      </c>
      <c r="CG15" s="3">
        <v>8</v>
      </c>
      <c r="CH15" s="3">
        <v>8</v>
      </c>
      <c r="CI15" s="3">
        <v>8</v>
      </c>
      <c r="CJ15" s="3">
        <v>8</v>
      </c>
      <c r="CK15" s="3">
        <v>8</v>
      </c>
      <c r="CL15" s="3">
        <v>8</v>
      </c>
      <c r="CM15" s="3">
        <v>8</v>
      </c>
      <c r="CN15" s="3">
        <v>8</v>
      </c>
      <c r="CO15" s="3">
        <v>8</v>
      </c>
      <c r="CP15" s="3">
        <v>8</v>
      </c>
      <c r="CQ15" s="3">
        <v>8</v>
      </c>
      <c r="CR15" s="3">
        <v>8</v>
      </c>
      <c r="CS15" s="3">
        <v>8</v>
      </c>
      <c r="CT15" s="3">
        <v>8</v>
      </c>
      <c r="CU15" s="3">
        <v>8</v>
      </c>
      <c r="CV15" s="3">
        <v>8</v>
      </c>
      <c r="CW15" s="3">
        <v>8</v>
      </c>
      <c r="CX15" s="3">
        <v>8</v>
      </c>
      <c r="CY15" s="3">
        <v>8</v>
      </c>
      <c r="CZ15" s="3">
        <v>8</v>
      </c>
      <c r="DA15" s="3">
        <v>8</v>
      </c>
      <c r="DB15" s="3">
        <v>8</v>
      </c>
      <c r="DC15" s="3">
        <v>8</v>
      </c>
      <c r="DD15" s="3">
        <v>8</v>
      </c>
      <c r="DE15" s="3">
        <v>8</v>
      </c>
      <c r="DF15" s="3">
        <v>8</v>
      </c>
      <c r="DG15" s="3">
        <v>8</v>
      </c>
      <c r="DH15" s="3">
        <v>8</v>
      </c>
      <c r="DI15" s="3">
        <v>8</v>
      </c>
      <c r="DJ15" s="3">
        <v>8</v>
      </c>
      <c r="DK15" s="3">
        <v>8</v>
      </c>
      <c r="DL15" s="3">
        <v>8</v>
      </c>
      <c r="DM15" s="3">
        <v>8</v>
      </c>
      <c r="DN15" s="3">
        <v>8</v>
      </c>
      <c r="DO15" s="3">
        <v>8</v>
      </c>
      <c r="DP15" s="3">
        <v>8</v>
      </c>
      <c r="DQ15" s="3">
        <v>8</v>
      </c>
      <c r="DR15" s="3">
        <v>8</v>
      </c>
      <c r="DS15" s="3">
        <v>8</v>
      </c>
      <c r="DT15" s="3">
        <v>8</v>
      </c>
      <c r="DU15" s="3">
        <v>8</v>
      </c>
      <c r="DV15" s="3">
        <v>8</v>
      </c>
      <c r="DW15" s="3">
        <v>8</v>
      </c>
      <c r="DX15" s="3">
        <v>8</v>
      </c>
      <c r="DY15" s="3">
        <v>8</v>
      </c>
      <c r="DZ15" s="3">
        <v>8</v>
      </c>
      <c r="EA15" s="3">
        <v>8</v>
      </c>
      <c r="EB15" s="3">
        <v>8</v>
      </c>
      <c r="EC15" s="3">
        <v>8</v>
      </c>
      <c r="ED15" s="3">
        <v>8</v>
      </c>
      <c r="EE15" s="3">
        <v>8</v>
      </c>
      <c r="EF15" s="3">
        <v>8</v>
      </c>
      <c r="EG15" s="3">
        <v>8</v>
      </c>
      <c r="EH15" s="3">
        <v>8</v>
      </c>
      <c r="EI15" s="3">
        <v>8</v>
      </c>
      <c r="EJ15" s="3">
        <v>8</v>
      </c>
      <c r="EK15" s="3">
        <v>8</v>
      </c>
      <c r="EL15" s="3">
        <v>8</v>
      </c>
      <c r="EM15" s="3">
        <v>8</v>
      </c>
      <c r="EN15" s="3">
        <v>8</v>
      </c>
      <c r="EO15" s="3">
        <v>8</v>
      </c>
      <c r="EP15" s="3">
        <v>8</v>
      </c>
      <c r="EQ15" s="3">
        <v>8</v>
      </c>
      <c r="ER15" s="3">
        <v>8</v>
      </c>
      <c r="ES15" s="3">
        <v>8</v>
      </c>
      <c r="ET15" s="3">
        <v>8</v>
      </c>
      <c r="EU15" s="3">
        <v>8</v>
      </c>
      <c r="EV15" s="3">
        <v>8</v>
      </c>
      <c r="EW15" s="3">
        <v>8</v>
      </c>
      <c r="EX15" s="3">
        <v>8</v>
      </c>
      <c r="EY15" s="3">
        <v>8</v>
      </c>
      <c r="EZ15" s="3">
        <v>8</v>
      </c>
      <c r="FA15" s="3">
        <v>8</v>
      </c>
      <c r="FB15" s="3">
        <v>8</v>
      </c>
      <c r="FC15" s="3">
        <v>8</v>
      </c>
      <c r="FD15" s="3">
        <v>8</v>
      </c>
      <c r="FE15" s="3">
        <v>8</v>
      </c>
      <c r="FF15" s="3">
        <v>8</v>
      </c>
      <c r="FG15" s="3">
        <v>8</v>
      </c>
      <c r="FH15" s="3">
        <v>8</v>
      </c>
      <c r="FI15" s="3">
        <v>8</v>
      </c>
      <c r="FJ15" s="3">
        <v>8</v>
      </c>
      <c r="FK15" s="3">
        <v>8</v>
      </c>
      <c r="FL15" s="3">
        <v>8</v>
      </c>
      <c r="FM15" s="3">
        <v>8</v>
      </c>
      <c r="FN15" s="3">
        <v>8</v>
      </c>
      <c r="FO15" s="3">
        <v>8</v>
      </c>
      <c r="FP15" s="3">
        <v>8</v>
      </c>
      <c r="FQ15" s="3">
        <v>8</v>
      </c>
      <c r="FR15" s="3">
        <v>8</v>
      </c>
      <c r="FS15" s="3">
        <v>8</v>
      </c>
      <c r="FT15" s="3">
        <v>8</v>
      </c>
      <c r="FU15" s="3">
        <v>8</v>
      </c>
      <c r="FV15" s="3">
        <v>8</v>
      </c>
      <c r="FW15" s="3">
        <v>8</v>
      </c>
      <c r="FX15" s="3">
        <v>8</v>
      </c>
      <c r="FY15" s="3">
        <v>8</v>
      </c>
      <c r="FZ15" s="3">
        <v>8</v>
      </c>
      <c r="GA15" s="3">
        <v>8</v>
      </c>
      <c r="GB15" s="3">
        <v>8</v>
      </c>
      <c r="GC15" s="3">
        <v>8</v>
      </c>
      <c r="GD15" s="3">
        <v>8</v>
      </c>
      <c r="GE15" s="3">
        <v>8</v>
      </c>
      <c r="GF15" s="3">
        <v>8</v>
      </c>
      <c r="GG15" s="3">
        <v>8</v>
      </c>
      <c r="GH15" s="3">
        <v>8</v>
      </c>
      <c r="GI15" s="3">
        <v>8</v>
      </c>
      <c r="GJ15" s="3">
        <v>8</v>
      </c>
      <c r="GK15" s="3">
        <v>8</v>
      </c>
      <c r="GL15" s="3">
        <v>8</v>
      </c>
      <c r="GM15" s="3">
        <v>8</v>
      </c>
      <c r="GN15" s="3">
        <v>8</v>
      </c>
      <c r="GO15" s="3">
        <v>8</v>
      </c>
      <c r="GP15" s="3">
        <v>8</v>
      </c>
      <c r="GQ15" s="3">
        <v>8</v>
      </c>
      <c r="GR15" s="3">
        <v>8</v>
      </c>
      <c r="GS15" s="3">
        <v>8</v>
      </c>
      <c r="GT15" s="3">
        <v>8</v>
      </c>
      <c r="GU15" s="3">
        <v>8</v>
      </c>
      <c r="GV15" s="3">
        <v>8</v>
      </c>
      <c r="GW15" s="3">
        <v>8</v>
      </c>
      <c r="GX15" s="3">
        <v>8</v>
      </c>
      <c r="GY15" s="3">
        <v>8</v>
      </c>
      <c r="GZ15" s="3">
        <v>8</v>
      </c>
      <c r="HA15" s="3">
        <v>8</v>
      </c>
      <c r="HB15" s="3">
        <v>8</v>
      </c>
      <c r="HC15" s="3">
        <v>8</v>
      </c>
      <c r="HD15" s="3">
        <v>8</v>
      </c>
      <c r="HE15" s="3">
        <v>8</v>
      </c>
      <c r="HF15" s="3">
        <v>8</v>
      </c>
      <c r="HG15" s="3">
        <v>8</v>
      </c>
      <c r="HH15" s="3">
        <v>8</v>
      </c>
      <c r="HI15" s="3">
        <v>8</v>
      </c>
      <c r="HJ15" s="3">
        <v>8</v>
      </c>
      <c r="HK15" s="3">
        <v>8</v>
      </c>
      <c r="HL15" s="3">
        <v>8</v>
      </c>
      <c r="HM15" s="3">
        <v>8</v>
      </c>
      <c r="HN15" s="3">
        <v>8</v>
      </c>
      <c r="HO15" s="3">
        <v>8</v>
      </c>
      <c r="HP15" s="3">
        <v>8</v>
      </c>
      <c r="HQ15" s="3">
        <v>8</v>
      </c>
      <c r="HR15" s="3">
        <v>8</v>
      </c>
      <c r="HS15" s="3">
        <v>8</v>
      </c>
      <c r="HT15" s="3">
        <v>8</v>
      </c>
      <c r="HU15" s="3">
        <v>8</v>
      </c>
      <c r="HV15" s="3">
        <v>8</v>
      </c>
      <c r="HW15" s="3">
        <v>8</v>
      </c>
      <c r="HX15" s="3">
        <v>8</v>
      </c>
      <c r="HY15" s="3">
        <v>8</v>
      </c>
      <c r="HZ15" s="3">
        <v>8</v>
      </c>
      <c r="IA15" s="3">
        <v>8</v>
      </c>
      <c r="IB15" s="3">
        <v>8</v>
      </c>
      <c r="IC15" s="3">
        <v>8</v>
      </c>
      <c r="ID15" s="3">
        <v>8</v>
      </c>
      <c r="IE15" s="3">
        <v>8</v>
      </c>
      <c r="IF15" s="3">
        <v>8</v>
      </c>
      <c r="IG15" s="3">
        <v>8</v>
      </c>
      <c r="IH15" s="3">
        <v>8</v>
      </c>
      <c r="II15" s="3">
        <v>8</v>
      </c>
      <c r="IJ15" s="3">
        <v>8</v>
      </c>
      <c r="IK15" s="3">
        <v>8</v>
      </c>
      <c r="IL15" s="3">
        <v>8</v>
      </c>
      <c r="IM15" s="3">
        <v>8</v>
      </c>
      <c r="IN15" s="3">
        <v>8</v>
      </c>
      <c r="IO15" s="3">
        <v>8</v>
      </c>
      <c r="IP15" s="3">
        <v>8</v>
      </c>
      <c r="IQ15" s="3">
        <v>8</v>
      </c>
      <c r="IR15" s="3">
        <v>8</v>
      </c>
      <c r="IS15" s="3">
        <v>8</v>
      </c>
      <c r="IT15" s="3">
        <v>8</v>
      </c>
      <c r="IU15" s="3">
        <v>8</v>
      </c>
      <c r="IV15" s="3">
        <v>8</v>
      </c>
      <c r="IW15" s="3">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2" width="9.140625" hidden="1"/>
    <col min="3" max="3" width="3.7109375" hidden="1" customWidth="1"/>
    <col min="4" max="4" width="3" customWidth="1"/>
    <col min="5" max="5" width="6" customWidth="1"/>
    <col min="6" max="6" width="27" customWidth="1"/>
    <col min="7" max="7" width="29" customWidth="1"/>
    <col min="8" max="8" width="25" customWidth="1"/>
    <col min="9" max="9" width="5" customWidth="1"/>
    <col min="10" max="10" width="6" customWidth="1"/>
    <col min="11" max="11" width="41" customWidth="1"/>
    <col min="12" max="12" width="42" customWidth="1"/>
    <col min="13" max="13" width="41" customWidth="1"/>
    <col min="14" max="14" width="89" customWidth="1"/>
    <col min="15" max="15" width="3" customWidth="1"/>
    <col min="16" max="16" width="8" customWidth="1"/>
    <col min="17" max="17" width="9.140625" hidden="1"/>
  </cols>
  <sheetData>
    <row r="1" spans="1:17" ht="22.5" hidden="1" customHeight="1">
      <c r="Q1" s="3" t="s">
        <v>1</v>
      </c>
    </row>
    <row r="2" spans="1:17" ht="22.5" hidden="1" customHeight="1">
      <c r="B2" s="11">
        <v>1</v>
      </c>
      <c r="D2" s="516" t="s">
        <v>612</v>
      </c>
      <c r="E2" s="894">
        <v>1</v>
      </c>
      <c r="F2" s="1039" t="e">
        <f>IF(region_name="","",region_name)</f>
        <v>#REF!</v>
      </c>
      <c r="G2" s="1180"/>
      <c r="H2" s="1181"/>
      <c r="I2" s="128"/>
      <c r="J2" s="7">
        <v>1</v>
      </c>
      <c r="K2" s="204"/>
      <c r="L2" s="204"/>
      <c r="M2" s="204"/>
      <c r="N2" s="138"/>
      <c r="Q2" s="39">
        <v>0</v>
      </c>
    </row>
    <row r="3" spans="1:17" ht="22.5" hidden="1" customHeight="1">
      <c r="E3" s="894"/>
      <c r="F3" s="1039"/>
      <c r="G3" s="1180"/>
      <c r="H3" s="1182"/>
      <c r="I3" s="40"/>
      <c r="J3" s="368"/>
      <c r="K3" s="368" t="s">
        <v>1805</v>
      </c>
      <c r="L3" s="670"/>
      <c r="M3" s="671"/>
      <c r="N3" s="672"/>
      <c r="Q3" s="39">
        <v>0</v>
      </c>
    </row>
    <row r="4" spans="1:17" ht="5.25" hidden="1" customHeight="1">
      <c r="F4" s="21" t="s">
        <v>19</v>
      </c>
      <c r="G4" s="22" t="s">
        <v>20</v>
      </c>
      <c r="J4" s="673"/>
      <c r="O4" s="21" t="s">
        <v>19</v>
      </c>
      <c r="Q4" s="24">
        <v>0</v>
      </c>
    </row>
    <row r="5" spans="1:17" ht="22.5" hidden="1" customHeight="1">
      <c r="B5" s="11">
        <v>1</v>
      </c>
      <c r="E5" s="672"/>
      <c r="F5" s="672"/>
      <c r="G5" s="672"/>
      <c r="H5" s="674"/>
      <c r="I5" s="675" t="s">
        <v>612</v>
      </c>
      <c r="J5" s="26">
        <v>1</v>
      </c>
      <c r="K5" s="204"/>
      <c r="L5" s="204"/>
      <c r="M5" s="204"/>
      <c r="N5" s="138"/>
      <c r="Q5" s="39">
        <v>0</v>
      </c>
    </row>
    <row r="6" spans="1:17" ht="14.65" customHeight="1">
      <c r="Q6" s="25">
        <v>14</v>
      </c>
    </row>
    <row r="7" spans="1:17" ht="27.4" customHeight="1">
      <c r="E7" s="117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1174"/>
      <c r="G7" s="1174"/>
      <c r="H7" s="1174"/>
      <c r="I7" s="1174"/>
      <c r="J7" s="1174"/>
      <c r="K7" s="1174"/>
      <c r="L7" s="1174"/>
      <c r="M7" s="1174"/>
      <c r="Q7" s="25">
        <v>26</v>
      </c>
    </row>
    <row r="8" spans="1:17" ht="14.65" customHeight="1">
      <c r="Q8" s="25">
        <v>14</v>
      </c>
    </row>
    <row r="9" spans="1:17" ht="14.25" hidden="1" customHeight="1">
      <c r="E9" s="676"/>
      <c r="F9" s="676"/>
      <c r="G9" s="676"/>
      <c r="H9" s="676"/>
      <c r="I9" s="1177"/>
      <c r="J9" s="1177"/>
      <c r="K9" s="1177"/>
      <c r="L9" s="676"/>
      <c r="M9" s="677"/>
      <c r="Q9" s="678">
        <v>0</v>
      </c>
    </row>
    <row r="10" spans="1:17" ht="14.65" customHeight="1">
      <c r="E10" s="894" t="s">
        <v>223</v>
      </c>
      <c r="F10" s="894"/>
      <c r="G10" s="894"/>
      <c r="H10" s="894"/>
      <c r="I10" s="894"/>
      <c r="J10" s="894"/>
      <c r="K10" s="894"/>
      <c r="L10" s="894"/>
      <c r="M10" s="887"/>
      <c r="N10" s="1167" t="s">
        <v>224</v>
      </c>
      <c r="Q10" s="25">
        <v>14</v>
      </c>
    </row>
    <row r="11" spans="1:17" ht="44.25" customHeight="1">
      <c r="E11" s="1176" t="s">
        <v>24</v>
      </c>
      <c r="F11" s="1176" t="s">
        <v>227</v>
      </c>
      <c r="G11" s="1176" t="s">
        <v>1806</v>
      </c>
      <c r="H11" s="1176"/>
      <c r="I11" s="1176" t="s">
        <v>1807</v>
      </c>
      <c r="J11" s="1176"/>
      <c r="K11" s="1176"/>
      <c r="L11" s="1176" t="s">
        <v>1808</v>
      </c>
      <c r="M11" s="1169" t="s">
        <v>1809</v>
      </c>
      <c r="N11" s="1175"/>
      <c r="Q11" s="25">
        <v>42</v>
      </c>
    </row>
    <row r="12" spans="1:17" ht="29.25" customHeight="1">
      <c r="E12" s="1167"/>
      <c r="F12" s="1176"/>
      <c r="G12" s="28" t="s">
        <v>1810</v>
      </c>
      <c r="H12" s="28" t="s">
        <v>231</v>
      </c>
      <c r="I12" s="1176"/>
      <c r="J12" s="1176"/>
      <c r="K12" s="1176"/>
      <c r="L12" s="1176"/>
      <c r="M12" s="1169"/>
      <c r="N12" s="1168"/>
      <c r="Q12" s="25">
        <v>28</v>
      </c>
    </row>
    <row r="13" spans="1:17" ht="23.25" customHeight="1">
      <c r="A13" s="888">
        <v>26379339</v>
      </c>
      <c r="B13" s="11">
        <v>1</v>
      </c>
      <c r="E13" s="894">
        <v>1</v>
      </c>
      <c r="F13" s="1183" t="e">
        <f>IF(region_name="","",region_name)</f>
        <v>#REF!</v>
      </c>
      <c r="G13" s="1184"/>
      <c r="H13" s="1178"/>
      <c r="I13" s="128"/>
      <c r="J13" s="35">
        <v>1</v>
      </c>
      <c r="K13" s="679"/>
      <c r="L13" s="680"/>
      <c r="M13" s="680"/>
      <c r="N13" s="1172" t="s">
        <v>1811</v>
      </c>
      <c r="Q13" s="39">
        <v>22</v>
      </c>
    </row>
    <row r="14" spans="1:17" ht="23.25" customHeight="1">
      <c r="A14" s="885"/>
      <c r="E14" s="894"/>
      <c r="F14" s="1183"/>
      <c r="G14" s="1184"/>
      <c r="H14" s="1179"/>
      <c r="I14" s="40"/>
      <c r="J14" s="368"/>
      <c r="K14" s="368" t="s">
        <v>1805</v>
      </c>
      <c r="L14" s="670"/>
      <c r="M14" s="670"/>
      <c r="N14" s="1173"/>
      <c r="Q14" s="39">
        <v>22</v>
      </c>
    </row>
    <row r="15" spans="1:17" ht="23.25" customHeight="1">
      <c r="A15" s="885"/>
      <c r="E15" s="40"/>
      <c r="F15" s="368" t="s">
        <v>1797</v>
      </c>
      <c r="G15" s="660"/>
      <c r="H15" s="660"/>
      <c r="I15" s="43"/>
      <c r="J15" s="43"/>
      <c r="K15" s="43"/>
      <c r="L15" s="43"/>
      <c r="M15" s="43"/>
      <c r="N15" s="1173"/>
      <c r="Q15" s="39">
        <v>22</v>
      </c>
    </row>
    <row r="16" spans="1:17" ht="21.95" customHeight="1">
      <c r="E16" s="46"/>
      <c r="F16" s="46"/>
      <c r="G16" s="46"/>
      <c r="H16" s="46"/>
      <c r="I16" s="46"/>
      <c r="J16" s="46"/>
      <c r="K16" s="46"/>
      <c r="L16" s="46"/>
      <c r="Q16" s="25">
        <v>21</v>
      </c>
    </row>
    <row r="17" spans="1:17" ht="14.65" customHeight="1">
      <c r="Q17" s="25">
        <v>14</v>
      </c>
    </row>
    <row r="18" spans="1:17" ht="1.1499999999999999" customHeight="1">
      <c r="Q18" s="25">
        <v>1</v>
      </c>
    </row>
    <row r="19" spans="1:17" ht="22.5" hidden="1" customHeight="1">
      <c r="A19" s="3" t="s">
        <v>18</v>
      </c>
      <c r="B19" s="11">
        <v>0</v>
      </c>
      <c r="C19" s="3">
        <v>0</v>
      </c>
      <c r="D19" s="48">
        <v>3</v>
      </c>
      <c r="E19" s="3">
        <v>6</v>
      </c>
      <c r="F19" s="3">
        <v>27</v>
      </c>
      <c r="G19" s="3">
        <v>29</v>
      </c>
      <c r="H19" s="3">
        <v>25</v>
      </c>
      <c r="I19" s="3">
        <v>5</v>
      </c>
      <c r="J19" s="3">
        <v>6</v>
      </c>
      <c r="K19" s="3">
        <v>41</v>
      </c>
      <c r="L19" s="3">
        <v>42</v>
      </c>
      <c r="M19" s="3">
        <v>41</v>
      </c>
      <c r="N19" s="3">
        <v>89</v>
      </c>
      <c r="O19" s="29">
        <v>3</v>
      </c>
      <c r="P19" s="29">
        <v>8</v>
      </c>
      <c r="Q19" s="3">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2" width="9.140625" hidden="1"/>
    <col min="3" max="3" width="3" customWidth="1"/>
    <col min="4" max="4" width="6" customWidth="1"/>
    <col min="5" max="5" width="22" customWidth="1"/>
    <col min="6" max="6" width="15" customWidth="1"/>
    <col min="7" max="7" width="14" customWidth="1"/>
    <col min="8" max="8" width="47" customWidth="1"/>
    <col min="9" max="9" width="115" customWidth="1"/>
    <col min="10" max="10" width="3" customWidth="1"/>
    <col min="11" max="12" width="8" customWidth="1"/>
    <col min="13" max="13" width="9.140625" hidden="1"/>
  </cols>
  <sheetData>
    <row r="1" spans="1:13" ht="14.25" hidden="1" customHeight="1">
      <c r="M1" s="94" t="s">
        <v>1</v>
      </c>
    </row>
    <row r="2" spans="1:13" ht="14.25" hidden="1" customHeight="1">
      <c r="M2" s="94">
        <v>0</v>
      </c>
    </row>
    <row r="3" spans="1:13" ht="14.25" hidden="1" customHeight="1">
      <c r="M3" s="94">
        <v>0</v>
      </c>
    </row>
    <row r="4" spans="1:13" ht="3" customHeight="1">
      <c r="M4" s="94">
        <v>3</v>
      </c>
    </row>
    <row r="5" spans="1:13" ht="31.5" customHeight="1">
      <c r="C5" s="151"/>
      <c r="D5" s="889" t="s">
        <v>1812</v>
      </c>
      <c r="E5" s="889"/>
      <c r="F5" s="889"/>
      <c r="G5" s="889"/>
      <c r="H5" s="889"/>
      <c r="M5" s="3">
        <v>30</v>
      </c>
    </row>
    <row r="6" spans="1:13" ht="3" hidden="1" customHeight="1">
      <c r="D6" s="110"/>
      <c r="E6" s="110"/>
      <c r="F6" s="110"/>
      <c r="G6" s="110"/>
      <c r="H6" s="110"/>
      <c r="I6" s="110"/>
      <c r="M6" s="94">
        <v>0</v>
      </c>
    </row>
    <row r="7" spans="1:13" ht="14.65" customHeight="1">
      <c r="D7" s="681"/>
      <c r="E7" s="681"/>
      <c r="F7" s="681"/>
      <c r="G7" s="681"/>
      <c r="H7" s="115"/>
      <c r="I7" s="681"/>
      <c r="J7" s="682"/>
      <c r="M7" s="108">
        <v>14</v>
      </c>
    </row>
    <row r="8" spans="1:13" ht="14.65" customHeight="1">
      <c r="D8" s="962" t="s">
        <v>223</v>
      </c>
      <c r="E8" s="962"/>
      <c r="F8" s="962"/>
      <c r="G8" s="962"/>
      <c r="H8" s="962"/>
      <c r="I8" s="962" t="s">
        <v>224</v>
      </c>
      <c r="M8" s="94">
        <v>14</v>
      </c>
    </row>
    <row r="9" spans="1:13" ht="29.25" customHeight="1">
      <c r="D9" s="962" t="s">
        <v>24</v>
      </c>
      <c r="E9" s="962" t="s">
        <v>1813</v>
      </c>
      <c r="F9" s="962"/>
      <c r="G9" s="962"/>
      <c r="H9" s="962"/>
      <c r="I9" s="962"/>
      <c r="M9" s="94">
        <v>28</v>
      </c>
    </row>
    <row r="10" spans="1:13" ht="24" customHeight="1">
      <c r="D10" s="962"/>
      <c r="E10" s="120" t="s">
        <v>1814</v>
      </c>
      <c r="F10" s="120" t="s">
        <v>1815</v>
      </c>
      <c r="G10" s="120" t="s">
        <v>1816</v>
      </c>
      <c r="H10" s="120" t="s">
        <v>313</v>
      </c>
      <c r="I10" s="962"/>
      <c r="M10" s="94">
        <v>23</v>
      </c>
    </row>
    <row r="11" spans="1:13" ht="12" hidden="1" customHeight="1">
      <c r="D11" s="184" t="s">
        <v>31</v>
      </c>
      <c r="E11" s="184" t="s">
        <v>27</v>
      </c>
      <c r="F11" s="184" t="s">
        <v>40</v>
      </c>
      <c r="G11" s="184" t="s">
        <v>28</v>
      </c>
      <c r="H11" s="184" t="s">
        <v>29</v>
      </c>
      <c r="I11" s="184" t="s">
        <v>41</v>
      </c>
      <c r="M11" s="94">
        <v>0</v>
      </c>
    </row>
    <row r="12" spans="1:13" ht="26.25" customHeight="1">
      <c r="A12" s="567" t="s">
        <v>26</v>
      </c>
      <c r="B12" t="s">
        <v>4</v>
      </c>
      <c r="D12" s="55" t="s">
        <v>31</v>
      </c>
      <c r="E12" s="204"/>
      <c r="F12" s="204"/>
      <c r="G12" s="246" t="s">
        <v>4</v>
      </c>
      <c r="H12" s="218"/>
      <c r="I12" s="920" t="s">
        <v>1817</v>
      </c>
      <c r="M12" s="94">
        <v>25</v>
      </c>
    </row>
    <row r="13" spans="1:13" ht="15.75" customHeight="1">
      <c r="D13" s="465"/>
      <c r="E13" s="45" t="s">
        <v>391</v>
      </c>
      <c r="F13" s="559"/>
      <c r="G13" s="559"/>
      <c r="H13" s="466"/>
      <c r="I13" s="922"/>
      <c r="M13" s="94">
        <v>15</v>
      </c>
    </row>
    <row r="14" spans="1:13" ht="3" customHeight="1">
      <c r="M14" s="94">
        <v>3</v>
      </c>
    </row>
    <row r="15" spans="1:13" ht="29.25" customHeight="1">
      <c r="E15" s="1185" t="s">
        <v>1818</v>
      </c>
      <c r="F15" s="885"/>
      <c r="G15" s="885"/>
      <c r="H15" s="885"/>
      <c r="M15" s="94">
        <v>28</v>
      </c>
    </row>
    <row r="16" spans="1:13" ht="14.25" hidden="1" customHeight="1">
      <c r="A16" s="108" t="s">
        <v>18</v>
      </c>
      <c r="B16" s="94">
        <v>0</v>
      </c>
      <c r="C16" s="683">
        <v>3</v>
      </c>
      <c r="D16" s="94">
        <v>6</v>
      </c>
      <c r="E16" s="94">
        <v>22</v>
      </c>
      <c r="F16" s="94">
        <v>15</v>
      </c>
      <c r="G16" s="94">
        <v>14</v>
      </c>
      <c r="H16" s="94">
        <v>47</v>
      </c>
      <c r="I16" s="94">
        <v>115</v>
      </c>
      <c r="J16" s="94">
        <v>3</v>
      </c>
      <c r="K16" s="94">
        <v>8</v>
      </c>
      <c r="L16" s="94">
        <v>8</v>
      </c>
      <c r="M16" s="94">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hidden="1"/>
    <col min="3" max="3" width="3" customWidth="1"/>
    <col min="4" max="4" width="6" customWidth="1"/>
    <col min="5" max="5" width="94" customWidth="1"/>
    <col min="6" max="9" width="8" customWidth="1"/>
    <col min="10" max="10" width="9.140625" hidden="1"/>
  </cols>
  <sheetData>
    <row r="1" spans="1:10" ht="14.25" hidden="1" customHeight="1">
      <c r="J1" s="684" t="s">
        <v>1</v>
      </c>
    </row>
    <row r="2" spans="1:10" ht="14.25" hidden="1" customHeight="1">
      <c r="J2" s="684">
        <v>0</v>
      </c>
    </row>
    <row r="3" spans="1:10" ht="14.25" hidden="1" customHeight="1">
      <c r="J3" s="684">
        <v>0</v>
      </c>
    </row>
    <row r="4" spans="1:10" ht="14.25" hidden="1" customHeight="1">
      <c r="J4" s="684">
        <v>0</v>
      </c>
    </row>
    <row r="5" spans="1:10" ht="14.25" hidden="1" customHeight="1">
      <c r="J5" s="684">
        <v>0</v>
      </c>
    </row>
    <row r="6" spans="1:10" ht="3" customHeight="1">
      <c r="C6" s="685"/>
      <c r="D6" s="110"/>
      <c r="E6" s="110"/>
      <c r="J6" s="684">
        <v>3</v>
      </c>
    </row>
    <row r="7" spans="1:10" ht="23.25" customHeight="1">
      <c r="C7" s="685"/>
      <c r="D7" s="1186" t="s">
        <v>1819</v>
      </c>
      <c r="E7" s="1187"/>
      <c r="J7" s="684">
        <v>22</v>
      </c>
    </row>
    <row r="8" spans="1:10" ht="3" customHeight="1">
      <c r="C8" s="685"/>
      <c r="D8" s="110"/>
      <c r="E8" s="110"/>
      <c r="J8" s="684">
        <v>3</v>
      </c>
    </row>
    <row r="9" spans="1:10" ht="16.899999999999999" customHeight="1">
      <c r="C9" s="685"/>
      <c r="D9" s="120" t="s">
        <v>24</v>
      </c>
      <c r="E9" s="30" t="s">
        <v>1820</v>
      </c>
      <c r="J9" s="684">
        <v>16</v>
      </c>
    </row>
    <row r="10" spans="1:10" ht="1.1499999999999999" customHeight="1">
      <c r="C10" s="685"/>
      <c r="D10" s="184"/>
      <c r="E10" s="184"/>
      <c r="J10" s="684">
        <v>1</v>
      </c>
    </row>
    <row r="11" spans="1:10" ht="11.25" hidden="1" customHeight="1">
      <c r="C11" s="685"/>
      <c r="D11" s="686">
        <v>0</v>
      </c>
      <c r="E11" s="687"/>
      <c r="J11" s="684">
        <v>0</v>
      </c>
    </row>
    <row r="12" spans="1:10" ht="15.75" customHeight="1">
      <c r="C12" s="151"/>
      <c r="D12" s="462">
        <v>1</v>
      </c>
      <c r="E12" s="204"/>
      <c r="J12" s="684">
        <v>15</v>
      </c>
    </row>
    <row r="13" spans="1:10" ht="12.75" customHeight="1">
      <c r="C13" s="685"/>
      <c r="D13" s="198"/>
      <c r="E13" s="688" t="s">
        <v>1821</v>
      </c>
      <c r="J13" s="684">
        <v>12</v>
      </c>
    </row>
    <row r="14" spans="1:10" ht="3" customHeight="1">
      <c r="J14" s="684">
        <v>3</v>
      </c>
    </row>
    <row r="15" spans="1:10" ht="23.25" customHeight="1">
      <c r="D15" s="1185" t="s">
        <v>1822</v>
      </c>
      <c r="E15" s="885"/>
      <c r="J15" s="684">
        <v>22</v>
      </c>
    </row>
    <row r="16" spans="1:10" ht="14.25" hidden="1" customHeight="1">
      <c r="A16" s="684" t="s">
        <v>18</v>
      </c>
      <c r="B16" s="684">
        <v>0</v>
      </c>
      <c r="C16" s="689">
        <v>3</v>
      </c>
      <c r="D16" s="684">
        <v>6</v>
      </c>
      <c r="E16" s="684">
        <v>94</v>
      </c>
      <c r="F16" s="684">
        <v>8</v>
      </c>
      <c r="G16" s="684">
        <v>8</v>
      </c>
      <c r="H16" s="684">
        <v>8</v>
      </c>
      <c r="I16" s="684">
        <v>8</v>
      </c>
      <c r="J16" s="684">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customWidth="1"/>
    <col min="2" max="2" width="34.5703125" customWidth="1"/>
    <col min="3" max="3" width="85" customWidth="1"/>
    <col min="4" max="4" width="17" customWidth="1"/>
    <col min="5" max="5" width="8" customWidth="1"/>
    <col min="6" max="6" width="9.140625" hidden="1"/>
  </cols>
  <sheetData>
    <row r="1" spans="1:6" ht="3" customHeight="1">
      <c r="F1" s="39" t="s">
        <v>1</v>
      </c>
    </row>
    <row r="2" spans="1:6" ht="22.5" customHeight="1">
      <c r="B2" s="1188" t="s">
        <v>1823</v>
      </c>
      <c r="C2" s="1188"/>
      <c r="D2" s="1188"/>
      <c r="F2" s="39">
        <v>22</v>
      </c>
    </row>
    <row r="3" spans="1:6" ht="3" customHeight="1">
      <c r="F3" s="39">
        <v>3</v>
      </c>
    </row>
    <row r="4" spans="1:6" ht="23.25" customHeight="1">
      <c r="B4" s="691" t="s">
        <v>1824</v>
      </c>
      <c r="C4" s="691" t="s">
        <v>1825</v>
      </c>
      <c r="D4" s="691" t="s">
        <v>1826</v>
      </c>
      <c r="F4" s="39">
        <v>22</v>
      </c>
    </row>
    <row r="5" spans="1:6" ht="11.25" hidden="1" customHeight="1">
      <c r="A5" s="39" t="s">
        <v>18</v>
      </c>
      <c r="B5" s="39">
        <v>34</v>
      </c>
      <c r="C5" s="39">
        <v>85</v>
      </c>
      <c r="D5" s="39">
        <v>17</v>
      </c>
      <c r="E5" s="39">
        <v>8</v>
      </c>
      <c r="F5" s="3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FW215"/>
  <sheetViews>
    <sheetView showGridLines="0" zoomScale="85" workbookViewId="0"/>
  </sheetViews>
  <sheetFormatPr defaultColWidth="9.140625" defaultRowHeight="17.100000000000001" customHeight="1"/>
  <cols>
    <col min="1" max="1" width="26.5703125" customWidth="1"/>
    <col min="2" max="2" width="10" customWidth="1"/>
    <col min="4" max="4" width="11.140625" customWidth="1"/>
    <col min="5" max="5" width="16.5703125" customWidth="1"/>
    <col min="6" max="6" width="16.28515625" customWidth="1"/>
    <col min="7" max="7" width="19.140625" customWidth="1"/>
    <col min="8" max="11" width="10" customWidth="1"/>
    <col min="12" max="12" width="12.7109375" customWidth="1"/>
    <col min="13" max="13" width="61.28515625" customWidth="1"/>
    <col min="14" max="14" width="10" customWidth="1"/>
    <col min="15" max="17" width="23.7109375" customWidth="1"/>
    <col min="18" max="18" width="11.7109375" customWidth="1"/>
    <col min="19" max="19" width="8.5703125" customWidth="1"/>
    <col min="20" max="20" width="11.7109375" customWidth="1"/>
    <col min="21" max="21" width="8.5703125" customWidth="1"/>
    <col min="22" max="22" width="4.7109375" customWidth="1"/>
    <col min="23" max="23" width="115.7109375" customWidth="1"/>
    <col min="24" max="24" width="115.28515625" customWidth="1"/>
    <col min="28" max="28" width="115.7109375" customWidth="1"/>
    <col min="30" max="90" width="115.7109375" customWidth="1"/>
  </cols>
  <sheetData>
    <row r="2" spans="1:15" ht="17.25" customHeight="1">
      <c r="A2" s="692" t="s">
        <v>1827</v>
      </c>
    </row>
    <row r="4" spans="1:15" ht="15" customHeight="1">
      <c r="C4" s="151"/>
      <c r="D4" s="462"/>
      <c r="E4" s="204"/>
    </row>
    <row r="6" spans="1:15" ht="17.25" customHeight="1">
      <c r="A6" s="692" t="s">
        <v>1828</v>
      </c>
    </row>
    <row r="8" spans="1:15" ht="17.25" customHeight="1">
      <c r="C8" s="690"/>
      <c r="D8" s="462"/>
      <c r="E8" s="156"/>
    </row>
    <row r="11" spans="1:15" ht="17.25" customHeight="1">
      <c r="A11" s="692" t="s">
        <v>1829</v>
      </c>
    </row>
    <row r="13" spans="1:15" ht="15" customHeight="1">
      <c r="A13" s="979">
        <v>1</v>
      </c>
      <c r="C13" s="693" t="s">
        <v>612</v>
      </c>
      <c r="E13" s="30">
        <f>A13</f>
        <v>1</v>
      </c>
      <c r="F13" s="67"/>
      <c r="G13" s="32" t="str">
        <f>"Территория "&amp;E13</f>
        <v>Территория 1</v>
      </c>
      <c r="H13" s="33"/>
      <c r="I13" s="33"/>
    </row>
    <row r="14" spans="1:15" ht="15" customHeight="1">
      <c r="A14" s="885"/>
      <c r="B14" s="11">
        <v>1</v>
      </c>
      <c r="D14" s="34"/>
      <c r="E14" s="35" t="str">
        <f>A13&amp;"."&amp;B14</f>
        <v>1.1</v>
      </c>
      <c r="F14" s="276">
        <f>$F$20</f>
        <v>0</v>
      </c>
      <c r="G14" s="37"/>
      <c r="H14" s="37"/>
      <c r="I14" s="38"/>
      <c r="M14" s="29" t="str">
        <f t="array" ref="M14">IF(ISERROR(MATCH(MID(N14,1,250),MID(note_ter,1,250),0)),"n","y")</f>
        <v>n</v>
      </c>
      <c r="O14" s="29" t="str">
        <f>H14&amp;"("&amp;I14&amp;")"</f>
        <v>()</v>
      </c>
    </row>
    <row r="15" spans="1:15" ht="15" customHeight="1">
      <c r="A15" s="885"/>
      <c r="E15" s="40"/>
      <c r="F15" s="41"/>
      <c r="G15" s="42" t="s">
        <v>34</v>
      </c>
      <c r="H15" s="43"/>
      <c r="I15" s="44"/>
    </row>
    <row r="17" spans="1:26" ht="17.25" customHeight="1">
      <c r="A17" s="692" t="s">
        <v>1830</v>
      </c>
    </row>
    <row r="19" spans="1:26" ht="15" customHeight="1">
      <c r="B19" s="11">
        <v>1</v>
      </c>
      <c r="D19" s="34" t="s">
        <v>612</v>
      </c>
      <c r="E19" s="30"/>
      <c r="F19" s="236">
        <f>$F$20</f>
        <v>0</v>
      </c>
      <c r="G19" s="694"/>
      <c r="H19" s="694"/>
      <c r="I19" s="695"/>
      <c r="M19" s="29" t="str">
        <f t="array" ref="M19">IF(ISERROR(MATCH(MID(N19,1,250),MID(note_ter,1,250),0)),"n","y")</f>
        <v>n</v>
      </c>
      <c r="O19" s="29" t="str">
        <f>H19&amp;"("&amp;I19&amp;")"</f>
        <v>()</v>
      </c>
    </row>
    <row r="21" spans="1:26" ht="15" customHeight="1">
      <c r="A21" s="692" t="s">
        <v>1831</v>
      </c>
      <c r="B21" s="692"/>
      <c r="C21" s="692"/>
      <c r="D21" s="692"/>
      <c r="E21" s="692"/>
      <c r="F21" s="692"/>
      <c r="G21" s="692"/>
      <c r="H21" s="692"/>
      <c r="I21" s="692"/>
      <c r="J21" s="692"/>
      <c r="K21" s="692"/>
      <c r="L21" s="692"/>
      <c r="M21" s="692"/>
      <c r="N21" s="692"/>
      <c r="O21" s="692"/>
      <c r="P21" s="692"/>
      <c r="Q21" s="692"/>
      <c r="R21" s="692"/>
      <c r="S21" s="692"/>
      <c r="T21" s="692"/>
      <c r="U21" s="696"/>
      <c r="V21" s="692"/>
      <c r="W21" s="692"/>
    </row>
    <row r="22" spans="1:26" ht="15" customHeight="1"/>
    <row r="23" spans="1:26" ht="15" customHeight="1">
      <c r="C23" s="508" t="s">
        <v>612</v>
      </c>
      <c r="D23" s="896" t="s">
        <v>31</v>
      </c>
      <c r="E23" s="897"/>
      <c r="F23" s="895" t="s">
        <v>3</v>
      </c>
      <c r="G23" s="1228"/>
      <c r="H23" s="894">
        <v>1</v>
      </c>
      <c r="I23" s="1230" t="str">
        <f>IF(U23="","",INDEX(TERRITORY_MR_LIST,MATCH(U23,TERRITORY_LIST_ID,0)))</f>
        <v/>
      </c>
      <c r="J23" s="895" t="s">
        <v>3</v>
      </c>
      <c r="K23" s="697"/>
      <c r="L23" s="55" t="s">
        <v>31</v>
      </c>
      <c r="M23" s="58"/>
      <c r="Y23" s="60" t="s">
        <v>43</v>
      </c>
      <c r="Z23" s="60">
        <v>1705000</v>
      </c>
    </row>
    <row r="24" spans="1:26" ht="15" customHeight="1">
      <c r="D24" s="896"/>
      <c r="E24" s="898"/>
      <c r="F24" s="895"/>
      <c r="G24" s="1229"/>
      <c r="H24" s="894"/>
      <c r="I24" s="1231"/>
      <c r="J24" s="895"/>
      <c r="K24" s="40"/>
      <c r="L24" s="41"/>
      <c r="M24" s="61" t="s">
        <v>44</v>
      </c>
    </row>
    <row r="25" spans="1:26" ht="15" customHeight="1">
      <c r="D25" s="896"/>
      <c r="E25" s="899"/>
      <c r="F25" s="895"/>
      <c r="G25" s="40"/>
      <c r="H25" s="41"/>
      <c r="I25" s="42" t="s">
        <v>45</v>
      </c>
      <c r="J25" s="41"/>
      <c r="K25" s="41"/>
      <c r="L25" s="41"/>
      <c r="M25" s="62"/>
    </row>
    <row r="26" spans="1:26" ht="15" customHeight="1"/>
    <row r="27" spans="1:26" ht="15" customHeight="1">
      <c r="A27" s="692" t="s">
        <v>1832</v>
      </c>
      <c r="B27" s="692"/>
      <c r="C27" s="692"/>
      <c r="D27" s="692"/>
      <c r="E27" s="692"/>
      <c r="F27" s="692"/>
      <c r="G27" s="692"/>
      <c r="H27" s="692"/>
      <c r="I27" s="692"/>
      <c r="J27" s="692"/>
      <c r="K27" s="692"/>
      <c r="L27" s="692"/>
      <c r="M27" s="692"/>
      <c r="N27" s="692"/>
      <c r="O27" s="692"/>
      <c r="P27" s="692"/>
      <c r="Q27" s="692"/>
      <c r="R27" s="692"/>
      <c r="S27" s="692"/>
      <c r="T27" s="692"/>
      <c r="U27" s="696"/>
      <c r="V27" s="692"/>
      <c r="W27" s="692"/>
    </row>
    <row r="28" spans="1:26" ht="15" customHeight="1"/>
    <row r="29" spans="1:26" ht="15" customHeight="1">
      <c r="D29" s="79"/>
      <c r="E29" s="79"/>
      <c r="F29" s="79"/>
      <c r="G29" s="1232" t="s">
        <v>612</v>
      </c>
      <c r="H29" s="886">
        <v>1</v>
      </c>
      <c r="I29" s="1233" t="str">
        <f>IF(U29="","",INDEX(TERRITORY_MR_LIST,MATCH(U29,TERRITORY_LIST_ID,0)))</f>
        <v/>
      </c>
      <c r="J29" s="895" t="s">
        <v>3</v>
      </c>
      <c r="K29" s="697"/>
      <c r="L29" s="55" t="s">
        <v>31</v>
      </c>
      <c r="M29" s="58"/>
      <c r="Y29" s="60" t="s">
        <v>43</v>
      </c>
      <c r="Z29" s="60">
        <v>1705000</v>
      </c>
    </row>
    <row r="30" spans="1:26" ht="15" customHeight="1">
      <c r="D30" s="79"/>
      <c r="E30" s="79"/>
      <c r="F30" s="79"/>
      <c r="G30" s="1232"/>
      <c r="H30" s="886"/>
      <c r="I30" s="1233"/>
      <c r="J30" s="895"/>
      <c r="K30" s="40"/>
      <c r="L30" s="41"/>
      <c r="M30" s="61" t="s">
        <v>44</v>
      </c>
    </row>
    <row r="31" spans="1:26" ht="15" customHeight="1"/>
    <row r="32" spans="1:26" ht="15" customHeight="1">
      <c r="A32" s="692" t="s">
        <v>1833</v>
      </c>
      <c r="B32" s="692"/>
      <c r="C32" s="692"/>
      <c r="D32" s="692"/>
      <c r="E32" s="692"/>
      <c r="F32" s="692"/>
      <c r="G32" s="692"/>
      <c r="H32" s="692"/>
      <c r="I32" s="692"/>
      <c r="J32" s="692"/>
      <c r="K32" s="692"/>
      <c r="L32" s="692"/>
      <c r="M32" s="692"/>
      <c r="N32" s="692"/>
      <c r="O32" s="692"/>
      <c r="P32" s="692"/>
      <c r="Q32" s="692"/>
      <c r="R32" s="692"/>
      <c r="S32" s="692"/>
      <c r="T32" s="692"/>
      <c r="U32" s="696"/>
      <c r="V32" s="692"/>
      <c r="W32" s="692"/>
    </row>
    <row r="33" spans="1:26" ht="15" customHeight="1"/>
    <row r="34" spans="1:26" ht="15" customHeight="1">
      <c r="D34" s="79"/>
      <c r="E34" s="79"/>
      <c r="F34" s="79"/>
      <c r="G34" s="79"/>
      <c r="H34" s="79"/>
      <c r="I34" s="79"/>
      <c r="J34" s="79"/>
      <c r="K34" s="675" t="s">
        <v>612</v>
      </c>
      <c r="L34" s="540" t="s">
        <v>31</v>
      </c>
      <c r="M34" s="698"/>
      <c r="N34" s="53"/>
      <c r="Y34" s="60" t="s">
        <v>43</v>
      </c>
      <c r="Z34" s="60">
        <v>1705000</v>
      </c>
    </row>
    <row r="35" spans="1:26" ht="15" customHeight="1"/>
    <row r="36" spans="1:26" ht="15" customHeight="1"/>
    <row r="37" spans="1:26" ht="11.25" customHeight="1">
      <c r="A37" s="692" t="s">
        <v>1834</v>
      </c>
    </row>
    <row r="38" spans="1:26" ht="11.25" customHeight="1"/>
    <row r="39" spans="1:26" ht="22.5" customHeight="1">
      <c r="A39" s="132"/>
      <c r="B39" s="12"/>
      <c r="C39" s="699"/>
      <c r="D39" s="134"/>
      <c r="E39" s="152"/>
      <c r="F39" s="159"/>
      <c r="G39" s="79"/>
      <c r="H39" s="125"/>
    </row>
    <row r="40" spans="1:26" ht="11.25" customHeight="1"/>
    <row r="41" spans="1:26" ht="11.25" customHeight="1">
      <c r="A41" s="692" t="s">
        <v>1835</v>
      </c>
    </row>
    <row r="42" spans="1:26" ht="11.25" customHeight="1"/>
    <row r="43" spans="1:26" ht="22.5" customHeight="1">
      <c r="A43" s="12"/>
      <c r="B43" s="12"/>
      <c r="C43" s="12"/>
      <c r="D43" s="134"/>
      <c r="E43" s="152"/>
      <c r="F43" s="153"/>
      <c r="G43" s="79"/>
      <c r="H43" s="125"/>
    </row>
    <row r="44" spans="1:26" ht="11.25" customHeight="1"/>
    <row r="45" spans="1:26" ht="11.25" customHeight="1">
      <c r="A45" s="692" t="s">
        <v>1836</v>
      </c>
    </row>
    <row r="46" spans="1:26" ht="11.25" customHeight="1"/>
    <row r="47" spans="1:26" ht="24" customHeight="1">
      <c r="A47" s="956" t="s">
        <v>236</v>
      </c>
      <c r="B47" s="116"/>
      <c r="C47" s="966"/>
      <c r="D47" s="126" t="str">
        <f>A47</f>
        <v>5.1</v>
      </c>
      <c r="E47" s="129" t="s">
        <v>237</v>
      </c>
      <c r="F47" s="65" t="s">
        <v>229</v>
      </c>
      <c r="G47" s="127" t="s">
        <v>238</v>
      </c>
      <c r="H47" s="125"/>
    </row>
    <row r="48" spans="1:26" ht="22.5" customHeight="1">
      <c r="A48" s="956"/>
      <c r="B48" s="116"/>
      <c r="C48" s="966"/>
      <c r="D48" s="134" t="str">
        <f>D47&amp;".1"</f>
        <v>5.1.1</v>
      </c>
      <c r="E48" s="135" t="s">
        <v>239</v>
      </c>
      <c r="F48" s="130" t="s">
        <v>4</v>
      </c>
      <c r="G48" s="128"/>
      <c r="H48" s="125"/>
    </row>
    <row r="49" spans="1:43" ht="22.5" customHeight="1">
      <c r="A49" s="956"/>
      <c r="B49" s="116"/>
      <c r="C49" s="966"/>
      <c r="D49" s="134" t="str">
        <f>D47&amp;".2"</f>
        <v>5.1.2</v>
      </c>
      <c r="E49" s="135" t="s">
        <v>240</v>
      </c>
      <c r="F49" s="10" t="s">
        <v>4</v>
      </c>
      <c r="G49" s="127" t="s">
        <v>241</v>
      </c>
      <c r="H49" s="125"/>
    </row>
    <row r="50" spans="1:43" ht="22.5" customHeight="1">
      <c r="A50" s="956"/>
      <c r="B50" s="116"/>
      <c r="C50" s="966"/>
      <c r="D50" s="134" t="str">
        <f>D47&amp;".3"</f>
        <v>5.1.3</v>
      </c>
      <c r="E50" s="135" t="s">
        <v>242</v>
      </c>
      <c r="F50" s="130" t="s">
        <v>4</v>
      </c>
      <c r="G50" s="128"/>
      <c r="H50" s="125"/>
    </row>
    <row r="51" spans="1:43" ht="22.5" customHeight="1">
      <c r="A51" s="956"/>
      <c r="B51" s="116"/>
      <c r="C51" s="966"/>
      <c r="D51" s="134" t="str">
        <f>D47&amp;".4"</f>
        <v>5.1.4</v>
      </c>
      <c r="E51" s="135" t="s">
        <v>243</v>
      </c>
      <c r="F51" s="130" t="s">
        <v>4</v>
      </c>
      <c r="G51" s="127" t="s">
        <v>244</v>
      </c>
      <c r="H51" s="125"/>
    </row>
    <row r="54" spans="1:43" ht="17.25" customHeight="1">
      <c r="A54" s="692" t="s">
        <v>1837</v>
      </c>
    </row>
    <row r="56" spans="1:43" ht="18.75" customHeight="1">
      <c r="D56" s="214"/>
      <c r="E56" s="461"/>
      <c r="F56" s="700">
        <v>13</v>
      </c>
      <c r="G56" s="701"/>
      <c r="H56" s="37"/>
      <c r="I56" s="38"/>
      <c r="J56" s="217" t="s">
        <v>17</v>
      </c>
      <c r="K56" s="702" t="s">
        <v>4</v>
      </c>
      <c r="P56" s="219" t="s">
        <v>315</v>
      </c>
      <c r="Q56" s="219" t="s">
        <v>316</v>
      </c>
      <c r="R56" s="220" t="s">
        <v>317</v>
      </c>
      <c r="S56" s="24" t="s">
        <v>318</v>
      </c>
    </row>
    <row r="58" spans="1:43" ht="11.25" customHeight="1">
      <c r="A58" s="692" t="s">
        <v>1838</v>
      </c>
    </row>
    <row r="60" spans="1:43" ht="14.25" customHeight="1">
      <c r="C60" s="151"/>
      <c r="D60" s="190"/>
      <c r="E60" s="148" t="s">
        <v>4</v>
      </c>
      <c r="F60" s="191"/>
      <c r="G60" s="192"/>
      <c r="H60" s="193"/>
      <c r="I60" s="193"/>
      <c r="J60" s="194"/>
      <c r="K60" s="195"/>
      <c r="L60" s="196"/>
      <c r="M60" s="195"/>
      <c r="N60" s="194"/>
      <c r="O60" s="195"/>
      <c r="P60" s="194"/>
      <c r="Q60" s="195"/>
      <c r="R60" s="194"/>
      <c r="S60" s="197"/>
      <c r="T60" s="193"/>
      <c r="U60" s="194"/>
      <c r="V60" s="194"/>
      <c r="W60" s="181"/>
      <c r="X60" s="193"/>
      <c r="Y60" s="194"/>
      <c r="Z60" s="194"/>
      <c r="AA60" s="181"/>
      <c r="AB60" s="193"/>
      <c r="AC60" s="194"/>
      <c r="AD60" s="181"/>
      <c r="AP60" s="29" t="s">
        <v>304</v>
      </c>
      <c r="AQ60" s="29" t="s">
        <v>304</v>
      </c>
    </row>
    <row r="62" spans="1:43" ht="11.25" customHeight="1">
      <c r="A62" s="692" t="s">
        <v>1839</v>
      </c>
    </row>
    <row r="64" spans="1:43" ht="15" customHeight="1">
      <c r="A64" s="567" t="s">
        <v>26</v>
      </c>
      <c r="B64" t="s">
        <v>4</v>
      </c>
      <c r="D64" s="55"/>
      <c r="E64" s="204"/>
      <c r="F64" s="204"/>
      <c r="G64" s="246"/>
      <c r="H64" s="702"/>
      <c r="I64" s="248"/>
    </row>
    <row r="66" spans="1:30" ht="11.25" customHeight="1">
      <c r="A66" s="692" t="s">
        <v>1840</v>
      </c>
    </row>
    <row r="68" spans="1:30" ht="14.25" customHeight="1">
      <c r="C68" s="264"/>
      <c r="D68" s="117"/>
      <c r="E68" s="703"/>
      <c r="F68" s="702"/>
    </row>
    <row r="70" spans="1:30" ht="11.25" customHeight="1">
      <c r="A70" s="692" t="s">
        <v>1841</v>
      </c>
    </row>
    <row r="72" spans="1:30" ht="27" customHeight="1">
      <c r="E72" s="704"/>
      <c r="F72" s="1189"/>
      <c r="G72" s="1190"/>
      <c r="H72" s="1191" t="s">
        <v>17</v>
      </c>
      <c r="I72" s="1193"/>
      <c r="J72" s="1195"/>
      <c r="K72" s="1197"/>
      <c r="L72" s="1209"/>
      <c r="M72" s="1209"/>
      <c r="N72" s="1236"/>
      <c r="O72" s="1236"/>
      <c r="P72" s="1237" t="e">
        <f>DATEDIF(DATEVALUE(N72),DATEVALUE(O72),"y")&amp;"г. "&amp;DATEDIF(DATEVALUE(N72),DATEVALUE(O72),"ym")&amp;"мес. "&amp;DATEVALUE(O72)-DATE(YEAR(DATEVALUE(O72)),MONTH(DATEVALUE(O72)),1)&amp;"дн. "</f>
        <v>#VALUE!</v>
      </c>
      <c r="Q72" s="1210"/>
      <c r="R72" s="1210"/>
      <c r="S72" s="1210"/>
      <c r="T72" s="1195"/>
      <c r="U72" s="1210"/>
      <c r="V72" s="1210"/>
      <c r="W72" s="1210"/>
      <c r="X72" s="1195"/>
      <c r="Y72" s="1234" t="s">
        <v>17</v>
      </c>
      <c r="Z72" s="91"/>
      <c r="AA72" s="30">
        <v>1</v>
      </c>
      <c r="AB72" s="705"/>
      <c r="AD72" s="24" t="s">
        <v>1842</v>
      </c>
    </row>
    <row r="73" spans="1:30" ht="10.5" customHeight="1">
      <c r="E73" s="706"/>
      <c r="F73" s="1189"/>
      <c r="G73" s="1190"/>
      <c r="H73" s="1192"/>
      <c r="I73" s="1194"/>
      <c r="J73" s="1196"/>
      <c r="K73" s="1197"/>
      <c r="L73" s="1209"/>
      <c r="M73" s="1209"/>
      <c r="N73" s="1236"/>
      <c r="O73" s="1236"/>
      <c r="P73" s="1237"/>
      <c r="Q73" s="1210"/>
      <c r="R73" s="1210"/>
      <c r="S73" s="1210"/>
      <c r="T73" s="1196"/>
      <c r="U73" s="1210"/>
      <c r="V73" s="1210"/>
      <c r="W73" s="1210"/>
      <c r="X73" s="1196"/>
      <c r="Y73" s="1235"/>
      <c r="Z73" s="465"/>
      <c r="AA73" s="394"/>
      <c r="AB73" s="61" t="s">
        <v>1843</v>
      </c>
    </row>
    <row r="75" spans="1:30" ht="11.25" customHeight="1">
      <c r="A75" s="692" t="s">
        <v>1844</v>
      </c>
    </row>
    <row r="77" spans="1:30" ht="27" customHeight="1">
      <c r="E77" s="704"/>
      <c r="F77" s="707"/>
      <c r="G77" s="708"/>
      <c r="H77" s="709"/>
      <c r="I77" s="710"/>
      <c r="J77" s="711"/>
      <c r="K77" s="712"/>
      <c r="L77" s="713"/>
      <c r="M77" s="713"/>
      <c r="N77" s="714"/>
      <c r="O77" s="714"/>
      <c r="P77" s="715"/>
      <c r="Q77" s="716"/>
      <c r="R77" s="716"/>
      <c r="S77" s="716"/>
      <c r="T77" s="711"/>
      <c r="U77" s="716"/>
      <c r="V77" s="716"/>
      <c r="W77" s="716"/>
      <c r="X77" s="711"/>
      <c r="Y77" s="709"/>
      <c r="Z77" s="91"/>
      <c r="AA77" s="30">
        <v>1</v>
      </c>
      <c r="AB77" s="705"/>
      <c r="AD77" s="24" t="s">
        <v>1842</v>
      </c>
    </row>
    <row r="79" spans="1:30" ht="11.25" customHeight="1">
      <c r="A79" s="692" t="s">
        <v>1845</v>
      </c>
    </row>
    <row r="80" spans="1:30" ht="17.25" customHeight="1"/>
    <row r="81" spans="1:38" ht="21" customHeight="1">
      <c r="E81" s="12"/>
      <c r="F81" s="717" t="e">
        <f>INDEX(IP_MAIN_LIST_NAME_IP,MATCH(A81,IP_MAIN_LIST_IP_ID,0))&amp;" ("&amp;INDEX(IP_MAIN_START_DATE,MATCH(A81,IP_MAIN_LIST_IP_ID,0))&amp;"-"&amp;INDEX(IP_MAIN_END_DATE,MATCH(A81,IP_MAIN_LIST_IP_ID,0))&amp;")"</f>
        <v>#N/A</v>
      </c>
      <c r="G81" s="718"/>
      <c r="H81" s="718"/>
      <c r="I81" s="719"/>
      <c r="J81" s="719"/>
      <c r="K81" s="720"/>
      <c r="L81" s="720"/>
      <c r="M81" s="720"/>
      <c r="N81" s="721"/>
      <c r="O81" s="721"/>
      <c r="P81" s="721"/>
      <c r="Q81" s="721"/>
      <c r="R81" s="721"/>
      <c r="S81" s="721"/>
      <c r="T81" s="721"/>
      <c r="U81" s="721"/>
      <c r="V81" s="721"/>
      <c r="W81" s="721"/>
      <c r="X81" s="721"/>
      <c r="Y81" s="721"/>
      <c r="Z81" s="721"/>
      <c r="AA81" s="721"/>
      <c r="AB81" s="721"/>
      <c r="AC81" s="721"/>
      <c r="AD81" s="721"/>
      <c r="AE81" s="722"/>
      <c r="AF81" s="720"/>
      <c r="AG81" s="720"/>
      <c r="AH81" s="720"/>
      <c r="AI81" s="720"/>
      <c r="AJ81" s="720"/>
      <c r="AK81" s="720"/>
      <c r="AL81" s="530"/>
    </row>
    <row r="82" spans="1:38" ht="0.75" customHeight="1">
      <c r="E82" s="12"/>
      <c r="F82" s="1240"/>
      <c r="G82" s="1149"/>
      <c r="H82" s="1243" t="s">
        <v>299</v>
      </c>
      <c r="I82" s="1244"/>
      <c r="J82" s="1201"/>
      <c r="K82" s="1201"/>
      <c r="L82" s="1238"/>
      <c r="M82" s="998"/>
      <c r="N82" s="723"/>
      <c r="O82" s="724"/>
      <c r="P82" s="723"/>
      <c r="Q82" s="723"/>
      <c r="R82" s="723"/>
      <c r="S82" s="723"/>
      <c r="T82" s="723"/>
      <c r="U82" s="723"/>
      <c r="V82" s="723"/>
      <c r="W82" s="723"/>
      <c r="X82" s="723"/>
      <c r="Y82" s="723"/>
      <c r="Z82" s="723"/>
      <c r="AA82" s="723"/>
      <c r="AB82" s="723"/>
      <c r="AC82" s="723"/>
      <c r="AD82" s="723"/>
      <c r="AE82" s="723"/>
      <c r="AF82" s="1242"/>
      <c r="AG82" s="1238"/>
      <c r="AH82" s="1238"/>
      <c r="AI82" s="1242"/>
      <c r="AJ82" s="1238"/>
      <c r="AK82" s="1238"/>
      <c r="AL82" s="530"/>
    </row>
    <row r="83" spans="1:38" ht="0.75" customHeight="1">
      <c r="E83" s="12"/>
      <c r="F83" s="1240"/>
      <c r="G83" s="1149"/>
      <c r="H83" s="1243"/>
      <c r="I83" s="1244"/>
      <c r="J83" s="1201"/>
      <c r="K83" s="1201"/>
      <c r="L83" s="1238"/>
      <c r="M83" s="998"/>
      <c r="N83" s="1245"/>
      <c r="O83" s="1246"/>
      <c r="P83" s="1198"/>
      <c r="Q83" s="1201"/>
      <c r="R83" s="1201"/>
      <c r="S83" s="1201"/>
      <c r="T83" s="1201"/>
      <c r="U83" s="1201"/>
      <c r="V83" s="1201"/>
      <c r="W83" s="1201"/>
      <c r="X83" s="1201"/>
      <c r="Y83" s="1201"/>
      <c r="Z83" s="726"/>
      <c r="AA83" s="727"/>
      <c r="AB83" s="727"/>
      <c r="AC83" s="728"/>
      <c r="AD83" s="728"/>
      <c r="AE83" s="729"/>
      <c r="AF83" s="1242"/>
      <c r="AG83" s="1238"/>
      <c r="AH83" s="1238"/>
      <c r="AI83" s="1242"/>
      <c r="AJ83" s="1238"/>
      <c r="AK83" s="1238"/>
      <c r="AL83" s="530"/>
    </row>
    <row r="84" spans="1:38" ht="0.75" customHeight="1">
      <c r="E84" s="12"/>
      <c r="F84" s="1240"/>
      <c r="G84" s="1149"/>
      <c r="H84" s="1243"/>
      <c r="I84" s="1244"/>
      <c r="J84" s="1201"/>
      <c r="K84" s="1201"/>
      <c r="L84" s="1238"/>
      <c r="M84" s="998"/>
      <c r="N84" s="1245"/>
      <c r="O84" s="1246"/>
      <c r="P84" s="1199"/>
      <c r="Q84" s="1201"/>
      <c r="R84" s="1201"/>
      <c r="S84" s="1201"/>
      <c r="T84" s="1201"/>
      <c r="U84" s="1201"/>
      <c r="V84" s="1201"/>
      <c r="W84" s="1201"/>
      <c r="X84" s="1201"/>
      <c r="Y84" s="1201"/>
      <c r="AA84" s="725"/>
      <c r="AB84" s="730"/>
      <c r="AC84" s="731"/>
      <c r="AD84" s="730"/>
      <c r="AE84" s="731"/>
      <c r="AF84" s="1242"/>
      <c r="AG84" s="1238"/>
      <c r="AH84" s="1238"/>
      <c r="AI84" s="1242"/>
      <c r="AJ84" s="1238"/>
      <c r="AK84" s="1238"/>
      <c r="AL84" s="530"/>
    </row>
    <row r="85" spans="1:38" ht="0.75" customHeight="1">
      <c r="E85" s="12"/>
      <c r="F85" s="1240"/>
      <c r="G85" s="1149"/>
      <c r="H85" s="1243"/>
      <c r="I85" s="1244"/>
      <c r="J85" s="1201"/>
      <c r="K85" s="1201"/>
      <c r="L85" s="1238"/>
      <c r="M85" s="998"/>
      <c r="N85" s="1245"/>
      <c r="O85" s="1246"/>
      <c r="P85" s="1200"/>
      <c r="Q85" s="1201"/>
      <c r="R85" s="1201"/>
      <c r="S85" s="1201"/>
      <c r="T85" s="1201"/>
      <c r="U85" s="1201"/>
      <c r="V85" s="1201"/>
      <c r="W85" s="1201"/>
      <c r="X85" s="1201"/>
      <c r="Y85" s="1201"/>
      <c r="Z85" s="726"/>
      <c r="AA85" s="727"/>
      <c r="AB85" s="732"/>
      <c r="AC85" s="728"/>
      <c r="AD85" s="728"/>
      <c r="AE85" s="733"/>
      <c r="AF85" s="1242"/>
      <c r="AG85" s="1238"/>
      <c r="AH85" s="1238"/>
      <c r="AI85" s="1242"/>
      <c r="AJ85" s="1238"/>
      <c r="AK85" s="1238"/>
      <c r="AL85" s="530"/>
    </row>
    <row r="86" spans="1:38" ht="0.75" customHeight="1">
      <c r="E86" s="12"/>
      <c r="F86" s="1240"/>
      <c r="G86" s="1149"/>
      <c r="H86" s="1243"/>
      <c r="I86" s="1244"/>
      <c r="J86" s="1201"/>
      <c r="K86" s="1201"/>
      <c r="L86" s="1238"/>
      <c r="M86" s="998"/>
      <c r="N86" s="727"/>
      <c r="O86" s="727"/>
      <c r="P86" s="732"/>
      <c r="Q86" s="727"/>
      <c r="R86" s="727"/>
      <c r="S86" s="727"/>
      <c r="T86" s="727"/>
      <c r="U86" s="727"/>
      <c r="V86" s="727"/>
      <c r="W86" s="727"/>
      <c r="X86" s="727"/>
      <c r="Y86" s="727"/>
      <c r="Z86" s="727"/>
      <c r="AA86" s="727"/>
      <c r="AB86" s="727"/>
      <c r="AC86" s="727"/>
      <c r="AD86" s="727"/>
      <c r="AE86" s="734"/>
      <c r="AF86" s="1242"/>
      <c r="AG86" s="1238"/>
      <c r="AH86" s="1238"/>
      <c r="AI86" s="1242"/>
      <c r="AJ86" s="1238"/>
      <c r="AK86" s="1238"/>
      <c r="AL86" s="530"/>
    </row>
    <row r="87" spans="1:38" ht="12" customHeight="1">
      <c r="E87" s="12"/>
      <c r="F87" s="1241"/>
      <c r="G87" s="735"/>
      <c r="H87" s="735"/>
      <c r="I87" s="1239" t="s">
        <v>1846</v>
      </c>
      <c r="J87" s="1239"/>
      <c r="K87" s="1239"/>
      <c r="L87" s="737"/>
      <c r="M87" s="737"/>
      <c r="N87" s="738"/>
      <c r="O87" s="738"/>
      <c r="P87" s="738"/>
      <c r="Q87" s="738"/>
      <c r="R87" s="738"/>
      <c r="S87" s="738"/>
      <c r="T87" s="738"/>
      <c r="U87" s="738"/>
      <c r="V87" s="738"/>
      <c r="W87" s="738"/>
      <c r="X87" s="738"/>
      <c r="Y87" s="738"/>
      <c r="Z87" s="738"/>
      <c r="AA87" s="738"/>
      <c r="AB87" s="738"/>
      <c r="AC87" s="738"/>
      <c r="AD87" s="738"/>
      <c r="AE87" s="738"/>
      <c r="AF87" s="738"/>
      <c r="AG87" s="737"/>
      <c r="AH87" s="737"/>
      <c r="AI87" s="738"/>
      <c r="AJ87" s="737"/>
      <c r="AK87" s="738"/>
      <c r="AL87" s="530"/>
    </row>
    <row r="89" spans="1:38" ht="11.25" customHeight="1">
      <c r="A89" s="692" t="s">
        <v>1847</v>
      </c>
    </row>
    <row r="91" spans="1:38" ht="11.25" customHeight="1">
      <c r="E91" s="12"/>
      <c r="F91" s="739"/>
      <c r="G91" s="740"/>
      <c r="H91" s="740"/>
      <c r="I91" s="741"/>
      <c r="J91" s="741"/>
      <c r="K91" s="742"/>
      <c r="L91" s="741"/>
      <c r="M91" s="740"/>
      <c r="N91" s="1202"/>
      <c r="O91" s="1203">
        <v>1</v>
      </c>
      <c r="P91" s="1204" t="s">
        <v>3</v>
      </c>
      <c r="Q91" s="1114" t="s">
        <v>4</v>
      </c>
      <c r="R91" s="1114" t="s">
        <v>4</v>
      </c>
      <c r="S91" s="1114" t="s">
        <v>4</v>
      </c>
      <c r="T91" s="1114" t="s">
        <v>4</v>
      </c>
      <c r="U91" s="1114" t="s">
        <v>4</v>
      </c>
      <c r="V91" s="1114" t="s">
        <v>4</v>
      </c>
      <c r="W91" s="1114" t="s">
        <v>4</v>
      </c>
      <c r="X91" s="1114" t="s">
        <v>4</v>
      </c>
      <c r="Y91" s="1114"/>
      <c r="Z91" s="744"/>
      <c r="AA91" s="745"/>
      <c r="AB91" s="745"/>
      <c r="AC91" s="746"/>
      <c r="AD91" s="746"/>
      <c r="AE91" s="746"/>
      <c r="AF91" s="747"/>
      <c r="AG91" s="748"/>
      <c r="AH91" s="748"/>
      <c r="AI91" s="747"/>
      <c r="AJ91" s="748"/>
      <c r="AK91" s="749"/>
      <c r="AL91" s="530"/>
    </row>
    <row r="92" spans="1:38" ht="11.25" customHeight="1">
      <c r="E92" s="12"/>
      <c r="F92" s="739"/>
      <c r="G92" s="740"/>
      <c r="H92" s="740"/>
      <c r="I92" s="750"/>
      <c r="J92" s="750"/>
      <c r="K92" s="742"/>
      <c r="L92" s="750"/>
      <c r="M92" s="740"/>
      <c r="N92" s="1202"/>
      <c r="O92" s="1203"/>
      <c r="P92" s="1205"/>
      <c r="Q92" s="1114"/>
      <c r="R92" s="1114"/>
      <c r="S92" s="1207"/>
      <c r="T92" s="1114"/>
      <c r="U92" s="1114"/>
      <c r="V92" s="1114"/>
      <c r="W92" s="1114"/>
      <c r="X92" s="1114"/>
      <c r="Y92" s="1114"/>
      <c r="AA92" s="743">
        <v>1</v>
      </c>
      <c r="AB92" s="751"/>
      <c r="AC92" s="489"/>
      <c r="AD92" s="751">
        <f>AB92</f>
        <v>0</v>
      </c>
      <c r="AE92" s="505"/>
      <c r="AF92" s="742"/>
      <c r="AG92" s="748"/>
      <c r="AH92" s="748"/>
      <c r="AI92" s="742"/>
      <c r="AJ92" s="748"/>
      <c r="AK92" s="749"/>
      <c r="AL92" s="530"/>
    </row>
    <row r="93" spans="1:38" ht="11.25" customHeight="1">
      <c r="E93" s="12"/>
      <c r="F93" s="739"/>
      <c r="G93" s="740"/>
      <c r="H93" s="740"/>
      <c r="I93" s="752"/>
      <c r="J93" s="752"/>
      <c r="K93" s="742"/>
      <c r="L93" s="752"/>
      <c r="M93" s="740"/>
      <c r="N93" s="1202"/>
      <c r="O93" s="1203"/>
      <c r="P93" s="1206"/>
      <c r="Q93" s="1114"/>
      <c r="R93" s="1114"/>
      <c r="S93" s="1207"/>
      <c r="T93" s="1114"/>
      <c r="U93" s="1114"/>
      <c r="V93" s="1114"/>
      <c r="W93" s="1114"/>
      <c r="X93" s="1114"/>
      <c r="Y93" s="1114"/>
      <c r="Z93" s="744"/>
      <c r="AA93" s="745"/>
      <c r="AB93" s="42" t="s">
        <v>1848</v>
      </c>
      <c r="AC93" s="746"/>
      <c r="AD93" s="746"/>
      <c r="AE93" s="746"/>
      <c r="AF93" s="753"/>
      <c r="AG93" s="748"/>
      <c r="AH93" s="748"/>
      <c r="AI93" s="753"/>
      <c r="AJ93" s="748"/>
      <c r="AK93" s="749"/>
      <c r="AL93" s="530"/>
    </row>
    <row r="95" spans="1:38" ht="11.25" customHeight="1">
      <c r="A95" s="692" t="s">
        <v>1849</v>
      </c>
    </row>
    <row r="97" spans="1:179" ht="11.25" customHeight="1">
      <c r="E97" s="12"/>
      <c r="F97" s="740"/>
      <c r="G97" s="740"/>
      <c r="H97" s="740"/>
      <c r="I97" s="740"/>
      <c r="J97" s="740"/>
      <c r="K97" s="740"/>
      <c r="L97" s="740"/>
      <c r="M97" s="740"/>
      <c r="N97" s="740"/>
      <c r="O97" s="740"/>
      <c r="P97" s="740"/>
      <c r="Q97" s="740"/>
      <c r="R97" s="740"/>
      <c r="S97" s="740"/>
      <c r="T97" s="740"/>
      <c r="U97" s="740"/>
      <c r="V97" s="740"/>
      <c r="W97" s="740"/>
      <c r="X97" s="740"/>
      <c r="Y97" s="740"/>
      <c r="Z97" s="754"/>
      <c r="AA97" s="755">
        <v>1</v>
      </c>
      <c r="AB97" s="751"/>
      <c r="AC97" s="489"/>
      <c r="AD97" s="751">
        <f>AB97</f>
        <v>0</v>
      </c>
      <c r="AE97" s="489"/>
      <c r="AF97" s="742"/>
      <c r="AG97" s="748"/>
      <c r="AH97" s="748"/>
      <c r="AI97" s="742"/>
      <c r="AJ97" s="748"/>
      <c r="AK97" s="749"/>
      <c r="AL97" s="530"/>
    </row>
    <row r="99" spans="1:179" ht="11.25" customHeight="1">
      <c r="A99" s="692" t="s">
        <v>1850</v>
      </c>
    </row>
    <row r="101" spans="1:179" ht="11.25" customHeight="1">
      <c r="E101" s="12"/>
      <c r="F101" s="739"/>
      <c r="G101" s="740"/>
      <c r="H101" s="1149" t="s">
        <v>31</v>
      </c>
      <c r="I101" s="1259"/>
      <c r="J101" s="1182"/>
      <c r="K101" s="1257"/>
      <c r="L101" s="895" t="s">
        <v>3</v>
      </c>
      <c r="M101" s="896"/>
      <c r="N101" s="756"/>
      <c r="O101" s="757" t="s">
        <v>299</v>
      </c>
      <c r="P101" s="758"/>
      <c r="Q101" s="758"/>
      <c r="R101" s="758"/>
      <c r="S101" s="758"/>
      <c r="T101" s="758"/>
      <c r="U101" s="758"/>
      <c r="V101" s="758"/>
      <c r="W101" s="758"/>
      <c r="X101" s="758"/>
      <c r="Y101" s="758"/>
      <c r="Z101" s="758"/>
      <c r="AA101" s="758"/>
      <c r="AB101" s="758"/>
      <c r="AC101" s="758"/>
      <c r="AD101" s="758"/>
      <c r="AE101" s="758"/>
      <c r="AF101" s="1260"/>
      <c r="AG101" s="1261"/>
      <c r="AH101" s="1261"/>
      <c r="AI101" s="1260"/>
      <c r="AJ101" s="1261"/>
      <c r="AK101" s="1261"/>
      <c r="AL101" s="530"/>
    </row>
    <row r="102" spans="1:179" ht="11.25" customHeight="1">
      <c r="E102" s="12"/>
      <c r="F102" s="739"/>
      <c r="G102" s="740"/>
      <c r="H102" s="1149"/>
      <c r="I102" s="1259"/>
      <c r="J102" s="1182"/>
      <c r="K102" s="1257"/>
      <c r="L102" s="895"/>
      <c r="M102" s="896"/>
      <c r="N102" s="1202"/>
      <c r="O102" s="1262">
        <v>1</v>
      </c>
      <c r="P102" s="1204" t="s">
        <v>3</v>
      </c>
      <c r="Q102" s="1114" t="s">
        <v>4</v>
      </c>
      <c r="R102" s="1114" t="s">
        <v>4</v>
      </c>
      <c r="S102" s="1114" t="s">
        <v>4</v>
      </c>
      <c r="T102" s="1114" t="s">
        <v>4</v>
      </c>
      <c r="U102" s="1114" t="s">
        <v>4</v>
      </c>
      <c r="V102" s="1114" t="s">
        <v>4</v>
      </c>
      <c r="W102" s="1114" t="s">
        <v>4</v>
      </c>
      <c r="X102" s="1114" t="s">
        <v>4</v>
      </c>
      <c r="Y102" s="1114"/>
      <c r="Z102" s="744"/>
      <c r="AA102" s="745"/>
      <c r="AB102" s="745"/>
      <c r="AC102" s="746"/>
      <c r="AD102" s="746"/>
      <c r="AE102" s="759"/>
      <c r="AF102" s="1260"/>
      <c r="AG102" s="1261"/>
      <c r="AH102" s="1261"/>
      <c r="AI102" s="1260"/>
      <c r="AJ102" s="1261"/>
      <c r="AK102" s="1261"/>
      <c r="AL102" s="530"/>
    </row>
    <row r="103" spans="1:179" ht="11.25" customHeight="1">
      <c r="E103" s="12"/>
      <c r="F103" s="739"/>
      <c r="G103" s="740"/>
      <c r="H103" s="1149"/>
      <c r="I103" s="1259"/>
      <c r="J103" s="1182"/>
      <c r="K103" s="1257"/>
      <c r="L103" s="895"/>
      <c r="M103" s="896"/>
      <c r="N103" s="1202"/>
      <c r="O103" s="1262"/>
      <c r="P103" s="1205"/>
      <c r="Q103" s="1114"/>
      <c r="R103" s="1114"/>
      <c r="S103" s="1207"/>
      <c r="T103" s="1114"/>
      <c r="U103" s="1114"/>
      <c r="V103" s="1114"/>
      <c r="W103" s="1114"/>
      <c r="X103" s="1114"/>
      <c r="Y103" s="1114"/>
      <c r="AA103" s="743">
        <v>1</v>
      </c>
      <c r="AB103" s="751"/>
      <c r="AC103" s="489"/>
      <c r="AD103" s="751">
        <f>AB103</f>
        <v>0</v>
      </c>
      <c r="AE103" s="489"/>
      <c r="AF103" s="1260"/>
      <c r="AG103" s="1261"/>
      <c r="AH103" s="1261"/>
      <c r="AI103" s="1260"/>
      <c r="AJ103" s="1261"/>
      <c r="AK103" s="1261"/>
      <c r="AL103" s="530"/>
    </row>
    <row r="104" spans="1:179" ht="11.25" customHeight="1">
      <c r="E104" s="12"/>
      <c r="F104" s="739"/>
      <c r="G104" s="740"/>
      <c r="H104" s="1149"/>
      <c r="I104" s="1259"/>
      <c r="J104" s="1182"/>
      <c r="K104" s="1257"/>
      <c r="L104" s="895"/>
      <c r="M104" s="896"/>
      <c r="N104" s="1202"/>
      <c r="O104" s="1262"/>
      <c r="P104" s="1206"/>
      <c r="Q104" s="1114"/>
      <c r="R104" s="1114"/>
      <c r="S104" s="1207"/>
      <c r="T104" s="1114"/>
      <c r="U104" s="1114"/>
      <c r="V104" s="1114"/>
      <c r="W104" s="1114"/>
      <c r="X104" s="1114"/>
      <c r="Y104" s="1114"/>
      <c r="Z104" s="744"/>
      <c r="AA104" s="745"/>
      <c r="AB104" s="42" t="s">
        <v>1848</v>
      </c>
      <c r="AC104" s="746"/>
      <c r="AD104" s="746"/>
      <c r="AE104" s="760"/>
      <c r="AF104" s="1260"/>
      <c r="AG104" s="1261"/>
      <c r="AH104" s="1261"/>
      <c r="AI104" s="1260"/>
      <c r="AJ104" s="1261"/>
      <c r="AK104" s="1261"/>
      <c r="AL104" s="530"/>
    </row>
    <row r="105" spans="1:179" ht="11.25" customHeight="1">
      <c r="E105" s="12"/>
      <c r="F105" s="739"/>
      <c r="G105" s="740"/>
      <c r="H105" s="1149"/>
      <c r="I105" s="1259"/>
      <c r="J105" s="1182"/>
      <c r="K105" s="1257"/>
      <c r="L105" s="895"/>
      <c r="M105" s="896"/>
      <c r="N105" s="744"/>
      <c r="O105" s="745"/>
      <c r="P105" s="42" t="s">
        <v>1851</v>
      </c>
      <c r="Q105" s="745"/>
      <c r="R105" s="745"/>
      <c r="S105" s="745"/>
      <c r="T105" s="745"/>
      <c r="U105" s="745"/>
      <c r="V105" s="745"/>
      <c r="W105" s="745"/>
      <c r="X105" s="745"/>
      <c r="Y105" s="745"/>
      <c r="Z105" s="745"/>
      <c r="AA105" s="745"/>
      <c r="AB105" s="745"/>
      <c r="AC105" s="745"/>
      <c r="AD105" s="745"/>
      <c r="AE105" s="761"/>
      <c r="AF105" s="1260"/>
      <c r="AG105" s="1261"/>
      <c r="AH105" s="1261"/>
      <c r="AI105" s="1260"/>
      <c r="AJ105" s="1261"/>
      <c r="AK105" s="1261"/>
      <c r="AL105" s="530"/>
    </row>
    <row r="107" spans="1:179" ht="11.25" customHeight="1">
      <c r="A107" s="692" t="s">
        <v>1852</v>
      </c>
    </row>
    <row r="108" spans="1:179" ht="17.25" customHeight="1"/>
    <row r="109" spans="1:179" ht="21" customHeight="1">
      <c r="E109" s="542" t="s">
        <v>4</v>
      </c>
      <c r="F109" s="762" t="e">
        <f>INDEX(IP_MAIN_LIST_NAME_IP,MATCH(A109,IP_MAIN_LIST_IP_ID,0))&amp;" ("&amp;INDEX(IP_MAIN_START_DATE,MATCH(A109,IP_MAIN_LIST_IP_ID,0))&amp;"-"&amp;INDEX(IP_MAIN_END_DATE,MATCH(A109,IP_MAIN_LIST_IP_ID,0))&amp;")"</f>
        <v>#N/A</v>
      </c>
      <c r="G109" s="763"/>
      <c r="H109" s="764"/>
      <c r="I109" s="764"/>
      <c r="J109" s="764"/>
      <c r="K109" s="764"/>
      <c r="L109" s="764"/>
      <c r="M109" s="764"/>
      <c r="N109" s="764"/>
      <c r="O109" s="763"/>
      <c r="P109" s="763"/>
      <c r="Q109" s="763"/>
      <c r="R109" s="763"/>
      <c r="S109" s="763"/>
      <c r="T109" s="763"/>
      <c r="U109" s="765"/>
      <c r="V109" s="765"/>
      <c r="W109" s="765"/>
      <c r="X109" s="765"/>
      <c r="Y109" s="765"/>
      <c r="Z109" s="765"/>
      <c r="AA109" s="765"/>
      <c r="AB109" s="763"/>
      <c r="AC109" s="764"/>
      <c r="AD109" s="764"/>
      <c r="AE109" s="764"/>
      <c r="AF109" s="764"/>
      <c r="AG109" s="764"/>
      <c r="AH109" s="764"/>
      <c r="AI109" s="764"/>
      <c r="AJ109" s="764"/>
      <c r="AK109" s="764"/>
      <c r="AL109" s="764"/>
      <c r="AM109" s="764"/>
      <c r="AN109" s="764"/>
      <c r="AO109" s="764"/>
      <c r="AP109" s="764"/>
      <c r="AQ109" s="764"/>
      <c r="AR109" s="764"/>
      <c r="AS109" s="764"/>
      <c r="AT109" s="764"/>
      <c r="AU109" s="764"/>
      <c r="AV109" s="764"/>
      <c r="AW109" s="764"/>
      <c r="AX109" s="764"/>
      <c r="AY109" s="764"/>
      <c r="AZ109" s="764"/>
      <c r="BA109" s="764"/>
      <c r="BB109" s="764"/>
      <c r="BC109" s="764"/>
      <c r="BD109" s="764"/>
      <c r="BE109" s="764"/>
      <c r="BF109" s="764"/>
      <c r="BG109" s="764"/>
      <c r="BH109" s="764"/>
      <c r="BI109" s="764"/>
      <c r="BJ109" s="764"/>
      <c r="BK109" s="764"/>
      <c r="BL109" s="764"/>
      <c r="BM109" s="764"/>
      <c r="BN109" s="764"/>
      <c r="BO109" s="764"/>
      <c r="BP109" s="764"/>
      <c r="BQ109" s="764"/>
      <c r="BR109" s="764"/>
      <c r="BS109" s="764"/>
      <c r="BT109" s="764"/>
      <c r="BU109" s="764"/>
      <c r="BV109" s="764"/>
      <c r="BW109" s="764"/>
      <c r="BX109" s="764"/>
      <c r="BY109" s="764"/>
      <c r="BZ109" s="764"/>
      <c r="CA109" s="764"/>
      <c r="CB109" s="764"/>
      <c r="CC109" s="764"/>
      <c r="CD109" s="764"/>
      <c r="CE109" s="764"/>
      <c r="CF109" s="764"/>
      <c r="CG109" s="764"/>
      <c r="CH109" s="764"/>
      <c r="CI109" s="764"/>
      <c r="CJ109" s="764"/>
      <c r="CK109" s="764"/>
      <c r="CL109" s="766"/>
      <c r="CM109" s="766"/>
      <c r="CN109" s="766"/>
      <c r="CO109" s="766"/>
      <c r="CP109" s="766"/>
      <c r="CQ109" s="766"/>
      <c r="CR109" s="766"/>
      <c r="CS109" s="766"/>
      <c r="CT109" s="766"/>
      <c r="CU109" s="766"/>
      <c r="CV109" s="766"/>
      <c r="CW109" s="766"/>
      <c r="CX109" s="766"/>
      <c r="CY109" s="766"/>
      <c r="CZ109" s="766"/>
      <c r="DA109" s="766"/>
      <c r="DB109" s="766"/>
      <c r="DC109" s="766"/>
      <c r="DD109" s="766"/>
      <c r="DE109" s="766"/>
      <c r="DF109" s="766"/>
      <c r="DG109" s="766"/>
      <c r="DH109" s="766"/>
      <c r="DI109" s="766"/>
      <c r="DJ109" s="766"/>
      <c r="DK109" s="766"/>
      <c r="DL109" s="766"/>
      <c r="DM109" s="766"/>
      <c r="DN109" s="766"/>
      <c r="DO109" s="766"/>
      <c r="DP109" s="766"/>
      <c r="DQ109" s="766"/>
      <c r="DR109" s="766"/>
      <c r="DS109" s="766"/>
      <c r="DT109" s="766"/>
      <c r="DU109" s="766"/>
      <c r="DV109" s="766"/>
      <c r="DW109" s="766"/>
      <c r="DX109" s="766"/>
      <c r="DY109" s="766"/>
      <c r="DZ109" s="766"/>
      <c r="EA109" s="766"/>
      <c r="EB109" s="766"/>
      <c r="EC109" s="766"/>
      <c r="ED109" s="766"/>
      <c r="EE109" s="766"/>
      <c r="EF109" s="766"/>
      <c r="EG109" s="766"/>
      <c r="EH109" s="766"/>
      <c r="EI109" s="766"/>
      <c r="EJ109" s="766"/>
      <c r="EK109" s="766"/>
      <c r="EL109" s="766"/>
      <c r="EM109" s="766"/>
      <c r="EN109" s="766"/>
      <c r="EO109" s="766"/>
      <c r="EP109" s="766"/>
      <c r="EQ109" s="766"/>
      <c r="ER109" s="766"/>
      <c r="ES109" s="766"/>
      <c r="ET109" s="766"/>
      <c r="EU109" s="766"/>
      <c r="EV109" s="766"/>
      <c r="EW109" s="766"/>
      <c r="EX109" s="766"/>
      <c r="EY109" s="766"/>
      <c r="EZ109" s="766"/>
      <c r="FA109" s="766"/>
      <c r="FB109" s="766"/>
      <c r="FC109" s="766"/>
      <c r="FD109" s="766"/>
      <c r="FE109" s="766"/>
      <c r="FF109" s="766"/>
      <c r="FG109" s="766"/>
      <c r="FH109" s="766"/>
      <c r="FI109" s="766"/>
      <c r="FJ109" s="766"/>
      <c r="FK109" s="766"/>
      <c r="FL109" s="766"/>
      <c r="FM109" s="766"/>
      <c r="FN109" s="766"/>
      <c r="FO109" s="766"/>
      <c r="FP109" s="766"/>
      <c r="FQ109" s="766"/>
      <c r="FR109" s="766"/>
      <c r="FS109" s="766"/>
      <c r="FT109" s="766"/>
      <c r="FU109" s="766"/>
      <c r="FV109" s="767"/>
      <c r="FW109" s="550"/>
    </row>
    <row r="110" spans="1:179" ht="24.75" customHeight="1">
      <c r="F110" s="462">
        <v>1</v>
      </c>
      <c r="G110" s="19"/>
      <c r="H110" s="18"/>
      <c r="I110" s="768"/>
      <c r="J110" s="769"/>
      <c r="K110" s="769"/>
      <c r="L110" s="769"/>
      <c r="M110" s="769"/>
      <c r="N110" s="769"/>
      <c r="O110" s="770"/>
      <c r="P110" s="770"/>
      <c r="Q110" s="770"/>
      <c r="R110" s="770"/>
      <c r="S110" s="770"/>
      <c r="T110" s="770"/>
      <c r="U110" s="770"/>
      <c r="V110" s="770"/>
      <c r="W110" s="770"/>
      <c r="X110" s="770"/>
      <c r="Y110" s="770"/>
      <c r="Z110" s="770"/>
      <c r="AA110" s="770"/>
      <c r="AB110" s="770"/>
      <c r="AC110" s="769"/>
      <c r="AD110" s="769"/>
      <c r="AE110" s="769"/>
      <c r="AF110" s="769"/>
      <c r="AG110" s="769"/>
      <c r="AH110" s="769"/>
      <c r="AI110" s="769"/>
      <c r="AJ110" s="769"/>
      <c r="AK110" s="769"/>
      <c r="AL110" s="769"/>
      <c r="AM110" s="769"/>
      <c r="AN110" s="769"/>
      <c r="AO110" s="769"/>
      <c r="AP110" s="769"/>
      <c r="AQ110" s="769"/>
      <c r="AR110" s="769"/>
      <c r="AS110" s="769"/>
      <c r="AT110" s="769"/>
      <c r="AU110" s="769"/>
      <c r="AV110" s="769"/>
      <c r="AW110" s="769"/>
      <c r="AX110" s="769"/>
      <c r="AY110" s="769"/>
      <c r="AZ110" s="769"/>
      <c r="BA110" s="769"/>
      <c r="BB110" s="769"/>
      <c r="BC110" s="769"/>
      <c r="BD110" s="769"/>
      <c r="BE110" s="769"/>
      <c r="BF110" s="769"/>
      <c r="BG110" s="769"/>
      <c r="BH110" s="769"/>
      <c r="BI110" s="769"/>
      <c r="BJ110" s="769"/>
      <c r="BK110" s="769"/>
      <c r="BL110" s="769"/>
      <c r="BM110" s="769"/>
      <c r="BN110" s="769"/>
      <c r="BO110" s="769"/>
      <c r="BP110" s="769"/>
      <c r="BQ110" s="769"/>
      <c r="BR110" s="769"/>
      <c r="BS110" s="769"/>
      <c r="BT110" s="770"/>
      <c r="BU110" s="770"/>
      <c r="BV110" s="770"/>
      <c r="BW110" s="770"/>
      <c r="BX110" s="770"/>
      <c r="BY110" s="770"/>
      <c r="BZ110" s="770"/>
      <c r="CA110" s="770"/>
      <c r="CB110" s="770"/>
      <c r="CC110" s="770"/>
      <c r="CD110" s="770"/>
      <c r="CE110" s="770"/>
      <c r="CF110" s="770"/>
      <c r="CG110" s="770"/>
      <c r="CH110" s="770"/>
      <c r="CI110" s="770"/>
      <c r="CJ110" s="770"/>
      <c r="CK110" s="770"/>
      <c r="CL110" s="769"/>
      <c r="CM110" s="769"/>
      <c r="CN110" s="769"/>
      <c r="CO110" s="769"/>
      <c r="CP110" s="769"/>
      <c r="CQ110" s="769"/>
      <c r="CR110" s="769"/>
      <c r="CS110" s="769"/>
      <c r="CT110" s="769"/>
      <c r="CU110" s="769"/>
      <c r="CV110" s="769"/>
      <c r="CW110" s="769"/>
      <c r="CX110" s="769"/>
      <c r="CY110" s="770"/>
      <c r="CZ110" s="770"/>
      <c r="DA110" s="770"/>
      <c r="DB110" s="770"/>
      <c r="DC110" s="770"/>
      <c r="DD110" s="770"/>
      <c r="DE110" s="770"/>
      <c r="DF110" s="770"/>
      <c r="DG110" s="770"/>
      <c r="DH110" s="770"/>
      <c r="DI110" s="770"/>
      <c r="DJ110" s="770"/>
      <c r="DK110" s="769"/>
      <c r="DL110" s="769"/>
      <c r="DM110" s="769"/>
      <c r="DN110" s="769"/>
      <c r="DO110" s="769"/>
      <c r="DP110" s="769"/>
      <c r="DQ110" s="769"/>
      <c r="DR110" s="769"/>
      <c r="DS110" s="769"/>
      <c r="DT110" s="769"/>
      <c r="DU110" s="769"/>
      <c r="DV110" s="769"/>
      <c r="DW110" s="769"/>
      <c r="DX110" s="769"/>
      <c r="DY110" s="769"/>
      <c r="DZ110" s="769"/>
      <c r="EA110" s="769"/>
      <c r="EB110" s="769"/>
      <c r="EC110" s="769"/>
      <c r="ED110" s="769"/>
      <c r="EE110" s="769"/>
      <c r="EF110" s="769"/>
      <c r="EG110" s="769"/>
      <c r="EH110" s="769"/>
      <c r="EI110" s="769"/>
      <c r="EJ110" s="769"/>
      <c r="EK110" s="769"/>
      <c r="EL110" s="769"/>
      <c r="EM110" s="769"/>
      <c r="EN110" s="769"/>
      <c r="EO110" s="769"/>
      <c r="EP110" s="769"/>
      <c r="EQ110" s="769"/>
      <c r="ER110" s="769"/>
      <c r="ES110" s="769"/>
      <c r="ET110" s="769"/>
      <c r="EU110" s="769"/>
      <c r="EV110" s="769"/>
      <c r="EW110" s="769"/>
      <c r="EX110" s="769"/>
      <c r="EY110" s="769"/>
      <c r="EZ110" s="769"/>
      <c r="FA110" s="769"/>
      <c r="FB110" s="769"/>
      <c r="FC110" s="769"/>
      <c r="FD110" s="769"/>
      <c r="FE110" s="769"/>
      <c r="FF110" s="769"/>
      <c r="FG110" s="769"/>
      <c r="FH110" s="769"/>
      <c r="FI110" s="769"/>
      <c r="FJ110" s="769"/>
      <c r="FK110" s="769"/>
      <c r="FL110" s="769"/>
      <c r="FM110" s="769"/>
      <c r="FN110" s="769"/>
      <c r="FO110" s="769"/>
      <c r="FP110" s="769"/>
      <c r="FQ110" s="769"/>
      <c r="FR110" s="769"/>
      <c r="FS110" s="769"/>
      <c r="FT110" s="769"/>
      <c r="FU110" s="769"/>
      <c r="FV110" s="769"/>
      <c r="FW110" s="769"/>
    </row>
    <row r="111" spans="1:179" ht="12" customHeight="1">
      <c r="F111" s="771"/>
      <c r="G111" s="736" t="s">
        <v>1853</v>
      </c>
      <c r="H111" s="736"/>
      <c r="I111" s="736"/>
      <c r="J111" s="736"/>
      <c r="K111" s="736"/>
      <c r="L111" s="736"/>
      <c r="M111" s="736"/>
      <c r="N111" s="736"/>
      <c r="O111" s="736"/>
      <c r="P111" s="736"/>
      <c r="Q111" s="736"/>
      <c r="R111" s="736"/>
      <c r="S111" s="736"/>
      <c r="T111" s="736"/>
      <c r="U111" s="736"/>
      <c r="V111" s="736"/>
      <c r="W111" s="736"/>
      <c r="X111" s="736"/>
      <c r="Y111" s="736"/>
      <c r="Z111" s="736"/>
      <c r="AA111" s="736"/>
      <c r="AB111" s="736"/>
      <c r="AC111" s="736"/>
      <c r="AD111" s="736"/>
      <c r="AE111" s="736"/>
      <c r="AF111" s="736"/>
      <c r="AG111" s="736"/>
      <c r="AH111" s="736"/>
      <c r="AI111" s="736"/>
      <c r="AJ111" s="736"/>
      <c r="AK111" s="736"/>
      <c r="AL111" s="736"/>
      <c r="AM111" s="736"/>
      <c r="AN111" s="736"/>
      <c r="AO111" s="736"/>
      <c r="AP111" s="736"/>
      <c r="AQ111" s="736"/>
      <c r="AR111" s="736"/>
      <c r="AS111" s="736"/>
      <c r="AT111" s="736"/>
      <c r="AU111" s="736"/>
      <c r="AV111" s="736"/>
      <c r="AW111" s="736"/>
      <c r="AX111" s="736"/>
      <c r="AY111" s="736"/>
      <c r="AZ111" s="736"/>
      <c r="BA111" s="736"/>
      <c r="BB111" s="736"/>
      <c r="BC111" s="736"/>
      <c r="BD111" s="736"/>
      <c r="BE111" s="736"/>
      <c r="BF111" s="736"/>
      <c r="BG111" s="736"/>
      <c r="BH111" s="736"/>
      <c r="BI111" s="736"/>
      <c r="BJ111" s="736"/>
      <c r="BK111" s="736"/>
      <c r="BL111" s="736"/>
      <c r="BM111" s="736"/>
      <c r="BN111" s="736"/>
      <c r="BO111" s="736"/>
      <c r="BP111" s="736"/>
      <c r="BQ111" s="736"/>
      <c r="BR111" s="736"/>
      <c r="BS111" s="736"/>
      <c r="BT111" s="736"/>
      <c r="BU111" s="736"/>
      <c r="BV111" s="736"/>
      <c r="BW111" s="736"/>
      <c r="BX111" s="736"/>
      <c r="BY111" s="736"/>
      <c r="BZ111" s="736"/>
      <c r="CA111" s="736"/>
      <c r="CB111" s="736"/>
      <c r="CC111" s="736"/>
      <c r="CD111" s="736"/>
      <c r="CE111" s="736"/>
      <c r="CF111" s="736"/>
      <c r="CG111" s="736"/>
      <c r="CH111" s="736"/>
      <c r="CI111" s="736"/>
      <c r="CJ111" s="736"/>
      <c r="CK111" s="736"/>
      <c r="CL111" s="736"/>
      <c r="CM111" s="736"/>
      <c r="CN111" s="736"/>
      <c r="CO111" s="736"/>
      <c r="CP111" s="736"/>
      <c r="CQ111" s="736"/>
      <c r="CR111" s="736"/>
      <c r="CS111" s="736"/>
      <c r="CT111" s="736"/>
      <c r="CU111" s="736"/>
      <c r="CV111" s="736"/>
      <c r="CW111" s="736"/>
      <c r="CX111" s="736"/>
      <c r="CY111" s="736"/>
      <c r="CZ111" s="736"/>
      <c r="DA111" s="736"/>
      <c r="DB111" s="736"/>
      <c r="DC111" s="736"/>
      <c r="DD111" s="736"/>
      <c r="DE111" s="736"/>
      <c r="DF111" s="736"/>
      <c r="DG111" s="736"/>
      <c r="DH111" s="736"/>
      <c r="DI111" s="736"/>
      <c r="DJ111" s="736"/>
      <c r="DK111" s="736"/>
      <c r="DL111" s="736"/>
      <c r="DM111" s="736"/>
      <c r="DN111" s="736"/>
      <c r="DO111" s="736"/>
      <c r="DP111" s="736"/>
      <c r="DQ111" s="736"/>
      <c r="DR111" s="736"/>
      <c r="DS111" s="736"/>
      <c r="DT111" s="736"/>
      <c r="DU111" s="736"/>
      <c r="DV111" s="736"/>
      <c r="DW111" s="736"/>
      <c r="DX111" s="736"/>
      <c r="DY111" s="736"/>
      <c r="DZ111" s="736"/>
      <c r="EA111" s="736"/>
      <c r="EB111" s="736"/>
      <c r="EC111" s="736"/>
      <c r="ED111" s="736"/>
      <c r="EE111" s="736"/>
      <c r="EF111" s="736"/>
      <c r="EG111" s="736"/>
      <c r="EH111" s="736"/>
      <c r="EI111" s="736"/>
      <c r="EJ111" s="736"/>
      <c r="EK111" s="736"/>
      <c r="EL111" s="736"/>
      <c r="EM111" s="736"/>
      <c r="EN111" s="736"/>
      <c r="EO111" s="736"/>
      <c r="EP111" s="736"/>
      <c r="EQ111" s="736"/>
      <c r="ER111" s="736"/>
      <c r="ES111" s="736"/>
      <c r="ET111" s="736"/>
      <c r="EU111" s="736"/>
      <c r="EV111" s="736"/>
      <c r="EW111" s="736"/>
      <c r="EX111" s="736"/>
      <c r="EY111" s="736"/>
      <c r="EZ111" s="736"/>
      <c r="FA111" s="736"/>
      <c r="FB111" s="736"/>
      <c r="FC111" s="736"/>
      <c r="FD111" s="736"/>
      <c r="FE111" s="736"/>
      <c r="FF111" s="736"/>
      <c r="FG111" s="736"/>
      <c r="FH111" s="736"/>
      <c r="FI111" s="736"/>
      <c r="FJ111" s="736"/>
      <c r="FK111" s="736"/>
      <c r="FL111" s="736"/>
      <c r="FM111" s="736"/>
      <c r="FN111" s="736"/>
      <c r="FO111" s="736"/>
      <c r="FP111" s="736"/>
      <c r="FQ111" s="736"/>
      <c r="FR111" s="736"/>
      <c r="FS111" s="736"/>
      <c r="FT111" s="736"/>
      <c r="FU111" s="736"/>
      <c r="FV111" s="736"/>
      <c r="FW111" s="772"/>
    </row>
    <row r="113" spans="1:34" ht="11.25" customHeight="1">
      <c r="A113" s="692" t="s">
        <v>1854</v>
      </c>
    </row>
    <row r="115" spans="1:34" ht="15" customHeight="1">
      <c r="D115" s="1214" t="s">
        <v>31</v>
      </c>
      <c r="E115" s="1095" t="s">
        <v>37</v>
      </c>
      <c r="F115" s="1096"/>
      <c r="G115" s="1097"/>
      <c r="H115" s="1093" t="str">
        <f>IF(A115="","",INDEX(DIFFERENTIATION_UNMERGE_VD,MATCH(A115,DIFFERENTIATION_ID_DIFF,0)))</f>
        <v/>
      </c>
      <c r="I115" s="1093"/>
      <c r="J115" s="1093"/>
      <c r="K115" s="1093"/>
      <c r="L115" s="1093"/>
      <c r="M115" s="1093"/>
      <c r="N115" s="1093"/>
      <c r="O115" s="1093"/>
      <c r="P115" s="1093"/>
      <c r="Q115" s="1093"/>
      <c r="R115" s="1093"/>
      <c r="S115" s="429"/>
      <c r="T115" s="430"/>
      <c r="AC115" s="885"/>
      <c r="AE115" t="s">
        <v>4</v>
      </c>
      <c r="AG115" s="431" t="s">
        <v>532</v>
      </c>
      <c r="AH115" s="432">
        <v>3</v>
      </c>
    </row>
    <row r="116" spans="1:34" ht="15" customHeight="1">
      <c r="D116" s="1215"/>
      <c r="E116" s="1095" t="s">
        <v>487</v>
      </c>
      <c r="F116" s="1096"/>
      <c r="G116" s="1097"/>
      <c r="H116" s="1093" t="str">
        <f>IF(A115="","",INDEX(DIFFERENTIATION_UNMERGE_AREA,MATCH(A115,DIFFERENTIATION_ID_DIFF,0)))</f>
        <v/>
      </c>
      <c r="I116" s="1093"/>
      <c r="J116" s="1093"/>
      <c r="K116" s="1093"/>
      <c r="L116" s="1093"/>
      <c r="M116" s="1093"/>
      <c r="N116" s="1093"/>
      <c r="O116" s="1093"/>
      <c r="P116" s="1093"/>
      <c r="Q116" s="1093"/>
      <c r="R116" s="1093"/>
      <c r="S116" s="429"/>
      <c r="T116" s="430"/>
      <c r="AC116" s="885"/>
    </row>
    <row r="117" spans="1:34" ht="15" customHeight="1">
      <c r="D117" s="1215"/>
      <c r="E117" s="1095" t="s">
        <v>488</v>
      </c>
      <c r="F117" s="1096"/>
      <c r="G117" s="1097"/>
      <c r="H117" s="1093" t="str">
        <f>IF(A115="","",INDEX(DIFFERENTIATION_UNMERGE_SYSTEM,MATCH(A115,DIFFERENTIATION_ID_DIFF,0)))</f>
        <v/>
      </c>
      <c r="I117" s="1093"/>
      <c r="J117" s="1093"/>
      <c r="K117" s="1093"/>
      <c r="L117" s="1093"/>
      <c r="M117" s="1093"/>
      <c r="N117" s="1093"/>
      <c r="O117" s="1093"/>
      <c r="P117" s="1093"/>
      <c r="Q117" s="1093"/>
      <c r="R117" s="1093"/>
      <c r="S117" s="429"/>
      <c r="T117" s="430"/>
      <c r="AC117" s="885"/>
    </row>
    <row r="118" spans="1:34" ht="24.75" customHeight="1">
      <c r="D118" s="1215"/>
      <c r="E118" s="1094" t="s">
        <v>533</v>
      </c>
      <c r="F118" s="1094"/>
      <c r="G118" s="1094"/>
      <c r="H118" s="1094"/>
      <c r="I118" s="1094"/>
      <c r="J118" s="1094"/>
      <c r="K118" s="1094"/>
      <c r="L118" s="1094"/>
      <c r="M118" s="1094"/>
      <c r="N118" s="1094"/>
      <c r="O118" s="1094"/>
      <c r="P118" s="1094"/>
      <c r="Q118" s="385">
        <f>SUMIF(T119:T120,"i",Q119:Q120)</f>
        <v>0</v>
      </c>
      <c r="R118" s="434"/>
      <c r="S118" s="96" t="s">
        <v>534</v>
      </c>
      <c r="T118" s="430" t="s">
        <v>535</v>
      </c>
      <c r="U118" s="1004">
        <v>1</v>
      </c>
      <c r="V118" s="1004" t="s">
        <v>498</v>
      </c>
      <c r="AC118" s="885"/>
    </row>
    <row r="119" spans="1:34" ht="11.25" hidden="1" customHeight="1">
      <c r="D119" s="1215"/>
      <c r="E119" s="124"/>
      <c r="F119" s="124">
        <v>0</v>
      </c>
      <c r="G119" s="124"/>
      <c r="H119" s="124"/>
      <c r="I119" s="124"/>
      <c r="J119" s="124"/>
      <c r="K119" s="124"/>
      <c r="L119" s="124"/>
      <c r="M119" s="124"/>
      <c r="N119" s="124"/>
      <c r="O119" s="124"/>
      <c r="P119" s="124"/>
      <c r="Q119" s="124"/>
      <c r="R119" s="124"/>
      <c r="S119" s="123"/>
      <c r="T119" s="435"/>
      <c r="U119" s="885"/>
      <c r="V119" s="885"/>
      <c r="AC119" s="885"/>
    </row>
    <row r="120" spans="1:34" ht="11.25" customHeight="1">
      <c r="D120" s="1215"/>
      <c r="E120" s="334" t="s">
        <v>4</v>
      </c>
      <c r="F120" s="42" t="s">
        <v>4</v>
      </c>
      <c r="G120" s="42" t="s">
        <v>1855</v>
      </c>
      <c r="H120" s="45" t="s">
        <v>4</v>
      </c>
      <c r="I120" s="45"/>
      <c r="J120" s="45"/>
      <c r="K120" s="45"/>
      <c r="L120" s="45"/>
      <c r="M120" s="45"/>
      <c r="N120" s="45"/>
      <c r="O120" s="45"/>
      <c r="P120" s="45"/>
      <c r="Q120" s="45"/>
      <c r="R120" s="61"/>
      <c r="S120" s="774"/>
      <c r="T120" s="435"/>
      <c r="U120" s="885"/>
      <c r="V120" s="885"/>
      <c r="AC120" s="885"/>
    </row>
    <row r="121" spans="1:34" ht="24.75" customHeight="1">
      <c r="D121" s="1215"/>
      <c r="E121" s="1094" t="s">
        <v>536</v>
      </c>
      <c r="F121" s="1094"/>
      <c r="G121" s="1094"/>
      <c r="H121" s="1094"/>
      <c r="I121" s="1094"/>
      <c r="J121" s="1094"/>
      <c r="K121" s="1094"/>
      <c r="L121" s="1094"/>
      <c r="M121" s="1094"/>
      <c r="N121" s="1094"/>
      <c r="O121" s="1094"/>
      <c r="P121" s="1094"/>
      <c r="Q121" s="385">
        <f>SUMIF(T122:T123,"i",Q122:Q123)</f>
        <v>0</v>
      </c>
      <c r="R121" s="434"/>
      <c r="S121" s="96" t="s">
        <v>537</v>
      </c>
      <c r="T121" s="430" t="s">
        <v>535</v>
      </c>
      <c r="U121" s="1004">
        <v>1</v>
      </c>
      <c r="V121" s="1004" t="s">
        <v>498</v>
      </c>
    </row>
    <row r="122" spans="1:34" ht="11.25" hidden="1" customHeight="1">
      <c r="D122" s="1215"/>
      <c r="E122" s="124"/>
      <c r="F122" s="124">
        <v>0</v>
      </c>
      <c r="G122" s="124"/>
      <c r="H122" s="124"/>
      <c r="I122" s="124"/>
      <c r="J122" s="124"/>
      <c r="K122" s="124"/>
      <c r="L122" s="124"/>
      <c r="M122" s="124"/>
      <c r="N122" s="124"/>
      <c r="O122" s="124"/>
      <c r="P122" s="124"/>
      <c r="Q122" s="124"/>
      <c r="R122" s="124"/>
      <c r="S122" s="123"/>
      <c r="T122" s="435"/>
      <c r="U122" s="885"/>
      <c r="V122" s="885"/>
    </row>
    <row r="123" spans="1:34" ht="11.25" customHeight="1">
      <c r="D123" s="1216"/>
      <c r="E123" s="334" t="s">
        <v>4</v>
      </c>
      <c r="F123" s="42" t="s">
        <v>4</v>
      </c>
      <c r="G123" s="42" t="s">
        <v>1855</v>
      </c>
      <c r="H123" s="45" t="s">
        <v>4</v>
      </c>
      <c r="I123" s="45"/>
      <c r="J123" s="45"/>
      <c r="K123" s="45"/>
      <c r="L123" s="45"/>
      <c r="M123" s="45"/>
      <c r="N123" s="45"/>
      <c r="O123" s="45"/>
      <c r="P123" s="45"/>
      <c r="Q123" s="45"/>
      <c r="R123" s="61"/>
      <c r="S123" s="774"/>
      <c r="T123" s="435"/>
      <c r="U123" s="885"/>
      <c r="V123" s="885"/>
    </row>
    <row r="125" spans="1:34" ht="11.25" customHeight="1">
      <c r="A125" s="692" t="s">
        <v>1856</v>
      </c>
    </row>
    <row r="127" spans="1:34" ht="15" customHeight="1">
      <c r="D127" s="1214" t="s">
        <v>31</v>
      </c>
      <c r="E127" s="1095" t="s">
        <v>37</v>
      </c>
      <c r="F127" s="1096"/>
      <c r="G127" s="1097"/>
      <c r="H127" s="1093" t="str">
        <f>IF(A127="","",INDEX(DIFFERENTIATION_UNMERGE_VD,MATCH(A127,DIFFERENTIATION_ID_DIFF,0)))</f>
        <v/>
      </c>
      <c r="I127" s="1093"/>
      <c r="J127" s="1093"/>
      <c r="K127" s="1093"/>
      <c r="L127" s="1093"/>
      <c r="M127" s="1093"/>
      <c r="N127" s="1093"/>
      <c r="O127" s="1093"/>
      <c r="P127" s="1093"/>
      <c r="Q127" s="1093"/>
      <c r="R127" s="1093"/>
      <c r="S127" s="429"/>
      <c r="T127" s="430"/>
      <c r="AC127" s="885"/>
      <c r="AE127" t="s">
        <v>4</v>
      </c>
      <c r="AG127" s="431" t="s">
        <v>532</v>
      </c>
      <c r="AH127" s="432">
        <v>3</v>
      </c>
    </row>
    <row r="128" spans="1:34" ht="15" customHeight="1">
      <c r="D128" s="1215"/>
      <c r="E128" s="1095" t="s">
        <v>487</v>
      </c>
      <c r="F128" s="1096"/>
      <c r="G128" s="1097"/>
      <c r="H128" s="1093" t="str">
        <f>IF(A127="","",INDEX(DIFFERENTIATION_UNMERGE_AREA,MATCH(A127,DIFFERENTIATION_ID_DIFF,0)))</f>
        <v/>
      </c>
      <c r="I128" s="1093"/>
      <c r="J128" s="1093"/>
      <c r="K128" s="1093"/>
      <c r="L128" s="1093"/>
      <c r="M128" s="1093"/>
      <c r="N128" s="1093"/>
      <c r="O128" s="1093"/>
      <c r="P128" s="1093"/>
      <c r="Q128" s="1093"/>
      <c r="R128" s="1093"/>
      <c r="S128" s="429"/>
      <c r="T128" s="430"/>
      <c r="AC128" s="885"/>
    </row>
    <row r="129" spans="1:29" ht="15" customHeight="1">
      <c r="D129" s="1215"/>
      <c r="E129" s="1095" t="s">
        <v>488</v>
      </c>
      <c r="F129" s="1096"/>
      <c r="G129" s="1097"/>
      <c r="H129" s="1093" t="str">
        <f>IF(A127="","",INDEX(DIFFERENTIATION_UNMERGE_SYSTEM,MATCH(A127,DIFFERENTIATION_ID_DIFF,0)))</f>
        <v/>
      </c>
      <c r="I129" s="1093"/>
      <c r="J129" s="1093"/>
      <c r="K129" s="1093"/>
      <c r="L129" s="1093"/>
      <c r="M129" s="1093"/>
      <c r="N129" s="1093"/>
      <c r="O129" s="1093"/>
      <c r="P129" s="1093"/>
      <c r="Q129" s="1093"/>
      <c r="R129" s="1093"/>
      <c r="S129" s="429"/>
      <c r="T129" s="430"/>
      <c r="AC129" s="885"/>
    </row>
    <row r="130" spans="1:29" ht="24.75" customHeight="1">
      <c r="D130" s="1215"/>
      <c r="E130" s="1094" t="s">
        <v>533</v>
      </c>
      <c r="F130" s="1094"/>
      <c r="G130" s="1094"/>
      <c r="H130" s="1094"/>
      <c r="I130" s="1094"/>
      <c r="J130" s="1094"/>
      <c r="K130" s="1094"/>
      <c r="L130" s="1094"/>
      <c r="M130" s="1094"/>
      <c r="N130" s="1094"/>
      <c r="O130" s="1094"/>
      <c r="P130" s="1094"/>
      <c r="Q130" s="385">
        <f>SUMIF(T131:T132,"i",Q131:Q132)</f>
        <v>0</v>
      </c>
      <c r="R130" s="434"/>
      <c r="S130" s="96" t="s">
        <v>534</v>
      </c>
      <c r="T130" s="430" t="s">
        <v>535</v>
      </c>
      <c r="U130" s="1004">
        <v>1</v>
      </c>
      <c r="V130" s="1004" t="s">
        <v>498</v>
      </c>
      <c r="AC130" s="885"/>
    </row>
    <row r="131" spans="1:29" ht="11.25" hidden="1" customHeight="1">
      <c r="D131" s="1215"/>
      <c r="E131" s="124"/>
      <c r="F131" s="124">
        <v>0</v>
      </c>
      <c r="G131" s="124"/>
      <c r="H131" s="124"/>
      <c r="I131" s="124"/>
      <c r="J131" s="124"/>
      <c r="K131" s="124"/>
      <c r="L131" s="124"/>
      <c r="M131" s="124"/>
      <c r="N131" s="124"/>
      <c r="O131" s="124"/>
      <c r="P131" s="124"/>
      <c r="Q131" s="124"/>
      <c r="R131" s="124"/>
      <c r="S131" s="123"/>
      <c r="T131" s="435"/>
      <c r="U131" s="885"/>
      <c r="V131" s="885"/>
      <c r="AC131" s="885"/>
    </row>
    <row r="132" spans="1:29" ht="11.25" customHeight="1">
      <c r="D132" s="1215"/>
      <c r="E132" s="334" t="s">
        <v>4</v>
      </c>
      <c r="F132" s="42" t="s">
        <v>4</v>
      </c>
      <c r="G132" s="42" t="s">
        <v>1855</v>
      </c>
      <c r="H132" s="45" t="s">
        <v>4</v>
      </c>
      <c r="I132" s="45"/>
      <c r="J132" s="45"/>
      <c r="K132" s="45"/>
      <c r="L132" s="45"/>
      <c r="M132" s="45"/>
      <c r="N132" s="45"/>
      <c r="O132" s="45"/>
      <c r="P132" s="45"/>
      <c r="Q132" s="45"/>
      <c r="R132" s="61"/>
      <c r="S132" s="774"/>
      <c r="T132" s="435"/>
      <c r="U132" s="885"/>
      <c r="V132" s="885"/>
      <c r="AC132" s="885"/>
    </row>
    <row r="133" spans="1:29" ht="5.25" hidden="1" customHeight="1">
      <c r="D133" s="1215"/>
      <c r="E133" s="775"/>
      <c r="F133" s="775"/>
      <c r="G133" s="775"/>
      <c r="H133" s="775"/>
      <c r="I133" s="775"/>
      <c r="J133" s="775"/>
      <c r="K133" s="775"/>
      <c r="L133" s="775"/>
      <c r="M133" s="775"/>
      <c r="N133" s="775"/>
      <c r="O133" s="775"/>
      <c r="P133" s="775"/>
      <c r="Q133" s="344"/>
      <c r="R133" s="776"/>
      <c r="S133" s="124"/>
      <c r="T133" s="430" t="s">
        <v>535</v>
      </c>
      <c r="U133" s="1004">
        <v>1</v>
      </c>
      <c r="V133" s="1004" t="s">
        <v>498</v>
      </c>
    </row>
    <row r="134" spans="1:29" ht="5.25" hidden="1" customHeight="1">
      <c r="D134" s="1215"/>
      <c r="E134" s="124"/>
      <c r="F134" s="124"/>
      <c r="G134" s="124"/>
      <c r="H134" s="124"/>
      <c r="I134" s="124"/>
      <c r="J134" s="124"/>
      <c r="K134" s="124"/>
      <c r="L134" s="124"/>
      <c r="M134" s="124"/>
      <c r="N134" s="124"/>
      <c r="O134" s="124"/>
      <c r="P134" s="124"/>
      <c r="Q134" s="124"/>
      <c r="R134" s="124"/>
      <c r="S134" s="123"/>
      <c r="T134" s="435"/>
      <c r="U134" s="885"/>
      <c r="V134" s="885"/>
    </row>
    <row r="135" spans="1:29" ht="5.25" hidden="1" customHeight="1">
      <c r="D135" s="1216"/>
      <c r="E135" s="777"/>
      <c r="F135" s="778"/>
      <c r="G135" s="778"/>
      <c r="H135" s="779"/>
      <c r="I135" s="779"/>
      <c r="J135" s="779"/>
      <c r="K135" s="779"/>
      <c r="L135" s="779"/>
      <c r="M135" s="779"/>
      <c r="N135" s="779"/>
      <c r="O135" s="779"/>
      <c r="P135" s="779"/>
      <c r="Q135" s="779"/>
      <c r="R135" s="780"/>
      <c r="S135" s="781"/>
      <c r="T135" s="435"/>
      <c r="U135" s="885"/>
      <c r="V135" s="885"/>
    </row>
    <row r="136" spans="1:29" ht="17.25" customHeight="1">
      <c r="D136" s="782"/>
    </row>
    <row r="137" spans="1:29" ht="11.25" customHeight="1">
      <c r="A137" s="692" t="s">
        <v>1857</v>
      </c>
    </row>
    <row r="139" spans="1:29" ht="45" customHeight="1">
      <c r="E139" s="1219"/>
      <c r="F139" s="896" t="s">
        <v>31</v>
      </c>
      <c r="G139" s="1222" t="s">
        <v>4</v>
      </c>
      <c r="H139" s="227"/>
      <c r="I139" s="783" t="s">
        <v>31</v>
      </c>
      <c r="J139" s="464" t="s">
        <v>1858</v>
      </c>
      <c r="K139" s="69" t="s">
        <v>469</v>
      </c>
      <c r="L139" s="968" t="s">
        <v>469</v>
      </c>
      <c r="M139" s="933"/>
      <c r="N139" s="69" t="s">
        <v>469</v>
      </c>
      <c r="O139" s="69" t="s">
        <v>469</v>
      </c>
      <c r="P139" s="69" t="s">
        <v>469</v>
      </c>
      <c r="Q139" s="531">
        <f>SUM(Q140:Q142)</f>
        <v>0</v>
      </c>
      <c r="R139" s="531">
        <f>IF(R136=0,0,(Q136/R136)*100)</f>
        <v>0</v>
      </c>
      <c r="S139" s="945"/>
      <c r="T139" s="430" t="s">
        <v>535</v>
      </c>
    </row>
    <row r="140" spans="1:29" ht="11.25" customHeight="1">
      <c r="E140" s="1220"/>
      <c r="F140" s="896"/>
      <c r="G140" s="1222"/>
      <c r="H140" s="894"/>
      <c r="I140" s="1149" t="s">
        <v>945</v>
      </c>
      <c r="J140" s="1217"/>
      <c r="K140" s="1218"/>
      <c r="L140" s="557"/>
      <c r="M140" s="784" t="s">
        <v>31</v>
      </c>
      <c r="N140" s="130"/>
      <c r="O140" s="193"/>
      <c r="P140" s="248"/>
      <c r="Q140" s="193"/>
      <c r="R140" s="261">
        <v>0</v>
      </c>
      <c r="S140" s="945"/>
      <c r="T140" s="430"/>
    </row>
    <row r="141" spans="1:29" ht="11.25" customHeight="1">
      <c r="E141" s="1220"/>
      <c r="F141" s="896"/>
      <c r="G141" s="1222"/>
      <c r="H141" s="894"/>
      <c r="I141" s="1149"/>
      <c r="J141" s="1217"/>
      <c r="K141" s="1211"/>
      <c r="L141" s="785"/>
      <c r="M141" s="786"/>
      <c r="N141" s="45" t="s">
        <v>1859</v>
      </c>
      <c r="O141" s="45"/>
      <c r="P141" s="45"/>
      <c r="Q141" s="45"/>
      <c r="R141" s="61"/>
      <c r="S141" s="945"/>
      <c r="T141" s="430"/>
    </row>
    <row r="142" spans="1:29" ht="11.25" customHeight="1">
      <c r="E142" s="1221"/>
      <c r="F142" s="896"/>
      <c r="G142" s="1223"/>
      <c r="H142" s="785" t="s">
        <v>4</v>
      </c>
      <c r="I142" s="786"/>
      <c r="J142" s="45" t="s">
        <v>1860</v>
      </c>
      <c r="K142" s="45"/>
      <c r="L142" s="45"/>
      <c r="M142" s="45"/>
      <c r="N142" s="45"/>
      <c r="O142" s="45"/>
      <c r="P142" s="45"/>
      <c r="Q142" s="45"/>
      <c r="R142" s="61"/>
      <c r="S142" s="945"/>
      <c r="T142" s="430"/>
    </row>
    <row r="147" spans="1:23" ht="11.25" customHeight="1">
      <c r="E147" s="740"/>
      <c r="F147" s="740"/>
      <c r="G147" s="740"/>
      <c r="H147" s="894"/>
      <c r="I147" s="1149" t="s">
        <v>945</v>
      </c>
      <c r="J147" s="1217"/>
      <c r="K147" s="1218"/>
      <c r="L147" s="557"/>
      <c r="M147" s="784" t="s">
        <v>31</v>
      </c>
      <c r="N147" s="130"/>
      <c r="O147" s="193"/>
      <c r="P147" s="248"/>
      <c r="Q147" s="193"/>
      <c r="R147" s="261">
        <v>0</v>
      </c>
      <c r="T147" s="430"/>
    </row>
    <row r="148" spans="1:23" ht="11.25" customHeight="1">
      <c r="E148" s="740"/>
      <c r="F148" s="740"/>
      <c r="G148" s="740"/>
      <c r="H148" s="894"/>
      <c r="I148" s="1149"/>
      <c r="J148" s="1217"/>
      <c r="K148" s="1211"/>
      <c r="L148" s="785"/>
      <c r="M148" s="786"/>
      <c r="N148" s="45" t="s">
        <v>1859</v>
      </c>
      <c r="O148" s="45"/>
      <c r="P148" s="45"/>
      <c r="Q148" s="45"/>
      <c r="R148" s="61"/>
      <c r="T148" s="430"/>
    </row>
    <row r="150" spans="1:23" ht="11.25" customHeight="1">
      <c r="E150" s="787"/>
      <c r="H150" s="788"/>
      <c r="I150" s="740"/>
      <c r="J150" s="742"/>
      <c r="K150" s="742"/>
      <c r="L150" s="557"/>
      <c r="M150" s="784" t="s">
        <v>31</v>
      </c>
      <c r="N150" s="130"/>
      <c r="O150" s="193"/>
      <c r="P150" s="248"/>
      <c r="Q150" s="193"/>
      <c r="R150" s="261">
        <v>0</v>
      </c>
      <c r="T150" s="430"/>
    </row>
    <row r="152" spans="1:23" ht="17.25" customHeight="1">
      <c r="A152" s="692" t="s">
        <v>1861</v>
      </c>
    </row>
    <row r="153" spans="1:23" ht="17.25" customHeight="1"/>
    <row r="154" spans="1:23" ht="17.25" customHeight="1">
      <c r="D154" s="1208"/>
      <c r="E154" s="903"/>
      <c r="F154" s="912"/>
      <c r="G154" s="1212"/>
      <c r="H154" s="1208"/>
      <c r="I154" s="1208">
        <v>1</v>
      </c>
      <c r="J154" s="1226"/>
      <c r="K154" s="948" t="s">
        <v>17</v>
      </c>
      <c r="L154" s="896"/>
      <c r="M154" s="896" t="s">
        <v>31</v>
      </c>
      <c r="N154" s="1224" t="str">
        <f>IF(Z154="","",INDEX(TERRITORY_MR_LIST,MATCH(Z154,TERRITORY_LIST_ID,0)))</f>
        <v/>
      </c>
      <c r="O154" s="948" t="s">
        <v>17</v>
      </c>
      <c r="P154" s="896"/>
      <c r="Q154" s="896" t="s">
        <v>31</v>
      </c>
      <c r="R154" s="1211" t="s">
        <v>4</v>
      </c>
      <c r="S154" s="895" t="s">
        <v>17</v>
      </c>
      <c r="T154" s="55"/>
      <c r="U154" s="55" t="s">
        <v>31</v>
      </c>
      <c r="V154" s="130" t="s">
        <v>4</v>
      </c>
      <c r="W154" s="156"/>
    </row>
    <row r="155" spans="1:23" ht="17.25" customHeight="1">
      <c r="D155" s="1208"/>
      <c r="E155" s="903"/>
      <c r="F155" s="913"/>
      <c r="G155" s="1212"/>
      <c r="H155" s="1208"/>
      <c r="I155" s="1208"/>
      <c r="J155" s="1226"/>
      <c r="K155" s="949"/>
      <c r="L155" s="896"/>
      <c r="M155" s="896"/>
      <c r="N155" s="1224"/>
      <c r="O155" s="949"/>
      <c r="P155" s="896"/>
      <c r="Q155" s="896"/>
      <c r="R155" s="1211"/>
      <c r="S155" s="895"/>
      <c r="T155" s="789"/>
      <c r="U155" s="790"/>
      <c r="V155" s="790" t="s">
        <v>337</v>
      </c>
      <c r="W155" s="791"/>
    </row>
    <row r="156" spans="1:23" ht="17.25" customHeight="1">
      <c r="D156" s="911"/>
      <c r="E156" s="904"/>
      <c r="F156" s="913"/>
      <c r="G156" s="1213"/>
      <c r="H156" s="911"/>
      <c r="I156" s="911"/>
      <c r="J156" s="1227"/>
      <c r="K156" s="949"/>
      <c r="L156" s="911"/>
      <c r="M156" s="911"/>
      <c r="N156" s="1225"/>
      <c r="O156" s="900"/>
      <c r="P156" s="789"/>
      <c r="Q156" s="790"/>
      <c r="R156" s="790" t="s">
        <v>338</v>
      </c>
      <c r="S156" s="792"/>
      <c r="T156" s="792"/>
      <c r="U156" s="792"/>
      <c r="V156" s="792"/>
      <c r="W156" s="791"/>
    </row>
    <row r="157" spans="1:23" ht="17.25" customHeight="1">
      <c r="D157" s="911"/>
      <c r="E157" s="904"/>
      <c r="F157" s="913"/>
      <c r="G157" s="1213"/>
      <c r="H157" s="911"/>
      <c r="I157" s="911"/>
      <c r="J157" s="1227"/>
      <c r="K157" s="900"/>
      <c r="L157" s="789"/>
      <c r="M157" s="790"/>
      <c r="N157" s="790" t="s">
        <v>339</v>
      </c>
      <c r="O157" s="790"/>
      <c r="P157" s="790"/>
      <c r="Q157" s="790"/>
      <c r="R157" s="790"/>
      <c r="S157" s="792"/>
      <c r="T157" s="792"/>
      <c r="U157" s="792"/>
      <c r="V157" s="792"/>
      <c r="W157" s="791"/>
    </row>
    <row r="158" spans="1:23" ht="17.25" customHeight="1">
      <c r="D158" s="911"/>
      <c r="E158" s="904"/>
      <c r="F158" s="914"/>
      <c r="G158" s="1213"/>
      <c r="H158" s="789"/>
      <c r="I158" s="790"/>
      <c r="J158" s="790" t="s">
        <v>371</v>
      </c>
      <c r="K158" s="790"/>
      <c r="L158" s="790"/>
      <c r="M158" s="790"/>
      <c r="N158" s="790"/>
      <c r="O158" s="790"/>
      <c r="P158" s="790"/>
      <c r="Q158" s="790"/>
      <c r="R158" s="790"/>
      <c r="S158" s="792"/>
      <c r="T158" s="792"/>
      <c r="U158" s="792"/>
      <c r="V158" s="792"/>
      <c r="W158" s="791"/>
    </row>
    <row r="159" spans="1:23" ht="17.25" customHeight="1"/>
    <row r="160" spans="1:23" ht="17.25" customHeight="1">
      <c r="D160" s="740"/>
      <c r="E160" s="793"/>
      <c r="F160" s="77"/>
      <c r="G160" s="794"/>
      <c r="H160" s="1208"/>
      <c r="I160" s="1208">
        <v>1</v>
      </c>
      <c r="J160" s="1226"/>
      <c r="K160" s="948" t="s">
        <v>17</v>
      </c>
      <c r="L160" s="896"/>
      <c r="M160" s="896" t="s">
        <v>31</v>
      </c>
      <c r="N160" s="1224" t="str">
        <f>IF(Z160="","",INDEX(TERRITORY_MR_LIST,MATCH(Z160,TERRITORY_LIST_ID,0)))</f>
        <v/>
      </c>
      <c r="O160" s="948" t="s">
        <v>17</v>
      </c>
      <c r="P160" s="896"/>
      <c r="Q160" s="896" t="s">
        <v>31</v>
      </c>
      <c r="R160" s="1211" t="s">
        <v>4</v>
      </c>
      <c r="S160" s="895" t="s">
        <v>17</v>
      </c>
      <c r="T160" s="55"/>
      <c r="U160" s="55" t="s">
        <v>31</v>
      </c>
      <c r="V160" s="130" t="s">
        <v>4</v>
      </c>
      <c r="W160" s="156"/>
    </row>
    <row r="161" spans="1:23" ht="17.25" customHeight="1">
      <c r="D161" s="740"/>
      <c r="E161" s="793"/>
      <c r="F161" s="77"/>
      <c r="G161" s="794"/>
      <c r="H161" s="1208"/>
      <c r="I161" s="1208"/>
      <c r="J161" s="1226"/>
      <c r="K161" s="949"/>
      <c r="L161" s="896"/>
      <c r="M161" s="896"/>
      <c r="N161" s="1224"/>
      <c r="O161" s="949"/>
      <c r="P161" s="896"/>
      <c r="Q161" s="896"/>
      <c r="R161" s="1211"/>
      <c r="S161" s="895"/>
      <c r="T161" s="789"/>
      <c r="U161" s="790"/>
      <c r="V161" s="790" t="s">
        <v>337</v>
      </c>
      <c r="W161" s="791"/>
    </row>
    <row r="162" spans="1:23" ht="17.25" customHeight="1">
      <c r="D162" s="740"/>
      <c r="E162" s="793"/>
      <c r="F162" s="77"/>
      <c r="G162" s="794"/>
      <c r="H162" s="911"/>
      <c r="I162" s="911"/>
      <c r="J162" s="1227"/>
      <c r="K162" s="949"/>
      <c r="L162" s="911"/>
      <c r="M162" s="911"/>
      <c r="N162" s="1225"/>
      <c r="O162" s="900"/>
      <c r="P162" s="789"/>
      <c r="Q162" s="790"/>
      <c r="R162" s="790" t="s">
        <v>338</v>
      </c>
      <c r="S162" s="792"/>
      <c r="T162" s="792"/>
      <c r="U162" s="792"/>
      <c r="V162" s="792"/>
      <c r="W162" s="791"/>
    </row>
    <row r="163" spans="1:23" ht="17.25" customHeight="1">
      <c r="D163" s="740"/>
      <c r="E163" s="793"/>
      <c r="F163" s="77"/>
      <c r="G163" s="794"/>
      <c r="H163" s="911"/>
      <c r="I163" s="911"/>
      <c r="J163" s="1227"/>
      <c r="K163" s="900"/>
      <c r="L163" s="789"/>
      <c r="M163" s="790"/>
      <c r="N163" s="790" t="s">
        <v>339</v>
      </c>
      <c r="O163" s="790"/>
      <c r="P163" s="790"/>
      <c r="Q163" s="790"/>
      <c r="R163" s="790"/>
      <c r="S163" s="792"/>
      <c r="T163" s="792"/>
      <c r="U163" s="792"/>
      <c r="V163" s="792"/>
      <c r="W163" s="791"/>
    </row>
    <row r="164" spans="1:23" ht="17.25" customHeight="1"/>
    <row r="165" spans="1:23" ht="17.25" customHeight="1">
      <c r="D165" s="740"/>
      <c r="E165" s="793"/>
      <c r="F165" s="77"/>
      <c r="G165" s="794"/>
      <c r="H165" s="740"/>
      <c r="I165" s="740"/>
      <c r="J165" s="795"/>
      <c r="K165" s="796"/>
      <c r="L165" s="896"/>
      <c r="M165" s="896" t="s">
        <v>31</v>
      </c>
      <c r="N165" s="1224" t="str">
        <f>IF(Z165="","",INDEX(TERRITORY_MR_LIST,MATCH(Z165,TERRITORY_LIST_ID,0)))</f>
        <v/>
      </c>
      <c r="O165" s="948" t="s">
        <v>17</v>
      </c>
      <c r="P165" s="896"/>
      <c r="Q165" s="896" t="s">
        <v>31</v>
      </c>
      <c r="R165" s="1211" t="s">
        <v>4</v>
      </c>
      <c r="S165" s="895" t="s">
        <v>17</v>
      </c>
      <c r="T165" s="55"/>
      <c r="U165" s="55" t="s">
        <v>31</v>
      </c>
      <c r="V165" s="130" t="s">
        <v>4</v>
      </c>
      <c r="W165" s="156"/>
    </row>
    <row r="166" spans="1:23" ht="17.25" customHeight="1">
      <c r="D166" s="740"/>
      <c r="E166" s="793"/>
      <c r="F166" s="77"/>
      <c r="G166" s="794"/>
      <c r="H166" s="740"/>
      <c r="I166" s="740"/>
      <c r="J166" s="795"/>
      <c r="K166" s="796"/>
      <c r="L166" s="896"/>
      <c r="M166" s="896"/>
      <c r="N166" s="1224"/>
      <c r="O166" s="949"/>
      <c r="P166" s="896"/>
      <c r="Q166" s="896"/>
      <c r="R166" s="1211"/>
      <c r="S166" s="895"/>
      <c r="T166" s="789"/>
      <c r="U166" s="790"/>
      <c r="V166" s="790" t="s">
        <v>337</v>
      </c>
      <c r="W166" s="791"/>
    </row>
    <row r="167" spans="1:23" ht="17.25" customHeight="1">
      <c r="D167" s="740"/>
      <c r="E167" s="793"/>
      <c r="F167" s="77"/>
      <c r="G167" s="794"/>
      <c r="H167" s="740"/>
      <c r="I167" s="740"/>
      <c r="J167" s="795"/>
      <c r="K167" s="796"/>
      <c r="L167" s="911"/>
      <c r="M167" s="911"/>
      <c r="N167" s="1225"/>
      <c r="O167" s="900"/>
      <c r="P167" s="789"/>
      <c r="Q167" s="790"/>
      <c r="R167" s="790" t="s">
        <v>338</v>
      </c>
      <c r="S167" s="792"/>
      <c r="T167" s="792"/>
      <c r="U167" s="792"/>
      <c r="V167" s="792"/>
      <c r="W167" s="791"/>
    </row>
    <row r="168" spans="1:23" ht="17.25" customHeight="1"/>
    <row r="169" spans="1:23" ht="17.25" customHeight="1">
      <c r="D169" s="740"/>
      <c r="E169" s="793"/>
      <c r="F169" s="77"/>
      <c r="G169" s="794"/>
      <c r="H169" s="740"/>
      <c r="I169" s="740"/>
      <c r="J169" s="795"/>
      <c r="K169" s="796"/>
      <c r="L169" s="797"/>
      <c r="M169" s="797"/>
      <c r="N169" s="798"/>
      <c r="O169" s="101"/>
      <c r="P169" s="896"/>
      <c r="Q169" s="896" t="s">
        <v>31</v>
      </c>
      <c r="R169" s="1211" t="s">
        <v>4</v>
      </c>
      <c r="S169" s="895" t="s">
        <v>17</v>
      </c>
      <c r="T169" s="55"/>
      <c r="U169" s="55" t="s">
        <v>31</v>
      </c>
      <c r="V169" s="130" t="s">
        <v>4</v>
      </c>
      <c r="W169" s="156"/>
    </row>
    <row r="170" spans="1:23" ht="17.25" customHeight="1">
      <c r="D170" s="740"/>
      <c r="E170" s="793"/>
      <c r="F170" s="77"/>
      <c r="G170" s="794"/>
      <c r="H170" s="740"/>
      <c r="I170" s="740"/>
      <c r="J170" s="795"/>
      <c r="K170" s="796"/>
      <c r="L170" s="797"/>
      <c r="M170" s="797"/>
      <c r="N170" s="798"/>
      <c r="O170" s="101"/>
      <c r="P170" s="896"/>
      <c r="Q170" s="896"/>
      <c r="R170" s="1211"/>
      <c r="S170" s="895"/>
      <c r="T170" s="789"/>
      <c r="U170" s="790"/>
      <c r="V170" s="790" t="s">
        <v>337</v>
      </c>
      <c r="W170" s="791"/>
    </row>
    <row r="171" spans="1:23" ht="17.25" customHeight="1"/>
    <row r="172" spans="1:23" ht="17.25" customHeight="1">
      <c r="D172" s="740"/>
      <c r="E172" s="793"/>
      <c r="F172" s="77"/>
      <c r="G172" s="794"/>
      <c r="H172" s="797"/>
      <c r="I172" s="797"/>
      <c r="J172" s="799"/>
      <c r="K172" s="794"/>
      <c r="L172" s="797"/>
      <c r="M172" s="797"/>
      <c r="N172" s="794"/>
      <c r="O172" s="794"/>
      <c r="P172" s="797"/>
      <c r="Q172" s="797"/>
      <c r="R172" s="800"/>
      <c r="S172" s="794"/>
      <c r="T172" s="55"/>
      <c r="U172" s="55" t="s">
        <v>31</v>
      </c>
      <c r="V172" s="130" t="s">
        <v>4</v>
      </c>
      <c r="W172" s="156"/>
    </row>
    <row r="174" spans="1:23" ht="17.25" customHeight="1">
      <c r="A174" s="692" t="s">
        <v>1862</v>
      </c>
    </row>
    <row r="175" spans="1:23" ht="17.25" customHeight="1"/>
    <row r="176" spans="1:23" ht="17.25" customHeight="1">
      <c r="D176" s="1208"/>
      <c r="E176" s="903"/>
      <c r="F176" s="912"/>
      <c r="G176" s="1212"/>
      <c r="H176" s="1208"/>
      <c r="I176" s="1208">
        <v>1</v>
      </c>
      <c r="J176" s="1226"/>
      <c r="K176" s="948" t="s">
        <v>17</v>
      </c>
      <c r="L176" s="896"/>
      <c r="M176" s="896" t="s">
        <v>31</v>
      </c>
      <c r="N176" s="1224" t="str">
        <f>IF(Z176="","",INDEX(TERRITORY_MR_LIST,MATCH(Z176,TERRITORY_LIST_ID,0)))</f>
        <v/>
      </c>
      <c r="O176" s="948" t="s">
        <v>17</v>
      </c>
      <c r="P176" s="896"/>
      <c r="Q176" s="896" t="s">
        <v>31</v>
      </c>
      <c r="R176" s="1211" t="s">
        <v>4</v>
      </c>
      <c r="S176" s="1113" t="s">
        <v>3</v>
      </c>
      <c r="T176" s="347"/>
      <c r="U176" s="347" t="s">
        <v>31</v>
      </c>
      <c r="V176" s="801"/>
      <c r="W176" s="1226"/>
    </row>
    <row r="177" spans="4:23" ht="17.25" customHeight="1">
      <c r="D177" s="1208"/>
      <c r="E177" s="903"/>
      <c r="F177" s="913"/>
      <c r="G177" s="1212"/>
      <c r="H177" s="1208"/>
      <c r="I177" s="1208"/>
      <c r="J177" s="1226"/>
      <c r="K177" s="949"/>
      <c r="L177" s="896"/>
      <c r="M177" s="896"/>
      <c r="N177" s="1224"/>
      <c r="O177" s="949"/>
      <c r="P177" s="896"/>
      <c r="Q177" s="896"/>
      <c r="R177" s="1211"/>
      <c r="S177" s="1113"/>
      <c r="T177" s="802"/>
      <c r="U177" s="803"/>
      <c r="V177" s="803"/>
      <c r="W177" s="1226"/>
    </row>
    <row r="178" spans="4:23" ht="17.25" customHeight="1">
      <c r="D178" s="911"/>
      <c r="E178" s="904"/>
      <c r="F178" s="913"/>
      <c r="G178" s="1213"/>
      <c r="H178" s="911"/>
      <c r="I178" s="911"/>
      <c r="J178" s="1227"/>
      <c r="K178" s="949"/>
      <c r="L178" s="911"/>
      <c r="M178" s="911"/>
      <c r="N178" s="1225"/>
      <c r="O178" s="900"/>
      <c r="P178" s="789"/>
      <c r="Q178" s="790"/>
      <c r="R178" s="790" t="s">
        <v>338</v>
      </c>
      <c r="S178" s="792"/>
      <c r="T178" s="792"/>
      <c r="U178" s="792"/>
      <c r="V178" s="792"/>
      <c r="W178" s="804"/>
    </row>
    <row r="179" spans="4:23" ht="17.25" customHeight="1">
      <c r="D179" s="911"/>
      <c r="E179" s="904"/>
      <c r="F179" s="913"/>
      <c r="G179" s="1213"/>
      <c r="H179" s="911"/>
      <c r="I179" s="911"/>
      <c r="J179" s="1227"/>
      <c r="K179" s="900"/>
      <c r="L179" s="789"/>
      <c r="M179" s="790"/>
      <c r="N179" s="790" t="s">
        <v>339</v>
      </c>
      <c r="O179" s="790"/>
      <c r="P179" s="790"/>
      <c r="Q179" s="790"/>
      <c r="R179" s="790"/>
      <c r="S179" s="792"/>
      <c r="T179" s="792"/>
      <c r="U179" s="792"/>
      <c r="V179" s="792"/>
      <c r="W179" s="791"/>
    </row>
    <row r="180" spans="4:23" ht="17.25" customHeight="1">
      <c r="D180" s="911"/>
      <c r="E180" s="904"/>
      <c r="F180" s="914"/>
      <c r="G180" s="1213"/>
      <c r="H180" s="789"/>
      <c r="I180" s="790"/>
      <c r="J180" s="790" t="s">
        <v>371</v>
      </c>
      <c r="K180" s="790"/>
      <c r="L180" s="790"/>
      <c r="M180" s="790"/>
      <c r="N180" s="790"/>
      <c r="O180" s="790"/>
      <c r="P180" s="790"/>
      <c r="Q180" s="790"/>
      <c r="R180" s="790"/>
      <c r="S180" s="792"/>
      <c r="T180" s="792"/>
      <c r="U180" s="792"/>
      <c r="V180" s="792"/>
      <c r="W180" s="791"/>
    </row>
    <row r="181" spans="4:23" ht="17.25" customHeight="1"/>
    <row r="182" spans="4:23" ht="17.25" customHeight="1">
      <c r="D182" s="740"/>
      <c r="E182" s="793"/>
      <c r="F182" s="77"/>
      <c r="G182" s="794"/>
      <c r="H182" s="1208"/>
      <c r="I182" s="1208">
        <v>1</v>
      </c>
      <c r="J182" s="1226"/>
      <c r="K182" s="948" t="s">
        <v>17</v>
      </c>
      <c r="L182" s="896"/>
      <c r="M182" s="896" t="s">
        <v>31</v>
      </c>
      <c r="N182" s="1224" t="str">
        <f>IF(Z182="","",INDEX(TERRITORY_MR_LIST,MATCH(Z182,TERRITORY_LIST_ID,0)))</f>
        <v/>
      </c>
      <c r="O182" s="948" t="s">
        <v>17</v>
      </c>
      <c r="P182" s="896"/>
      <c r="Q182" s="896" t="s">
        <v>31</v>
      </c>
      <c r="R182" s="1211" t="s">
        <v>4</v>
      </c>
      <c r="S182" s="1113" t="s">
        <v>3</v>
      </c>
      <c r="T182" s="347"/>
      <c r="U182" s="347" t="s">
        <v>31</v>
      </c>
      <c r="V182" s="801"/>
      <c r="W182" s="1226"/>
    </row>
    <row r="183" spans="4:23" ht="17.25" customHeight="1">
      <c r="D183" s="740"/>
      <c r="E183" s="793"/>
      <c r="F183" s="77"/>
      <c r="G183" s="794"/>
      <c r="H183" s="1208"/>
      <c r="I183" s="1208"/>
      <c r="J183" s="1226"/>
      <c r="K183" s="949"/>
      <c r="L183" s="896"/>
      <c r="M183" s="896"/>
      <c r="N183" s="1224"/>
      <c r="O183" s="949"/>
      <c r="P183" s="896"/>
      <c r="Q183" s="896"/>
      <c r="R183" s="1211"/>
      <c r="S183" s="1113"/>
      <c r="T183" s="802"/>
      <c r="U183" s="803"/>
      <c r="V183" s="803"/>
      <c r="W183" s="1226"/>
    </row>
    <row r="184" spans="4:23" ht="17.25" customHeight="1">
      <c r="D184" s="740"/>
      <c r="E184" s="793"/>
      <c r="F184" s="77"/>
      <c r="G184" s="794"/>
      <c r="H184" s="911"/>
      <c r="I184" s="911"/>
      <c r="J184" s="1227"/>
      <c r="K184" s="949"/>
      <c r="L184" s="911"/>
      <c r="M184" s="911"/>
      <c r="N184" s="1225"/>
      <c r="O184" s="900"/>
      <c r="P184" s="789"/>
      <c r="Q184" s="790"/>
      <c r="R184" s="790" t="s">
        <v>338</v>
      </c>
      <c r="S184" s="792"/>
      <c r="T184" s="792"/>
      <c r="U184" s="792"/>
      <c r="V184" s="792"/>
      <c r="W184" s="804"/>
    </row>
    <row r="185" spans="4:23" ht="17.25" customHeight="1">
      <c r="D185" s="740"/>
      <c r="E185" s="793"/>
      <c r="F185" s="77"/>
      <c r="G185" s="794"/>
      <c r="H185" s="911"/>
      <c r="I185" s="911"/>
      <c r="J185" s="1227"/>
      <c r="K185" s="900"/>
      <c r="L185" s="789"/>
      <c r="M185" s="790"/>
      <c r="N185" s="790" t="s">
        <v>339</v>
      </c>
      <c r="O185" s="790"/>
      <c r="P185" s="790"/>
      <c r="Q185" s="790"/>
      <c r="R185" s="790"/>
      <c r="S185" s="792"/>
      <c r="T185" s="792"/>
      <c r="U185" s="792"/>
      <c r="V185" s="792"/>
      <c r="W185" s="791"/>
    </row>
    <row r="186" spans="4:23" ht="17.25" customHeight="1"/>
    <row r="187" spans="4:23" ht="17.25" customHeight="1">
      <c r="D187" s="740"/>
      <c r="E187" s="793"/>
      <c r="F187" s="77"/>
      <c r="G187" s="794"/>
      <c r="H187" s="740"/>
      <c r="I187" s="740"/>
      <c r="J187" s="805"/>
      <c r="K187" s="794"/>
      <c r="L187" s="896"/>
      <c r="M187" s="896" t="s">
        <v>31</v>
      </c>
      <c r="N187" s="1224" t="str">
        <f>IF(Z187="","",INDEX(TERRITORY_MR_LIST,MATCH(Z187,TERRITORY_LIST_ID,0)))</f>
        <v/>
      </c>
      <c r="O187" s="948" t="s">
        <v>17</v>
      </c>
      <c r="P187" s="896"/>
      <c r="Q187" s="896" t="s">
        <v>31</v>
      </c>
      <c r="R187" s="1211" t="s">
        <v>4</v>
      </c>
      <c r="S187" s="1113" t="s">
        <v>3</v>
      </c>
      <c r="T187" s="347"/>
      <c r="U187" s="347" t="s">
        <v>31</v>
      </c>
      <c r="V187" s="801"/>
      <c r="W187" s="1226"/>
    </row>
    <row r="188" spans="4:23" ht="17.25" customHeight="1">
      <c r="D188" s="740"/>
      <c r="E188" s="793"/>
      <c r="F188" s="77"/>
      <c r="G188" s="794"/>
      <c r="H188" s="740"/>
      <c r="I188" s="740"/>
      <c r="J188" s="805"/>
      <c r="K188" s="794"/>
      <c r="L188" s="896"/>
      <c r="M188" s="896"/>
      <c r="N188" s="1224"/>
      <c r="O188" s="949"/>
      <c r="P188" s="896"/>
      <c r="Q188" s="896"/>
      <c r="R188" s="1211"/>
      <c r="S188" s="1113"/>
      <c r="T188" s="802"/>
      <c r="U188" s="803"/>
      <c r="V188" s="803"/>
      <c r="W188" s="1226"/>
    </row>
    <row r="189" spans="4:23" ht="17.25" customHeight="1">
      <c r="D189" s="740"/>
      <c r="E189" s="793"/>
      <c r="F189" s="77"/>
      <c r="G189" s="794"/>
      <c r="H189" s="740"/>
      <c r="I189" s="740"/>
      <c r="J189" s="805"/>
      <c r="K189" s="794"/>
      <c r="L189" s="911"/>
      <c r="M189" s="911"/>
      <c r="N189" s="1225"/>
      <c r="O189" s="900"/>
      <c r="P189" s="789"/>
      <c r="Q189" s="790"/>
      <c r="R189" s="790" t="s">
        <v>338</v>
      </c>
      <c r="S189" s="792"/>
      <c r="T189" s="792"/>
      <c r="U189" s="792"/>
      <c r="V189" s="792"/>
      <c r="W189" s="804"/>
    </row>
    <row r="190" spans="4:23" ht="17.25" customHeight="1"/>
    <row r="191" spans="4:23" ht="17.25" customHeight="1">
      <c r="D191" s="740"/>
      <c r="E191" s="793"/>
      <c r="F191" s="77"/>
      <c r="G191" s="794"/>
      <c r="H191" s="740"/>
      <c r="I191" s="740"/>
      <c r="J191" s="805"/>
      <c r="K191" s="794"/>
      <c r="L191" s="740"/>
      <c r="M191" s="740"/>
      <c r="N191" s="798"/>
      <c r="O191" s="101"/>
      <c r="P191" s="896"/>
      <c r="Q191" s="896" t="s">
        <v>31</v>
      </c>
      <c r="R191" s="1211" t="s">
        <v>4</v>
      </c>
      <c r="S191" s="1113" t="s">
        <v>3</v>
      </c>
      <c r="T191" s="347"/>
      <c r="U191" s="347" t="s">
        <v>31</v>
      </c>
      <c r="V191" s="801"/>
      <c r="W191" s="1226"/>
    </row>
    <row r="192" spans="4:23" ht="17.25" customHeight="1">
      <c r="D192" s="740"/>
      <c r="E192" s="793"/>
      <c r="F192" s="77"/>
      <c r="G192" s="794"/>
      <c r="H192" s="740"/>
      <c r="I192" s="740"/>
      <c r="J192" s="805"/>
      <c r="K192" s="794"/>
      <c r="L192" s="740"/>
      <c r="M192" s="740"/>
      <c r="N192" s="798"/>
      <c r="O192" s="101"/>
      <c r="P192" s="896"/>
      <c r="Q192" s="896"/>
      <c r="R192" s="1211"/>
      <c r="S192" s="1113"/>
      <c r="T192" s="802"/>
      <c r="U192" s="803"/>
      <c r="V192" s="803"/>
      <c r="W192" s="1226"/>
    </row>
    <row r="193" spans="1:35" ht="17.25" customHeight="1"/>
    <row r="194" spans="1:35" ht="16.5" customHeight="1">
      <c r="D194" s="1208"/>
      <c r="E194" s="945"/>
      <c r="F194" s="945"/>
      <c r="G194" s="894"/>
      <c r="H194" s="905"/>
      <c r="I194" s="907"/>
      <c r="J194" s="908"/>
      <c r="K194" s="902"/>
      <c r="L194" s="902"/>
      <c r="M194" s="902"/>
      <c r="N194" s="909"/>
      <c r="O194" s="902"/>
      <c r="P194" s="902"/>
      <c r="Q194" s="902"/>
      <c r="R194" s="901"/>
      <c r="S194" s="902"/>
      <c r="T194" s="73"/>
      <c r="U194" s="73"/>
      <c r="V194" s="74"/>
      <c r="W194" s="75"/>
    </row>
    <row r="195" spans="1:35" ht="16.5" customHeight="1">
      <c r="D195" s="1208"/>
      <c r="E195" s="945"/>
      <c r="F195" s="945"/>
      <c r="G195" s="894"/>
      <c r="H195" s="906"/>
      <c r="I195" s="885"/>
      <c r="J195" s="885"/>
      <c r="K195" s="885"/>
      <c r="L195" s="885"/>
      <c r="M195" s="885"/>
      <c r="N195" s="885"/>
      <c r="O195" s="885"/>
      <c r="P195" s="885"/>
      <c r="Q195" s="885"/>
      <c r="R195" s="885"/>
      <c r="S195" s="885"/>
      <c r="W195" s="78"/>
    </row>
    <row r="196" spans="1:35" ht="17.25" customHeight="1">
      <c r="D196" s="1208"/>
      <c r="E196" s="945"/>
      <c r="F196" s="945"/>
      <c r="G196" s="894"/>
      <c r="H196" s="906"/>
      <c r="I196" s="885"/>
      <c r="J196" s="885"/>
      <c r="K196" s="885"/>
      <c r="L196" s="885"/>
      <c r="M196" s="885"/>
      <c r="N196" s="885"/>
      <c r="O196" s="885"/>
      <c r="W196" s="78"/>
    </row>
    <row r="197" spans="1:35" ht="17.25" customHeight="1">
      <c r="D197" s="1208"/>
      <c r="E197" s="945"/>
      <c r="F197" s="945"/>
      <c r="G197" s="894"/>
      <c r="H197" s="906"/>
      <c r="I197" s="885"/>
      <c r="J197" s="885"/>
      <c r="K197" s="885"/>
      <c r="W197" s="78"/>
    </row>
    <row r="198" spans="1:35" ht="17.25" customHeight="1">
      <c r="D198" s="1208"/>
      <c r="E198" s="945"/>
      <c r="F198" s="945"/>
      <c r="G198" s="894"/>
      <c r="H198" s="80"/>
      <c r="I198" s="81"/>
      <c r="J198" s="81"/>
      <c r="K198" s="81"/>
      <c r="L198" s="81"/>
      <c r="M198" s="81"/>
      <c r="N198" s="81"/>
      <c r="O198" s="81"/>
      <c r="P198" s="81"/>
      <c r="Q198" s="81"/>
      <c r="R198" s="81"/>
      <c r="S198" s="82"/>
      <c r="T198" s="82"/>
      <c r="U198" s="82"/>
      <c r="V198" s="82"/>
      <c r="W198" s="83"/>
    </row>
    <row r="200" spans="1:35" ht="17.25" customHeight="1">
      <c r="A200" s="692" t="s">
        <v>1863</v>
      </c>
    </row>
    <row r="201" spans="1:35" ht="17.25" customHeight="1"/>
    <row r="202" spans="1:35" ht="15" customHeight="1">
      <c r="D202" s="1250"/>
      <c r="E202" s="940"/>
      <c r="F202" s="940"/>
      <c r="G202" s="948"/>
      <c r="H202" s="806"/>
      <c r="I202" s="1251">
        <v>1</v>
      </c>
      <c r="J202" s="1226"/>
      <c r="K202" s="687"/>
      <c r="L202" s="948" t="s">
        <v>17</v>
      </c>
      <c r="M202" s="948" t="s">
        <v>17</v>
      </c>
      <c r="N202" s="806"/>
      <c r="O202" s="896" t="s">
        <v>31</v>
      </c>
      <c r="P202" s="1257"/>
      <c r="Q202" s="687"/>
      <c r="R202" s="948" t="s">
        <v>17</v>
      </c>
      <c r="S202" s="948" t="s">
        <v>17</v>
      </c>
      <c r="T202" s="807"/>
      <c r="U202" s="896" t="s">
        <v>31</v>
      </c>
      <c r="V202" s="1247" t="str">
        <f>IF(AK202="","",INDEX(TERRITORY_MR_LIST,MATCH(AK202,TERRITORY_LIST_ID,0)))</f>
        <v/>
      </c>
      <c r="W202" s="57"/>
      <c r="X202" s="948" t="s">
        <v>17</v>
      </c>
      <c r="Y202" s="948" t="s">
        <v>3</v>
      </c>
      <c r="Z202" s="806"/>
      <c r="AA202" s="896" t="s">
        <v>31</v>
      </c>
      <c r="AB202" s="1249"/>
      <c r="AC202" s="105"/>
      <c r="AD202" s="948" t="s">
        <v>17</v>
      </c>
      <c r="AE202" s="948" t="s">
        <v>3</v>
      </c>
      <c r="AF202" s="57"/>
      <c r="AG202" s="55" t="s">
        <v>31</v>
      </c>
      <c r="AH202" s="741"/>
      <c r="AI202" s="156"/>
    </row>
    <row r="203" spans="1:35" ht="15" customHeight="1">
      <c r="D203" s="1250"/>
      <c r="E203" s="940"/>
      <c r="F203" s="940"/>
      <c r="G203" s="949"/>
      <c r="H203" s="806"/>
      <c r="I203" s="1251"/>
      <c r="J203" s="1226"/>
      <c r="K203" s="808"/>
      <c r="L203" s="949"/>
      <c r="M203" s="949"/>
      <c r="N203" s="806"/>
      <c r="O203" s="896"/>
      <c r="P203" s="1257"/>
      <c r="Q203" s="809"/>
      <c r="R203" s="949"/>
      <c r="S203" s="949"/>
      <c r="T203" s="807"/>
      <c r="U203" s="896"/>
      <c r="V203" s="1248"/>
      <c r="W203" s="773"/>
      <c r="X203" s="949"/>
      <c r="Y203" s="949"/>
      <c r="Z203" s="806"/>
      <c r="AA203" s="896"/>
      <c r="AB203" s="1179"/>
      <c r="AC203" s="433"/>
      <c r="AD203" s="900"/>
      <c r="AE203" s="900"/>
      <c r="AF203" s="810"/>
      <c r="AG203" s="789"/>
      <c r="AH203" s="1253" t="s">
        <v>1864</v>
      </c>
      <c r="AI203" s="1254"/>
    </row>
    <row r="204" spans="1:35" ht="15" customHeight="1">
      <c r="D204" s="1250"/>
      <c r="E204" s="940"/>
      <c r="F204" s="940"/>
      <c r="G204" s="949"/>
      <c r="H204" s="806"/>
      <c r="I204" s="1251"/>
      <c r="J204" s="1226"/>
      <c r="K204" s="808"/>
      <c r="L204" s="949"/>
      <c r="M204" s="949"/>
      <c r="N204" s="806"/>
      <c r="O204" s="896"/>
      <c r="P204" s="1257"/>
      <c r="Q204" s="809"/>
      <c r="R204" s="949"/>
      <c r="S204" s="949"/>
      <c r="T204" s="807"/>
      <c r="U204" s="896"/>
      <c r="V204" s="1248"/>
      <c r="W204" s="773"/>
      <c r="X204" s="949"/>
      <c r="Y204" s="949"/>
      <c r="Z204" s="773"/>
      <c r="AA204" s="811"/>
      <c r="AB204" s="1255" t="s">
        <v>1865</v>
      </c>
      <c r="AC204" s="1255"/>
      <c r="AD204" s="1255"/>
      <c r="AE204" s="1255"/>
      <c r="AF204" s="1255"/>
      <c r="AG204" s="1255"/>
      <c r="AH204" s="1255"/>
      <c r="AI204" s="1256"/>
    </row>
    <row r="205" spans="1:35" ht="15" customHeight="1">
      <c r="D205" s="1250"/>
      <c r="E205" s="940"/>
      <c r="F205" s="940"/>
      <c r="G205" s="949"/>
      <c r="H205" s="806"/>
      <c r="I205" s="1251"/>
      <c r="J205" s="1226"/>
      <c r="K205" s="808"/>
      <c r="L205" s="949"/>
      <c r="M205" s="949"/>
      <c r="N205" s="806"/>
      <c r="O205" s="896"/>
      <c r="P205" s="1258"/>
      <c r="Q205" s="809"/>
      <c r="R205" s="949"/>
      <c r="S205" s="949"/>
      <c r="T205" s="812"/>
      <c r="U205" s="813"/>
      <c r="V205" s="1253" t="s">
        <v>35</v>
      </c>
      <c r="W205" s="1253"/>
      <c r="X205" s="1253"/>
      <c r="Y205" s="1253"/>
      <c r="Z205" s="1253"/>
      <c r="AA205" s="1253"/>
      <c r="AB205" s="1253"/>
      <c r="AC205" s="1253"/>
      <c r="AD205" s="1253"/>
      <c r="AE205" s="1253"/>
      <c r="AF205" s="1253"/>
      <c r="AG205" s="1253"/>
      <c r="AH205" s="1253"/>
      <c r="AI205" s="1254"/>
    </row>
    <row r="206" spans="1:35" ht="11.25" customHeight="1">
      <c r="D206" s="1250"/>
      <c r="E206" s="940"/>
      <c r="F206" s="940"/>
      <c r="G206" s="949"/>
      <c r="H206" s="797"/>
      <c r="I206" s="1251"/>
      <c r="J206" s="1252"/>
      <c r="K206" s="808"/>
      <c r="L206" s="949"/>
      <c r="M206" s="949"/>
      <c r="N206" s="797"/>
      <c r="O206" s="811"/>
      <c r="P206" s="1253" t="s">
        <v>1866</v>
      </c>
      <c r="Q206" s="1253"/>
      <c r="R206" s="1253"/>
      <c r="S206" s="1253"/>
      <c r="T206" s="1253"/>
      <c r="U206" s="1253"/>
      <c r="V206" s="1253"/>
      <c r="W206" s="1253"/>
      <c r="X206" s="1253"/>
      <c r="Y206" s="1253"/>
      <c r="Z206" s="1253"/>
      <c r="AA206" s="1253"/>
      <c r="AB206" s="1253"/>
      <c r="AC206" s="1253"/>
      <c r="AD206" s="1253"/>
      <c r="AE206" s="1253"/>
      <c r="AF206" s="1253"/>
      <c r="AG206" s="1253"/>
      <c r="AH206" s="1253"/>
      <c r="AI206" s="1254"/>
    </row>
    <row r="207" spans="1:35" ht="11.25" customHeight="1">
      <c r="D207" s="1250"/>
      <c r="E207" s="940"/>
      <c r="F207" s="940"/>
      <c r="G207" s="900"/>
      <c r="H207" s="814"/>
      <c r="I207" s="815"/>
      <c r="J207" s="1253" t="s">
        <v>371</v>
      </c>
      <c r="K207" s="1253"/>
      <c r="L207" s="1253"/>
      <c r="M207" s="1253"/>
      <c r="N207" s="1253"/>
      <c r="O207" s="1253"/>
      <c r="P207" s="1253"/>
      <c r="Q207" s="1253"/>
      <c r="R207" s="1253"/>
      <c r="S207" s="1253"/>
      <c r="T207" s="1253"/>
      <c r="U207" s="1253"/>
      <c r="V207" s="1253"/>
      <c r="W207" s="1253"/>
      <c r="X207" s="1253"/>
      <c r="Y207" s="1253"/>
      <c r="Z207" s="1253"/>
      <c r="AA207" s="1253"/>
      <c r="AB207" s="1253"/>
      <c r="AC207" s="1253"/>
      <c r="AD207" s="1253"/>
      <c r="AE207" s="1253"/>
      <c r="AF207" s="1253"/>
      <c r="AG207" s="1253"/>
      <c r="AH207" s="1253"/>
      <c r="AI207" s="1254"/>
    </row>
    <row r="208" spans="1:35" ht="17.25" customHeight="1"/>
    <row r="209" spans="4:35" ht="15" customHeight="1">
      <c r="D209" s="1250"/>
      <c r="E209" s="940"/>
      <c r="F209" s="940"/>
      <c r="G209" s="945"/>
      <c r="H209" s="97"/>
      <c r="I209" s="950"/>
      <c r="J209" s="908"/>
      <c r="K209" s="72"/>
      <c r="L209" s="902"/>
      <c r="M209" s="902"/>
      <c r="N209" s="98"/>
      <c r="O209" s="902"/>
      <c r="P209" s="908"/>
      <c r="Q209" s="72"/>
      <c r="R209" s="902"/>
      <c r="S209" s="902"/>
      <c r="T209" s="99"/>
      <c r="U209" s="902"/>
      <c r="V209" s="908"/>
      <c r="W209" s="73"/>
      <c r="X209" s="902"/>
      <c r="Y209" s="902"/>
      <c r="Z209" s="98"/>
      <c r="AA209" s="902"/>
      <c r="AB209" s="908"/>
      <c r="AC209" s="100"/>
      <c r="AD209" s="902"/>
      <c r="AE209" s="902"/>
      <c r="AF209" s="73"/>
      <c r="AG209" s="73"/>
      <c r="AH209" s="98"/>
      <c r="AI209" s="75"/>
    </row>
    <row r="210" spans="4:35" ht="15" customHeight="1">
      <c r="D210" s="1250"/>
      <c r="E210" s="940"/>
      <c r="F210" s="940"/>
      <c r="G210" s="945"/>
      <c r="H210" s="102"/>
      <c r="I210" s="885"/>
      <c r="J210" s="885"/>
      <c r="L210" s="885"/>
      <c r="M210" s="885"/>
      <c r="O210" s="885"/>
      <c r="P210" s="885"/>
      <c r="R210" s="885"/>
      <c r="S210" s="885"/>
      <c r="U210" s="885"/>
      <c r="V210" s="885"/>
      <c r="X210" s="885"/>
      <c r="Y210" s="885"/>
      <c r="AA210" s="885"/>
      <c r="AB210" s="885"/>
      <c r="AD210" s="885"/>
      <c r="AE210" s="885"/>
      <c r="AH210" s="885"/>
      <c r="AI210" s="953"/>
    </row>
    <row r="211" spans="4:35" ht="15" customHeight="1">
      <c r="D211" s="1250"/>
      <c r="E211" s="940"/>
      <c r="F211" s="940"/>
      <c r="G211" s="945"/>
      <c r="H211" s="102"/>
      <c r="I211" s="885"/>
      <c r="J211" s="885"/>
      <c r="L211" s="885"/>
      <c r="M211" s="885"/>
      <c r="O211" s="885"/>
      <c r="P211" s="885"/>
      <c r="R211" s="885"/>
      <c r="S211" s="885"/>
      <c r="U211" s="885"/>
      <c r="V211" s="885"/>
      <c r="X211" s="885"/>
      <c r="Y211" s="885"/>
      <c r="AB211" s="885"/>
      <c r="AC211" s="885"/>
      <c r="AD211" s="885"/>
      <c r="AE211" s="885"/>
      <c r="AF211" s="885"/>
      <c r="AG211" s="885"/>
      <c r="AH211" s="885"/>
      <c r="AI211" s="953"/>
    </row>
    <row r="212" spans="4:35" ht="15" customHeight="1">
      <c r="D212" s="1250"/>
      <c r="E212" s="940"/>
      <c r="F212" s="940"/>
      <c r="G212" s="945"/>
      <c r="H212" s="102"/>
      <c r="I212" s="885"/>
      <c r="J212" s="885"/>
      <c r="L212" s="885"/>
      <c r="M212" s="885"/>
      <c r="O212" s="885"/>
      <c r="P212" s="885"/>
      <c r="R212" s="885"/>
      <c r="S212" s="885"/>
      <c r="V212" s="885"/>
      <c r="W212" s="885"/>
      <c r="X212" s="885"/>
      <c r="Y212" s="885"/>
      <c r="Z212" s="885"/>
      <c r="AA212" s="885"/>
      <c r="AB212" s="885"/>
      <c r="AC212" s="885"/>
      <c r="AD212" s="885"/>
      <c r="AE212" s="885"/>
      <c r="AF212" s="885"/>
      <c r="AG212" s="885"/>
      <c r="AH212" s="885"/>
      <c r="AI212" s="953"/>
    </row>
    <row r="213" spans="4:35" ht="11.25" customHeight="1">
      <c r="D213" s="1250"/>
      <c r="E213" s="940"/>
      <c r="F213" s="940"/>
      <c r="G213" s="945"/>
      <c r="H213" s="103"/>
      <c r="I213" s="885"/>
      <c r="J213" s="885"/>
      <c r="L213" s="885"/>
      <c r="M213" s="885"/>
      <c r="P213" s="885"/>
      <c r="Q213" s="885"/>
      <c r="R213" s="885"/>
      <c r="S213" s="885"/>
      <c r="T213" s="885"/>
      <c r="U213" s="885"/>
      <c r="V213" s="885"/>
      <c r="W213" s="885"/>
      <c r="X213" s="885"/>
      <c r="Y213" s="885"/>
      <c r="Z213" s="885"/>
      <c r="AA213" s="885"/>
      <c r="AB213" s="885"/>
      <c r="AC213" s="885"/>
      <c r="AD213" s="885"/>
      <c r="AE213" s="885"/>
      <c r="AF213" s="885"/>
      <c r="AG213" s="885"/>
      <c r="AH213" s="885"/>
      <c r="AI213" s="953"/>
    </row>
    <row r="214" spans="4:35" ht="11.25" customHeight="1">
      <c r="D214" s="1250"/>
      <c r="E214" s="940"/>
      <c r="F214" s="940"/>
      <c r="G214" s="954"/>
      <c r="H214" s="106"/>
      <c r="I214" s="107"/>
      <c r="J214" s="951"/>
      <c r="K214" s="951"/>
      <c r="L214" s="951"/>
      <c r="M214" s="951"/>
      <c r="N214" s="951"/>
      <c r="O214" s="951"/>
      <c r="P214" s="951"/>
      <c r="Q214" s="951"/>
      <c r="R214" s="951"/>
      <c r="S214" s="951"/>
      <c r="T214" s="951"/>
      <c r="U214" s="951"/>
      <c r="V214" s="951"/>
      <c r="W214" s="951"/>
      <c r="X214" s="951"/>
      <c r="Y214" s="951"/>
      <c r="Z214" s="951"/>
      <c r="AA214" s="951"/>
      <c r="AB214" s="951"/>
      <c r="AC214" s="951"/>
      <c r="AD214" s="951"/>
      <c r="AE214" s="951"/>
      <c r="AF214" s="951"/>
      <c r="AG214" s="951"/>
      <c r="AH214" s="951"/>
      <c r="AI214" s="952"/>
    </row>
    <row r="215" spans="4:35"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2" max="2" width="43.140625" hidden="1"/>
    <col min="4" max="8" width="36.42578125" customWidth="1"/>
  </cols>
  <sheetData>
    <row r="1" spans="1:8" ht="9" customHeight="1">
      <c r="A1" s="816" t="s">
        <v>1867</v>
      </c>
      <c r="B1" s="816"/>
      <c r="C1" s="817" t="s">
        <v>1868</v>
      </c>
      <c r="D1" s="818" t="s">
        <v>731</v>
      </c>
      <c r="E1" s="818" t="s">
        <v>777</v>
      </c>
      <c r="F1" s="818" t="s">
        <v>830</v>
      </c>
      <c r="G1" s="818" t="s">
        <v>817</v>
      </c>
      <c r="H1" s="818" t="s">
        <v>1543</v>
      </c>
    </row>
    <row r="2" spans="1:8" ht="9" customHeight="1">
      <c r="A2" s="819" t="s">
        <v>1869</v>
      </c>
      <c r="B2" s="819"/>
      <c r="C2" s="820" t="str">
        <f>INDEX(TEMPLATE_NUMBER_FORM_LIST,MATCH(TEMPLATE_SPHERE,TEMPLATE_SPHERE_LIST,0))</f>
        <v>10</v>
      </c>
      <c r="D2" s="819" t="s">
        <v>1392</v>
      </c>
      <c r="E2" s="819" t="s">
        <v>74</v>
      </c>
      <c r="F2" s="821" t="s">
        <v>74</v>
      </c>
      <c r="G2" s="819" t="s">
        <v>74</v>
      </c>
      <c r="H2" s="822"/>
    </row>
    <row r="3" spans="1:8" ht="63" customHeight="1">
      <c r="A3" s="816"/>
      <c r="B3" s="816" t="s">
        <v>31</v>
      </c>
      <c r="C3" s="820"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820" t="s">
        <v>1870</v>
      </c>
      <c r="E3" s="82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821"/>
      <c r="G3" s="822"/>
      <c r="H3" s="816"/>
    </row>
    <row r="4" spans="1:8" ht="243" customHeight="1">
      <c r="A4" s="816" t="s">
        <v>1871</v>
      </c>
      <c r="B4" s="816" t="s">
        <v>39</v>
      </c>
      <c r="C4" s="820" t="str">
        <f>IF(TEMPLATE_SPHERE="HEAT",D4,IF(TEMPLATE_SPHERE="TKO",H4,E4))</f>
        <v>Форма 1. Информация об организации, осуществляющей горячее водоснабжение (общая информация)</v>
      </c>
      <c r="D4" s="819" t="s">
        <v>1872</v>
      </c>
      <c r="E4" s="82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819"/>
      <c r="G4" s="819"/>
      <c r="H4" s="816" t="s">
        <v>1873</v>
      </c>
    </row>
    <row r="5" spans="1:8" ht="117" customHeight="1">
      <c r="A5" s="816" t="s">
        <v>1874</v>
      </c>
      <c r="B5" s="816" t="s">
        <v>26</v>
      </c>
      <c r="C5" s="820"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16" t="s">
        <v>1875</v>
      </c>
      <c r="E5" s="82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822"/>
      <c r="G5" s="822"/>
      <c r="H5" s="816" t="s">
        <v>1876</v>
      </c>
    </row>
    <row r="6" spans="1:8" ht="90" customHeight="1">
      <c r="A6" s="816" t="s">
        <v>1877</v>
      </c>
      <c r="B6" s="816" t="s">
        <v>27</v>
      </c>
      <c r="C6" s="820"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23"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82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16"/>
      <c r="G6" s="816"/>
      <c r="H6" s="822"/>
    </row>
    <row r="7" spans="1:8" ht="45" customHeight="1">
      <c r="A7" s="816" t="s">
        <v>1878</v>
      </c>
      <c r="B7" s="816" t="s">
        <v>40</v>
      </c>
      <c r="C7" s="820"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16" t="s">
        <v>1879</v>
      </c>
      <c r="E7" s="816" t="s">
        <v>1880</v>
      </c>
      <c r="F7" s="822"/>
      <c r="G7" s="822"/>
      <c r="H7" s="822"/>
    </row>
    <row r="8" spans="1:8" ht="108" customHeight="1">
      <c r="A8" s="816" t="s">
        <v>1881</v>
      </c>
      <c r="B8" s="816" t="s">
        <v>28</v>
      </c>
      <c r="C8" s="820"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16" t="s">
        <v>1080</v>
      </c>
      <c r="E8" s="816" t="s">
        <v>1882</v>
      </c>
      <c r="F8" s="822"/>
      <c r="G8" s="822"/>
      <c r="H8" s="822"/>
    </row>
    <row r="9" spans="1:8" ht="99" customHeight="1">
      <c r="A9" s="816" t="s">
        <v>1883</v>
      </c>
      <c r="B9" s="816"/>
      <c r="C9" s="816" t="s">
        <v>1884</v>
      </c>
      <c r="D9" s="816"/>
      <c r="E9" s="816"/>
      <c r="F9" s="822"/>
      <c r="G9" s="822"/>
      <c r="H9" s="822"/>
    </row>
    <row r="10" spans="1:8" ht="126" customHeight="1">
      <c r="A10" s="816" t="s">
        <v>1885</v>
      </c>
      <c r="B10" s="816"/>
      <c r="C10" s="816" t="s">
        <v>1886</v>
      </c>
      <c r="D10" s="816"/>
      <c r="E10" s="816"/>
      <c r="F10" s="822"/>
      <c r="G10" s="822"/>
      <c r="H10" s="822"/>
    </row>
    <row r="11" spans="1:8" ht="108" customHeight="1">
      <c r="A11" s="816" t="s">
        <v>1887</v>
      </c>
      <c r="B11" s="816"/>
      <c r="C11" s="816" t="s">
        <v>1888</v>
      </c>
      <c r="D11" s="816"/>
      <c r="E11" s="816"/>
      <c r="F11" s="822"/>
      <c r="G11" s="822"/>
      <c r="H11" s="822"/>
    </row>
    <row r="12" spans="1:8" ht="54" customHeight="1">
      <c r="A12" s="816" t="s">
        <v>1889</v>
      </c>
      <c r="B12" s="816"/>
      <c r="C12" s="816" t="s">
        <v>1890</v>
      </c>
      <c r="D12" s="816"/>
      <c r="E12" s="816"/>
      <c r="F12" s="822"/>
      <c r="G12" s="822"/>
      <c r="H12" s="822"/>
    </row>
    <row r="13" spans="1:8" ht="45" customHeight="1">
      <c r="A13" s="816" t="s">
        <v>1891</v>
      </c>
      <c r="B13" s="816"/>
      <c r="C13" s="816" t="s">
        <v>1892</v>
      </c>
      <c r="D13" s="816"/>
      <c r="E13" s="816"/>
      <c r="F13" s="822"/>
      <c r="G13" s="822"/>
      <c r="H13" s="822"/>
    </row>
    <row r="14" spans="1:8" ht="117" customHeight="1">
      <c r="A14" s="816" t="s">
        <v>1893</v>
      </c>
      <c r="B14" s="816"/>
      <c r="C14" s="816" t="s">
        <v>1894</v>
      </c>
      <c r="D14" s="816"/>
      <c r="E14" s="816"/>
      <c r="F14" s="822"/>
      <c r="G14" s="822"/>
      <c r="H14" s="822"/>
    </row>
    <row r="15" spans="1:8" ht="117" customHeight="1">
      <c r="A15" s="816" t="s">
        <v>1895</v>
      </c>
      <c r="B15" s="816"/>
      <c r="C15" s="816" t="s">
        <v>1896</v>
      </c>
      <c r="D15" s="816"/>
      <c r="E15" s="816"/>
      <c r="F15" s="822"/>
      <c r="G15" s="822"/>
      <c r="H15" s="822"/>
    </row>
    <row r="16" spans="1:8" ht="63" customHeight="1">
      <c r="A16" s="816" t="s">
        <v>1897</v>
      </c>
      <c r="B16" s="816"/>
      <c r="C16" s="816" t="s">
        <v>1898</v>
      </c>
      <c r="D16" s="816"/>
      <c r="E16" s="816"/>
      <c r="F16" s="822"/>
      <c r="G16" s="822"/>
      <c r="H16" s="822"/>
    </row>
    <row r="17" spans="1:8" ht="54" customHeight="1">
      <c r="A17" s="816" t="s">
        <v>1899</v>
      </c>
      <c r="B17" s="816"/>
      <c r="C17" s="820" t="s">
        <v>1900</v>
      </c>
      <c r="D17" s="816"/>
      <c r="E17" s="816"/>
      <c r="F17" s="822"/>
      <c r="G17" s="822"/>
      <c r="H17" s="822"/>
    </row>
    <row r="18" spans="1:8" ht="27" customHeight="1">
      <c r="A18" s="816" t="s">
        <v>1901</v>
      </c>
      <c r="B18" s="816"/>
      <c r="C18" s="820" t="s">
        <v>1902</v>
      </c>
      <c r="D18" s="816"/>
      <c r="E18" s="816"/>
      <c r="F18" s="822"/>
      <c r="G18" s="822"/>
      <c r="H18" s="822"/>
    </row>
    <row r="19" spans="1:8" ht="54" customHeight="1">
      <c r="A19" s="816" t="s">
        <v>1903</v>
      </c>
      <c r="B19" s="816"/>
      <c r="C19" s="820" t="s">
        <v>1904</v>
      </c>
      <c r="D19" s="816"/>
      <c r="E19" s="816"/>
      <c r="F19" s="822"/>
      <c r="G19" s="822"/>
      <c r="H19" s="822"/>
    </row>
    <row r="20" spans="1:8" ht="36" customHeight="1">
      <c r="A20" s="816" t="s">
        <v>1905</v>
      </c>
      <c r="B20" s="816"/>
      <c r="C20" s="820" t="s">
        <v>1906</v>
      </c>
      <c r="D20" s="816"/>
      <c r="E20" s="816"/>
      <c r="F20" s="822"/>
      <c r="G20" s="822"/>
      <c r="H20" s="822"/>
    </row>
    <row r="21" spans="1:8" ht="36" customHeight="1">
      <c r="A21" s="816" t="s">
        <v>1907</v>
      </c>
      <c r="B21" s="816"/>
      <c r="C21" s="820" t="s">
        <v>1908</v>
      </c>
      <c r="D21" s="816"/>
      <c r="E21" s="816"/>
      <c r="F21" s="822"/>
      <c r="G21" s="822"/>
      <c r="H21" s="822"/>
    </row>
    <row r="22" spans="1:8" ht="27" customHeight="1">
      <c r="A22" s="816" t="s">
        <v>1909</v>
      </c>
      <c r="B22" s="816"/>
      <c r="C22" s="820" t="s">
        <v>1910</v>
      </c>
      <c r="D22" s="816"/>
      <c r="E22" s="816"/>
      <c r="F22" s="822"/>
      <c r="G22" s="822"/>
      <c r="H22" s="822"/>
    </row>
    <row r="23" spans="1:8" ht="36" customHeight="1">
      <c r="A23" s="816" t="s">
        <v>1911</v>
      </c>
      <c r="B23" s="816"/>
      <c r="C23" s="820" t="s">
        <v>1912</v>
      </c>
      <c r="D23" s="816"/>
      <c r="E23" s="816"/>
      <c r="F23" s="822"/>
      <c r="G23" s="822"/>
      <c r="H23" s="822"/>
    </row>
    <row r="24" spans="1:8" ht="28.5" customHeight="1">
      <c r="A24" s="816" t="s">
        <v>1913</v>
      </c>
      <c r="B24" s="816"/>
      <c r="C24" s="820" t="s">
        <v>1914</v>
      </c>
      <c r="D24" s="816"/>
      <c r="E24" s="816"/>
      <c r="F24" s="822"/>
      <c r="G24" s="822"/>
      <c r="H24" s="822"/>
    </row>
    <row r="25" spans="1:8" ht="36" customHeight="1">
      <c r="A25" s="816" t="s">
        <v>1915</v>
      </c>
      <c r="B25" s="816"/>
      <c r="C25" s="820" t="s">
        <v>1916</v>
      </c>
      <c r="D25" s="816"/>
      <c r="E25" s="816"/>
      <c r="F25" s="822"/>
      <c r="G25" s="822"/>
      <c r="H25" s="822"/>
    </row>
    <row r="26" spans="1:8" ht="27" customHeight="1">
      <c r="A26" s="816" t="s">
        <v>1917</v>
      </c>
      <c r="B26" s="816"/>
      <c r="C26" s="820" t="s">
        <v>1918</v>
      </c>
      <c r="D26" s="816"/>
      <c r="E26" s="816"/>
      <c r="F26" s="822"/>
      <c r="G26" s="822"/>
      <c r="H26" s="822"/>
    </row>
    <row r="27" spans="1:8" ht="36" customHeight="1">
      <c r="A27" s="816" t="s">
        <v>1919</v>
      </c>
      <c r="B27" s="816"/>
      <c r="C27" s="820" t="s">
        <v>1920</v>
      </c>
      <c r="D27" s="816"/>
      <c r="E27" s="816"/>
      <c r="F27" s="822"/>
      <c r="G27" s="822"/>
      <c r="H27" s="822"/>
    </row>
    <row r="28" spans="1:8" ht="28.5" customHeight="1">
      <c r="A28" s="816" t="s">
        <v>1921</v>
      </c>
      <c r="B28" s="816"/>
      <c r="C28" s="820" t="s">
        <v>1922</v>
      </c>
      <c r="D28" s="816"/>
      <c r="E28" s="816"/>
      <c r="F28" s="822"/>
      <c r="G28" s="822"/>
      <c r="H28" s="822"/>
    </row>
    <row r="29" spans="1:8" ht="126" customHeight="1">
      <c r="A29" s="816" t="s">
        <v>1923</v>
      </c>
      <c r="B29" s="816" t="s">
        <v>1494</v>
      </c>
      <c r="C29" s="820"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16" t="s">
        <v>1924</v>
      </c>
      <c r="E29" s="82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822"/>
      <c r="G29" s="822"/>
      <c r="H29" s="816" t="s">
        <v>1925</v>
      </c>
    </row>
    <row r="30" spans="1:8" ht="36" customHeight="1">
      <c r="A30" s="816" t="s">
        <v>1926</v>
      </c>
      <c r="B30" s="816"/>
      <c r="C30" s="820"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16" t="s">
        <v>1927</v>
      </c>
      <c r="E30" s="82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822"/>
      <c r="G30" s="822"/>
      <c r="H30" s="822"/>
    </row>
    <row r="31" spans="1:8" ht="54" customHeight="1">
      <c r="A31" s="816" t="s">
        <v>1928</v>
      </c>
      <c r="B31" s="816"/>
      <c r="C31" s="820" t="str">
        <f>IF(TEMPLATE_SPHERE="HEAT",D31,IF(TEMPLATE_SPHERE="TKO",H31,E31))</f>
        <v>Форма 1. Информация об организации, осуществляющей горячее водоснабжение (общая информация)</v>
      </c>
      <c r="D31" s="816" t="s">
        <v>1929</v>
      </c>
      <c r="E31" s="823"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822"/>
      <c r="G31" s="822"/>
      <c r="H31" s="822"/>
    </row>
    <row r="32" spans="1:8" ht="198" customHeight="1">
      <c r="A32" s="816" t="s">
        <v>1930</v>
      </c>
      <c r="B32" s="816"/>
      <c r="C32" s="820" t="str">
        <f>IF(TEMPLATE_SPHERE="HEAT",D32,IF(TEMPLATE_SPHERE="TKO",H32,E32))</f>
        <v>Форма 7. Информация об инвестиционных программах организации горячего водоснабжения и отчетах об их исполнении</v>
      </c>
      <c r="D32" s="816" t="s">
        <v>1931</v>
      </c>
      <c r="E32" s="82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822"/>
      <c r="G32" s="822"/>
      <c r="H32" s="816" t="s">
        <v>1932</v>
      </c>
    </row>
    <row r="33" spans="1:8" ht="9" customHeight="1">
      <c r="A33" s="816"/>
      <c r="B33" s="816"/>
      <c r="C33" s="820"/>
      <c r="D33" s="816"/>
      <c r="E33" s="816"/>
      <c r="F33" s="822"/>
      <c r="G33" s="822"/>
      <c r="H33" s="822"/>
    </row>
    <row r="34" spans="1:8" ht="9" customHeight="1">
      <c r="A34" s="816"/>
      <c r="B34" s="816" t="s">
        <v>1430</v>
      </c>
      <c r="C34" s="820">
        <f>INDEX(TEMPLATE_NAME_FORM_LIST,B34,MATCH(TEMPLATE_SPHERE,TEMPLATE_SPHERE_LIST,0))</f>
        <v>0</v>
      </c>
      <c r="D34" s="816"/>
      <c r="E34" s="816"/>
      <c r="F34" s="822"/>
      <c r="G34" s="822"/>
      <c r="H34" s="822"/>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3" max="7" width="8" customWidth="1"/>
    <col min="8" max="12" width="8.5703125" customWidth="1"/>
    <col min="13" max="14" width="27.7109375" customWidth="1"/>
    <col min="15" max="19" width="5.140625" customWidth="1"/>
    <col min="20" max="24" width="27.7109375" customWidth="1"/>
    <col min="25" max="25" width="1.85546875" customWidth="1"/>
    <col min="26" max="29" width="27.7109375" customWidth="1"/>
    <col min="30" max="30" width="3.85546875" customWidth="1"/>
  </cols>
  <sheetData>
    <row r="1" spans="1:34" ht="18" customHeight="1">
      <c r="A1" s="824"/>
      <c r="B1" s="824"/>
      <c r="C1" s="824" t="s">
        <v>1933</v>
      </c>
      <c r="D1" s="824"/>
      <c r="E1" s="824"/>
      <c r="F1" s="824"/>
      <c r="G1" s="824"/>
      <c r="H1" s="824" t="s">
        <v>1934</v>
      </c>
      <c r="I1" s="824"/>
      <c r="J1" s="824"/>
      <c r="K1" s="824"/>
      <c r="L1" s="824"/>
      <c r="M1" s="824" t="s">
        <v>1935</v>
      </c>
      <c r="N1" s="824" t="s">
        <v>1936</v>
      </c>
      <c r="O1" s="1263" t="s">
        <v>1937</v>
      </c>
      <c r="P1" s="1263"/>
      <c r="Q1" s="1263"/>
      <c r="R1" s="1263"/>
      <c r="S1" s="1263"/>
      <c r="T1" s="1263" t="s">
        <v>1935</v>
      </c>
      <c r="U1" s="1263"/>
      <c r="V1" s="1263"/>
      <c r="W1" s="1263"/>
      <c r="X1" s="1263"/>
      <c r="Y1" s="825"/>
      <c r="Z1" s="1263" t="s">
        <v>1938</v>
      </c>
      <c r="AA1" s="1263"/>
      <c r="AB1" s="1263"/>
      <c r="AC1" s="1263"/>
      <c r="AD1" s="1263"/>
    </row>
    <row r="2" spans="1:34" ht="18" customHeight="1">
      <c r="A2" s="816"/>
      <c r="B2" s="816"/>
      <c r="C2" s="826" t="s">
        <v>731</v>
      </c>
      <c r="D2" s="826" t="s">
        <v>777</v>
      </c>
      <c r="E2" s="826" t="s">
        <v>830</v>
      </c>
      <c r="F2" s="826" t="s">
        <v>817</v>
      </c>
      <c r="G2" s="826" t="s">
        <v>1543</v>
      </c>
      <c r="H2" s="827"/>
      <c r="I2" s="827"/>
      <c r="J2" s="827"/>
      <c r="K2" s="827"/>
      <c r="L2" s="827"/>
      <c r="M2" s="827"/>
      <c r="N2" s="827"/>
      <c r="O2" s="826" t="s">
        <v>731</v>
      </c>
      <c r="P2" s="826" t="s">
        <v>777</v>
      </c>
      <c r="Q2" s="826" t="s">
        <v>817</v>
      </c>
      <c r="R2" s="826" t="s">
        <v>830</v>
      </c>
      <c r="S2" s="826" t="s">
        <v>1543</v>
      </c>
      <c r="T2" s="826" t="s">
        <v>731</v>
      </c>
      <c r="U2" s="826" t="s">
        <v>777</v>
      </c>
      <c r="V2" s="826" t="s">
        <v>817</v>
      </c>
      <c r="W2" s="826" t="s">
        <v>830</v>
      </c>
      <c r="X2" s="826" t="s">
        <v>1543</v>
      </c>
      <c r="Y2" s="826"/>
      <c r="Z2" s="826" t="s">
        <v>731</v>
      </c>
      <c r="AA2" s="828" t="s">
        <v>777</v>
      </c>
      <c r="AB2" s="826" t="s">
        <v>817</v>
      </c>
      <c r="AC2" s="826" t="s">
        <v>830</v>
      </c>
      <c r="AD2" s="826" t="s">
        <v>1543</v>
      </c>
    </row>
    <row r="3" spans="1:34" ht="162" customHeight="1">
      <c r="A3" s="829" t="s">
        <v>5</v>
      </c>
      <c r="B3" s="829"/>
      <c r="C3" s="1267" t="s">
        <v>1939</v>
      </c>
      <c r="D3" s="1268"/>
      <c r="E3" s="1268"/>
      <c r="F3" s="1269"/>
      <c r="G3" s="827"/>
      <c r="H3" s="827"/>
      <c r="I3" s="827"/>
      <c r="J3" s="827"/>
      <c r="K3" s="827"/>
      <c r="L3" s="827"/>
      <c r="M3" s="827"/>
      <c r="N3" s="830"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27"/>
      <c r="P3" s="827"/>
      <c r="Q3" s="827"/>
      <c r="R3" s="827"/>
      <c r="S3" s="827"/>
      <c r="T3" s="827"/>
      <c r="U3" s="827"/>
      <c r="V3" s="827"/>
      <c r="W3" s="827"/>
      <c r="X3" s="827"/>
      <c r="Y3" s="831"/>
      <c r="Z3" s="816" t="s">
        <v>1940</v>
      </c>
      <c r="AA3" s="827" t="s">
        <v>1941</v>
      </c>
      <c r="AB3" s="816" t="s">
        <v>1942</v>
      </c>
      <c r="AC3" s="816" t="s">
        <v>1943</v>
      </c>
      <c r="AD3" s="816"/>
      <c r="AG3" s="816"/>
      <c r="AH3" s="816"/>
    </row>
    <row r="4" spans="1:34" ht="9" customHeight="1">
      <c r="A4" s="829"/>
      <c r="B4" s="829"/>
      <c r="C4" s="827"/>
      <c r="D4" s="827"/>
      <c r="E4" s="827"/>
      <c r="F4" s="827"/>
      <c r="G4" s="827"/>
      <c r="H4" s="827"/>
      <c r="I4" s="827"/>
      <c r="J4" s="827"/>
      <c r="K4" s="827"/>
      <c r="L4" s="827"/>
      <c r="M4" s="827"/>
      <c r="N4" s="827"/>
      <c r="O4" s="827"/>
      <c r="P4" s="827"/>
      <c r="Q4" s="827"/>
      <c r="R4" s="827"/>
      <c r="S4" s="827"/>
      <c r="T4" s="827"/>
      <c r="U4" s="827"/>
      <c r="V4" s="827"/>
      <c r="W4" s="827"/>
      <c r="X4" s="827"/>
      <c r="Y4" s="831"/>
      <c r="Z4" s="816"/>
      <c r="AA4" s="823"/>
      <c r="AB4" s="816"/>
      <c r="AC4" s="816"/>
      <c r="AD4" s="816"/>
    </row>
    <row r="5" spans="1:34" ht="9" customHeight="1">
      <c r="A5" s="829"/>
      <c r="B5" s="829"/>
      <c r="C5" s="827"/>
      <c r="D5" s="827"/>
      <c r="E5" s="827"/>
      <c r="F5" s="827"/>
      <c r="G5" s="827"/>
      <c r="H5" s="827"/>
      <c r="I5" s="827"/>
      <c r="J5" s="827"/>
      <c r="K5" s="827"/>
      <c r="L5" s="827"/>
      <c r="M5" s="827"/>
      <c r="N5" s="827"/>
      <c r="O5" s="827"/>
      <c r="P5" s="827"/>
      <c r="Q5" s="827"/>
      <c r="R5" s="827"/>
      <c r="S5" s="827"/>
      <c r="T5" s="827"/>
      <c r="U5" s="827"/>
      <c r="V5" s="827"/>
      <c r="W5" s="827"/>
      <c r="X5" s="827"/>
      <c r="Y5" s="831"/>
      <c r="Z5" s="816"/>
      <c r="AA5" s="823"/>
      <c r="AB5" s="816"/>
      <c r="AC5" s="816"/>
      <c r="AD5" s="816"/>
    </row>
    <row r="6" spans="1:34" ht="9" customHeight="1">
      <c r="A6" s="829"/>
      <c r="B6" s="829"/>
      <c r="C6" s="827"/>
      <c r="D6" s="827"/>
      <c r="E6" s="827"/>
      <c r="F6" s="827"/>
      <c r="G6" s="827"/>
      <c r="H6" s="827"/>
      <c r="I6" s="827"/>
      <c r="J6" s="827"/>
      <c r="K6" s="827"/>
      <c r="L6" s="827"/>
      <c r="M6" s="827"/>
      <c r="N6" s="827"/>
      <c r="O6" s="827"/>
      <c r="P6" s="827"/>
      <c r="Q6" s="827"/>
      <c r="R6" s="827"/>
      <c r="S6" s="827"/>
      <c r="T6" s="827"/>
      <c r="U6" s="827"/>
      <c r="V6" s="827"/>
      <c r="W6" s="827"/>
      <c r="X6" s="827"/>
      <c r="Y6" s="831"/>
      <c r="Z6" s="816"/>
      <c r="AA6" s="823"/>
      <c r="AB6" s="816"/>
      <c r="AC6" s="816"/>
      <c r="AD6" s="816"/>
    </row>
    <row r="7" spans="1:34" ht="9" customHeight="1">
      <c r="A7" s="829"/>
      <c r="B7" s="829"/>
      <c r="C7" s="827"/>
      <c r="D7" s="827"/>
      <c r="E7" s="827"/>
      <c r="F7" s="827"/>
      <c r="G7" s="827"/>
      <c r="H7" s="827"/>
      <c r="I7" s="827"/>
      <c r="J7" s="827"/>
      <c r="K7" s="827"/>
      <c r="L7" s="827"/>
      <c r="M7" s="827"/>
      <c r="N7" s="827"/>
      <c r="O7" s="827"/>
      <c r="P7" s="827"/>
      <c r="Q7" s="827"/>
      <c r="R7" s="827"/>
      <c r="S7" s="827"/>
      <c r="T7" s="827"/>
      <c r="U7" s="827"/>
      <c r="V7" s="827"/>
      <c r="W7" s="827"/>
      <c r="X7" s="827"/>
      <c r="Y7" s="831"/>
      <c r="Z7" s="816"/>
      <c r="AA7" s="823"/>
      <c r="AB7" s="816"/>
      <c r="AC7" s="816"/>
      <c r="AD7" s="816"/>
    </row>
    <row r="8" spans="1:34" ht="9" customHeight="1">
      <c r="A8" s="829"/>
      <c r="B8" s="829"/>
      <c r="C8" s="827"/>
      <c r="D8" s="827"/>
      <c r="E8" s="827"/>
      <c r="F8" s="827"/>
      <c r="G8" s="827"/>
      <c r="H8" s="827"/>
      <c r="I8" s="827"/>
      <c r="J8" s="827"/>
      <c r="K8" s="827"/>
      <c r="L8" s="827"/>
      <c r="M8" s="827"/>
      <c r="N8" s="827"/>
      <c r="O8" s="827"/>
      <c r="P8" s="827"/>
      <c r="Q8" s="827"/>
      <c r="R8" s="827"/>
      <c r="S8" s="827"/>
      <c r="T8" s="827"/>
      <c r="U8" s="827"/>
      <c r="V8" s="827"/>
      <c r="W8" s="827"/>
      <c r="X8" s="827"/>
      <c r="Y8" s="831"/>
      <c r="Z8" s="816"/>
      <c r="AA8" s="823"/>
      <c r="AB8" s="816"/>
      <c r="AC8" s="816"/>
      <c r="AD8" s="816"/>
    </row>
    <row r="9" spans="1:34" ht="9" customHeight="1">
      <c r="A9" s="829"/>
      <c r="B9" s="829"/>
      <c r="C9" s="827"/>
      <c r="D9" s="827"/>
      <c r="E9" s="827"/>
      <c r="F9" s="827"/>
      <c r="G9" s="827"/>
      <c r="H9" s="827"/>
      <c r="I9" s="827"/>
      <c r="J9" s="827"/>
      <c r="K9" s="827"/>
      <c r="L9" s="827"/>
      <c r="M9" s="827"/>
      <c r="N9" s="827"/>
      <c r="O9" s="827"/>
      <c r="P9" s="827"/>
      <c r="Q9" s="827"/>
      <c r="R9" s="827"/>
      <c r="S9" s="827"/>
      <c r="T9" s="827"/>
      <c r="U9" s="827"/>
      <c r="V9" s="827"/>
      <c r="W9" s="827"/>
      <c r="X9" s="827"/>
      <c r="Y9" s="831"/>
      <c r="Z9" s="816"/>
      <c r="AA9" s="823"/>
      <c r="AB9" s="816"/>
      <c r="AC9" s="816"/>
      <c r="AD9" s="816"/>
    </row>
    <row r="10" spans="1:34" ht="9" customHeight="1">
      <c r="A10" s="832"/>
      <c r="B10" s="832"/>
      <c r="C10" s="832"/>
      <c r="D10" s="832"/>
      <c r="E10" s="832"/>
      <c r="F10" s="832"/>
      <c r="G10" s="832"/>
      <c r="H10" s="832"/>
      <c r="I10" s="832"/>
      <c r="J10" s="832"/>
      <c r="K10" s="832"/>
      <c r="L10" s="832"/>
      <c r="M10" s="832"/>
      <c r="N10" s="832"/>
      <c r="O10" s="832"/>
      <c r="P10" s="832"/>
      <c r="Q10" s="832"/>
      <c r="R10" s="832"/>
      <c r="S10" s="832"/>
      <c r="T10" s="832"/>
      <c r="U10" s="832"/>
      <c r="V10" s="832"/>
      <c r="W10" s="832"/>
      <c r="X10" s="832"/>
      <c r="Y10" s="832"/>
      <c r="Z10" s="832"/>
      <c r="AA10" s="832"/>
      <c r="AB10" s="832"/>
      <c r="AC10" s="832"/>
      <c r="AD10" s="832"/>
    </row>
    <row r="11" spans="1:34" ht="45" customHeight="1">
      <c r="A11" s="1264" t="s">
        <v>6</v>
      </c>
      <c r="B11" s="832">
        <v>1</v>
      </c>
      <c r="C11" s="1270" t="s">
        <v>1481</v>
      </c>
      <c r="D11" s="1270" t="s">
        <v>1477</v>
      </c>
      <c r="E11" s="1270" t="s">
        <v>1575</v>
      </c>
      <c r="F11" s="1270" t="s">
        <v>1944</v>
      </c>
      <c r="G11" s="1270"/>
      <c r="H11" s="824" t="s">
        <v>1945</v>
      </c>
      <c r="I11" s="824"/>
      <c r="J11" s="824"/>
      <c r="K11" s="824"/>
      <c r="L11" s="824"/>
      <c r="M11" s="830" t="str">
        <f>IF(TEMPLATE_SPHERE="HEAT",T11,U11)</f>
        <v xml:space="preserve">Количество поданных заявлений </v>
      </c>
      <c r="N11" s="830"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27"/>
      <c r="P11" s="827"/>
      <c r="Q11" s="827"/>
      <c r="R11" s="827"/>
      <c r="S11" s="827"/>
      <c r="T11" s="827" t="s">
        <v>1946</v>
      </c>
      <c r="U11" s="827" t="s">
        <v>1947</v>
      </c>
      <c r="V11" s="827"/>
      <c r="W11" s="827"/>
      <c r="X11" s="827"/>
      <c r="Y11" s="831"/>
      <c r="Z11" s="816" t="s">
        <v>1948</v>
      </c>
      <c r="AA11" s="82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16"/>
      <c r="AC11" s="816"/>
      <c r="AD11" s="816"/>
    </row>
    <row r="12" spans="1:34" ht="45" customHeight="1">
      <c r="A12" s="1264"/>
      <c r="B12" s="832">
        <v>2</v>
      </c>
      <c r="C12" s="1271"/>
      <c r="D12" s="1271"/>
      <c r="E12" s="1271"/>
      <c r="F12" s="1271"/>
      <c r="G12" s="1271"/>
      <c r="H12" s="824" t="s">
        <v>1949</v>
      </c>
      <c r="I12" s="824"/>
      <c r="J12" s="824"/>
      <c r="K12" s="824"/>
      <c r="L12" s="824"/>
      <c r="M12" s="830" t="str">
        <f>IF(TEMPLATE_SPHERE="HEAT",T12,U12)</f>
        <v xml:space="preserve">Количество исполненных заявлений </v>
      </c>
      <c r="N12" s="830"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27"/>
      <c r="P12" s="827"/>
      <c r="Q12" s="827"/>
      <c r="R12" s="827"/>
      <c r="S12" s="827"/>
      <c r="T12" s="827" t="s">
        <v>1950</v>
      </c>
      <c r="U12" s="827" t="s">
        <v>1951</v>
      </c>
      <c r="V12" s="827"/>
      <c r="W12" s="827"/>
      <c r="X12" s="827"/>
      <c r="Y12" s="831"/>
      <c r="Z12" s="816" t="s">
        <v>1952</v>
      </c>
      <c r="AA12" s="82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16"/>
      <c r="AC12" s="816"/>
      <c r="AD12" s="816"/>
    </row>
    <row r="13" spans="1:34" ht="72" customHeight="1">
      <c r="A13" s="1264"/>
      <c r="B13" s="832">
        <v>3</v>
      </c>
      <c r="C13" s="1271"/>
      <c r="D13" s="1271"/>
      <c r="E13" s="1271"/>
      <c r="F13" s="1271"/>
      <c r="G13" s="1271"/>
      <c r="H13" s="1263" t="s">
        <v>1953</v>
      </c>
      <c r="I13" s="824"/>
      <c r="J13" s="824"/>
      <c r="K13" s="824"/>
      <c r="L13" s="824"/>
      <c r="M13" s="830"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30" t="str">
        <f t="shared" si="0"/>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27"/>
      <c r="P13" s="830"/>
      <c r="Q13" s="830"/>
      <c r="R13" s="830"/>
      <c r="S13" s="827"/>
      <c r="T13" s="827" t="s">
        <v>1954</v>
      </c>
      <c r="U13" s="830" t="s">
        <v>1955</v>
      </c>
      <c r="V13" s="830"/>
      <c r="W13" s="830"/>
      <c r="X13" s="827"/>
      <c r="Y13" s="831"/>
      <c r="Z13" s="816" t="s">
        <v>1956</v>
      </c>
      <c r="AA13" s="82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16"/>
      <c r="AC13" s="816"/>
      <c r="AD13" s="816"/>
    </row>
    <row r="14" spans="1:34" ht="45" customHeight="1">
      <c r="A14" s="1264"/>
      <c r="B14" s="832">
        <v>4</v>
      </c>
      <c r="C14" s="1271"/>
      <c r="D14" s="1271"/>
      <c r="E14" s="1271"/>
      <c r="F14" s="1271"/>
      <c r="G14" s="1271"/>
      <c r="H14" s="1263"/>
      <c r="I14" s="833"/>
      <c r="J14" s="833"/>
      <c r="K14" s="833"/>
      <c r="L14" s="833"/>
      <c r="M14" s="834"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30"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827"/>
      <c r="P14" s="830"/>
      <c r="Q14" s="830"/>
      <c r="R14" s="830"/>
      <c r="S14" s="827"/>
      <c r="T14" s="827" t="s">
        <v>1957</v>
      </c>
      <c r="U14" s="83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30"/>
      <c r="W14" s="830"/>
      <c r="X14" s="827"/>
      <c r="Y14" s="831"/>
      <c r="Z14" s="816" t="s">
        <v>1958</v>
      </c>
      <c r="AA14" s="823" t="s">
        <v>1958</v>
      </c>
      <c r="AB14" s="816"/>
      <c r="AC14" s="816"/>
      <c r="AD14" s="816"/>
    </row>
    <row r="15" spans="1:34" ht="108" customHeight="1">
      <c r="A15" s="1264"/>
      <c r="B15" s="832">
        <v>5</v>
      </c>
      <c r="C15" s="1271"/>
      <c r="D15" s="1271"/>
      <c r="E15" s="1271"/>
      <c r="F15" s="1271"/>
      <c r="G15" s="1271"/>
      <c r="H15" s="1265" t="s">
        <v>1959</v>
      </c>
      <c r="I15" s="835"/>
      <c r="J15" s="835"/>
      <c r="K15" s="835"/>
      <c r="L15" s="835"/>
      <c r="M15" s="823"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36" t="str">
        <f t="shared" si="0"/>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27"/>
      <c r="P15" s="830"/>
      <c r="Q15" s="830"/>
      <c r="R15" s="830"/>
      <c r="S15" s="827"/>
      <c r="T15" s="827" t="s">
        <v>1960</v>
      </c>
      <c r="U15" s="83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30"/>
      <c r="W15" s="830"/>
      <c r="X15" s="827"/>
      <c r="Y15" s="831"/>
      <c r="Z15" s="816" t="s">
        <v>1961</v>
      </c>
      <c r="AA15" s="82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16"/>
      <c r="AC15" s="816"/>
      <c r="AD15" s="816"/>
    </row>
    <row r="16" spans="1:34" ht="108" customHeight="1">
      <c r="A16" s="832"/>
      <c r="B16" s="832">
        <v>6</v>
      </c>
      <c r="C16" s="1272"/>
      <c r="D16" s="1272"/>
      <c r="E16" s="1272"/>
      <c r="F16" s="1272"/>
      <c r="G16" s="1272"/>
      <c r="H16" s="1266"/>
      <c r="I16" s="837"/>
      <c r="J16" s="837"/>
      <c r="K16" s="837"/>
      <c r="L16" s="837"/>
      <c r="M16" s="838"/>
      <c r="N16" s="836" t="str">
        <f t="shared" si="0"/>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27"/>
      <c r="P16" s="830"/>
      <c r="Q16" s="830"/>
      <c r="R16" s="830"/>
      <c r="S16" s="827"/>
      <c r="T16" s="827"/>
      <c r="U16" s="830"/>
      <c r="V16" s="830"/>
      <c r="W16" s="830"/>
      <c r="X16" s="827"/>
      <c r="Y16" s="831"/>
      <c r="Z16" s="816" t="s">
        <v>1961</v>
      </c>
      <c r="AA16" s="82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16"/>
      <c r="AC16" s="816"/>
      <c r="AD16" s="816"/>
    </row>
    <row r="17" spans="1:30" ht="9" customHeight="1">
      <c r="A17" s="832"/>
      <c r="B17" s="832"/>
      <c r="C17" s="832">
        <v>22</v>
      </c>
      <c r="D17" s="832">
        <v>21</v>
      </c>
      <c r="E17" s="832">
        <v>42</v>
      </c>
      <c r="F17" s="832">
        <v>63</v>
      </c>
      <c r="G17" s="832"/>
      <c r="H17" s="832"/>
      <c r="I17" s="832"/>
      <c r="J17" s="832"/>
      <c r="K17" s="832"/>
      <c r="L17" s="832"/>
      <c r="M17" s="832"/>
      <c r="N17" s="832"/>
      <c r="O17" s="832"/>
      <c r="P17" s="832"/>
      <c r="Q17" s="832"/>
      <c r="R17" s="832"/>
      <c r="S17" s="832"/>
      <c r="T17" s="832"/>
      <c r="U17" s="832"/>
      <c r="V17" s="832"/>
      <c r="W17" s="832"/>
      <c r="X17" s="832"/>
      <c r="Y17" s="832"/>
      <c r="Z17" s="832"/>
      <c r="AA17" s="832"/>
      <c r="AB17" s="832"/>
      <c r="AC17" s="832"/>
      <c r="AD17" s="832"/>
    </row>
    <row r="18" spans="1:30" ht="27" customHeight="1">
      <c r="A18" s="829" t="s">
        <v>1578</v>
      </c>
      <c r="B18" s="832">
        <v>1</v>
      </c>
      <c r="C18" s="827" t="s">
        <v>1945</v>
      </c>
      <c r="D18" s="839" t="s">
        <v>1945</v>
      </c>
      <c r="E18" s="827" t="s">
        <v>1945</v>
      </c>
      <c r="F18" s="827" t="s">
        <v>1945</v>
      </c>
      <c r="G18" s="827"/>
      <c r="H18" s="840"/>
      <c r="I18" s="841">
        <f t="shared" ref="I18:I49" si="1">INDEX(TEMPLATE_NUMBER_POINT_FHD,B18,MATCH(TEMPLATE_SPHERE,TEMPLATE_SPHERE_LIST_FOR_NOTE,0))</f>
        <v>1</v>
      </c>
      <c r="J18" s="841" t="str">
        <f t="shared" ref="J18:J49" si="2">INDEX(TEMPLATE_DATA_POINT_FHD,B18,MATCH(TEMPLATE_SPHERE,TEMPLATE_SPHERE_LIST_FOR_NOTE,0))</f>
        <v>Выручка от регулируемых видов деятельности в сфере горячего водоснабжения</v>
      </c>
      <c r="K18" s="841" t="str">
        <f t="shared" ref="K18:K49" si="3">INDEX(TEMPLATE_NOTE_POINT_FHD,B18,MATCH(TEMPLATE_SPHERE,TEMPLATE_SPHERE_LIST_FOR_NOTE,0))</f>
        <v>Указывается выручка с распределением по видам деятельности.</v>
      </c>
      <c r="L18" s="830">
        <f t="shared" ref="L18:L49" si="4">IF(I18=0,"",I18)</f>
        <v>1</v>
      </c>
      <c r="M18" s="830" t="str">
        <f t="shared" ref="M18:M49" si="5">IF(J18=0,"",J18)</f>
        <v>Выручка от регулируемых видов деятельности в сфере горячего водоснабжения</v>
      </c>
      <c r="N18" s="830" t="str">
        <f t="shared" ref="N18:N49" si="6">IF(K18=0,"",K18)</f>
        <v>Указывается выручка с распределением по видам деятельности.</v>
      </c>
      <c r="O18" s="842">
        <v>1</v>
      </c>
      <c r="P18" s="842">
        <v>1</v>
      </c>
      <c r="Q18" s="842">
        <v>1</v>
      </c>
      <c r="R18" s="842">
        <v>1</v>
      </c>
      <c r="S18" s="842"/>
      <c r="T18" s="843" t="s">
        <v>1962</v>
      </c>
      <c r="U18" s="816" t="s">
        <v>1963</v>
      </c>
      <c r="V18" s="816" t="s">
        <v>1964</v>
      </c>
      <c r="W18" s="816" t="s">
        <v>1965</v>
      </c>
      <c r="X18" s="827"/>
      <c r="Y18" s="831"/>
      <c r="Z18" s="816" t="s">
        <v>1966</v>
      </c>
      <c r="AA18" s="823" t="s">
        <v>1967</v>
      </c>
      <c r="AB18" s="823" t="s">
        <v>1967</v>
      </c>
      <c r="AC18" s="823" t="s">
        <v>1967</v>
      </c>
      <c r="AD18" s="816"/>
    </row>
    <row r="19" spans="1:30" ht="36" customHeight="1">
      <c r="A19" s="829"/>
      <c r="B19" s="832">
        <v>2</v>
      </c>
      <c r="C19" s="827" t="s">
        <v>1949</v>
      </c>
      <c r="D19" s="839" t="s">
        <v>1949</v>
      </c>
      <c r="E19" s="827" t="s">
        <v>1949</v>
      </c>
      <c r="F19" s="827" t="s">
        <v>1949</v>
      </c>
      <c r="G19" s="827"/>
      <c r="H19" s="840"/>
      <c r="I19" s="841">
        <f t="shared" si="1"/>
        <v>2</v>
      </c>
      <c r="J19" s="841" t="str">
        <f t="shared" si="2"/>
        <v>Себестоимость производимых товаров (оказываемых услуг) по регулируемым видам деятельности в сфере горячего водоснабжения, включая:</v>
      </c>
      <c r="K19" s="841" t="str">
        <f t="shared" si="3"/>
        <v>Указывается суммарная себестоимость производимых товаров.</v>
      </c>
      <c r="L19" s="830">
        <f t="shared" si="4"/>
        <v>2</v>
      </c>
      <c r="M19" s="830" t="str">
        <f t="shared" si="5"/>
        <v>Себестоимость производимых товаров (оказываемых услуг) по регулируемым видам деятельности в сфере горячего водоснабжения, включая:</v>
      </c>
      <c r="N19" s="830" t="str">
        <f t="shared" si="6"/>
        <v>Указывается суммарная себестоимость производимых товаров.</v>
      </c>
      <c r="O19" s="842">
        <v>2</v>
      </c>
      <c r="P19" s="842">
        <v>2</v>
      </c>
      <c r="Q19" s="842">
        <v>2</v>
      </c>
      <c r="R19" s="842">
        <v>2</v>
      </c>
      <c r="S19" s="842"/>
      <c r="T19" s="843" t="s">
        <v>1968</v>
      </c>
      <c r="U19" s="816" t="s">
        <v>1969</v>
      </c>
      <c r="V19" s="816" t="s">
        <v>1970</v>
      </c>
      <c r="W19" s="816" t="s">
        <v>1971</v>
      </c>
      <c r="X19" s="827"/>
      <c r="Y19" s="831"/>
      <c r="Z19" s="816" t="s">
        <v>1972</v>
      </c>
      <c r="AA19" s="823" t="s">
        <v>1972</v>
      </c>
      <c r="AB19" s="823" t="s">
        <v>1972</v>
      </c>
      <c r="AC19" s="823" t="s">
        <v>1972</v>
      </c>
      <c r="AD19" s="816"/>
    </row>
    <row r="20" spans="1:30" ht="27" customHeight="1">
      <c r="A20" s="829"/>
      <c r="B20" s="832">
        <v>3</v>
      </c>
      <c r="C20" s="827">
        <v>1</v>
      </c>
      <c r="D20" s="839"/>
      <c r="E20" s="827"/>
      <c r="F20" s="827"/>
      <c r="G20" s="827"/>
      <c r="H20" s="840"/>
      <c r="I20" s="841" t="str">
        <f t="shared" si="1"/>
        <v>2.1</v>
      </c>
      <c r="J20" s="841" t="str">
        <f t="shared" si="2"/>
        <v>Расходы на приобретаемую тепловую энергию (мощность), используемую для горячего водоснабжения</v>
      </c>
      <c r="K20" s="841">
        <f t="shared" si="3"/>
        <v>0</v>
      </c>
      <c r="L20" s="830" t="str">
        <f t="shared" si="4"/>
        <v>2.1</v>
      </c>
      <c r="M20" s="830" t="str">
        <f t="shared" si="5"/>
        <v>Расходы на приобретаемую тепловую энергию (мощность), используемую для горячего водоснабжения</v>
      </c>
      <c r="N20" s="830" t="str">
        <f t="shared" si="6"/>
        <v/>
      </c>
      <c r="O20" s="842" t="s">
        <v>632</v>
      </c>
      <c r="P20" s="842" t="s">
        <v>632</v>
      </c>
      <c r="Q20" s="842" t="s">
        <v>632</v>
      </c>
      <c r="R20" s="842" t="s">
        <v>632</v>
      </c>
      <c r="S20" s="842"/>
      <c r="T20" s="843" t="s">
        <v>1973</v>
      </c>
      <c r="U20" s="816" t="s">
        <v>1974</v>
      </c>
      <c r="V20" s="816" t="s">
        <v>1975</v>
      </c>
      <c r="W20" s="816" t="s">
        <v>1976</v>
      </c>
      <c r="X20" s="827"/>
      <c r="Y20" s="831"/>
      <c r="Z20" s="816"/>
      <c r="AA20" s="823"/>
      <c r="AB20" s="816"/>
      <c r="AC20" s="816"/>
      <c r="AD20" s="816"/>
    </row>
    <row r="21" spans="1:30" ht="36" customHeight="1">
      <c r="A21" s="829"/>
      <c r="B21" s="832">
        <v>4</v>
      </c>
      <c r="C21" s="827">
        <v>2</v>
      </c>
      <c r="D21" s="839"/>
      <c r="E21" s="827"/>
      <c r="F21" s="827"/>
      <c r="G21" s="827"/>
      <c r="H21" s="840"/>
      <c r="I21" s="841">
        <f t="shared" si="1"/>
        <v>0</v>
      </c>
      <c r="J21" s="841">
        <f t="shared" si="2"/>
        <v>0</v>
      </c>
      <c r="K21" s="841">
        <f t="shared" si="3"/>
        <v>0</v>
      </c>
      <c r="L21" s="830" t="str">
        <f t="shared" si="4"/>
        <v/>
      </c>
      <c r="M21" s="830" t="str">
        <f t="shared" si="5"/>
        <v/>
      </c>
      <c r="N21" s="830" t="str">
        <f t="shared" si="6"/>
        <v/>
      </c>
      <c r="O21" s="842" t="s">
        <v>230</v>
      </c>
      <c r="P21" s="842"/>
      <c r="Q21" s="842"/>
      <c r="R21" s="842"/>
      <c r="S21" s="842"/>
      <c r="T21" s="843" t="s">
        <v>1977</v>
      </c>
      <c r="U21" s="816"/>
      <c r="V21" s="816"/>
      <c r="W21" s="816"/>
      <c r="X21" s="827"/>
      <c r="Y21" s="831"/>
      <c r="Z21" s="816" t="s">
        <v>1978</v>
      </c>
      <c r="AA21" s="823"/>
      <c r="AB21" s="816"/>
      <c r="AC21" s="816"/>
      <c r="AD21" s="816"/>
    </row>
    <row r="22" spans="1:30" ht="36" customHeight="1">
      <c r="A22" s="829"/>
      <c r="B22" s="832">
        <v>5</v>
      </c>
      <c r="C22" s="827">
        <v>3</v>
      </c>
      <c r="D22" s="839"/>
      <c r="E22" s="827"/>
      <c r="F22" s="827"/>
      <c r="G22" s="844"/>
      <c r="H22" s="845"/>
      <c r="I22" s="841" t="str">
        <f t="shared" si="1"/>
        <v>2.2</v>
      </c>
      <c r="J22" s="841" t="str">
        <f t="shared" si="2"/>
        <v>Расходы на тепловую энергию, производимую с применением собственных источников и используемую для горячего водоснабжения</v>
      </c>
      <c r="K22" s="841">
        <f t="shared" si="3"/>
        <v>0</v>
      </c>
      <c r="L22" s="830" t="str">
        <f t="shared" si="4"/>
        <v>2.2</v>
      </c>
      <c r="M22" s="830" t="str">
        <f t="shared" si="5"/>
        <v>Расходы на тепловую энергию, производимую с применением собственных источников и используемую для горячего водоснабжения</v>
      </c>
      <c r="N22" s="830" t="str">
        <f t="shared" si="6"/>
        <v/>
      </c>
      <c r="O22" s="842"/>
      <c r="P22" s="842"/>
      <c r="Q22" s="842" t="s">
        <v>230</v>
      </c>
      <c r="R22" s="842"/>
      <c r="S22" s="842"/>
      <c r="T22" s="843"/>
      <c r="U22" s="816"/>
      <c r="V22" s="816" t="s">
        <v>1979</v>
      </c>
      <c r="W22" s="816"/>
      <c r="X22" s="827"/>
      <c r="Y22" s="831"/>
      <c r="Z22" s="816"/>
      <c r="AA22" s="823"/>
      <c r="AB22" s="816"/>
      <c r="AC22" s="816"/>
      <c r="AD22" s="816"/>
    </row>
    <row r="23" spans="1:30" ht="27" customHeight="1">
      <c r="A23" s="829"/>
      <c r="B23" s="832">
        <v>6</v>
      </c>
      <c r="C23" s="827">
        <v>4</v>
      </c>
      <c r="D23" s="839"/>
      <c r="E23" s="827"/>
      <c r="F23" s="827"/>
      <c r="G23" s="844"/>
      <c r="H23" s="845"/>
      <c r="I23" s="841" t="str">
        <f t="shared" si="1"/>
        <v>2.3</v>
      </c>
      <c r="J23" s="841" t="str">
        <f t="shared" si="2"/>
        <v>Расходы на приобретаемую холодную воду, используемую для горячего водоснабжения</v>
      </c>
      <c r="K23" s="841">
        <f t="shared" si="3"/>
        <v>0</v>
      </c>
      <c r="L23" s="830" t="str">
        <f t="shared" si="4"/>
        <v>2.3</v>
      </c>
      <c r="M23" s="830" t="str">
        <f t="shared" si="5"/>
        <v>Расходы на приобретаемую холодную воду, используемую для горячего водоснабжения</v>
      </c>
      <c r="N23" s="830" t="str">
        <f t="shared" si="6"/>
        <v/>
      </c>
      <c r="O23" s="842"/>
      <c r="P23" s="842"/>
      <c r="Q23" s="842" t="s">
        <v>233</v>
      </c>
      <c r="R23" s="842"/>
      <c r="S23" s="842"/>
      <c r="T23" s="843"/>
      <c r="U23" s="816"/>
      <c r="V23" s="816" t="s">
        <v>1980</v>
      </c>
      <c r="W23" s="816"/>
      <c r="X23" s="827"/>
      <c r="Y23" s="831"/>
      <c r="Z23" s="816"/>
      <c r="AA23" s="823"/>
      <c r="AB23" s="816"/>
      <c r="AC23" s="816"/>
      <c r="AD23" s="816"/>
    </row>
    <row r="24" spans="1:30" ht="36" customHeight="1">
      <c r="A24" s="829"/>
      <c r="B24" s="832">
        <v>7</v>
      </c>
      <c r="C24" s="827">
        <v>5</v>
      </c>
      <c r="D24" s="839"/>
      <c r="E24" s="827"/>
      <c r="F24" s="827"/>
      <c r="G24" s="844"/>
      <c r="H24" s="845"/>
      <c r="I24" s="841" t="str">
        <f t="shared" si="1"/>
        <v>2.4</v>
      </c>
      <c r="J24" s="841" t="str">
        <f t="shared" si="2"/>
        <v>Расходы на холодную воду, получаемую с применением собственных источников водозабора (скважин) и используемую для горячего водоснабжения</v>
      </c>
      <c r="K24" s="841">
        <f t="shared" si="3"/>
        <v>0</v>
      </c>
      <c r="L24" s="830" t="str">
        <f t="shared" si="4"/>
        <v>2.4</v>
      </c>
      <c r="M24" s="830" t="str">
        <f t="shared" si="5"/>
        <v>Расходы на холодную воду, получаемую с применением собственных источников водозабора (скважин) и используемую для горячего водоснабжения</v>
      </c>
      <c r="N24" s="830" t="str">
        <f t="shared" si="6"/>
        <v/>
      </c>
      <c r="O24" s="842"/>
      <c r="P24" s="842"/>
      <c r="Q24" s="842" t="s">
        <v>652</v>
      </c>
      <c r="R24" s="842"/>
      <c r="S24" s="842"/>
      <c r="T24" s="843"/>
      <c r="U24" s="816"/>
      <c r="V24" s="816" t="s">
        <v>1981</v>
      </c>
      <c r="W24" s="816"/>
      <c r="X24" s="827"/>
      <c r="Y24" s="831"/>
      <c r="Z24" s="816"/>
      <c r="AA24" s="823"/>
      <c r="AB24" s="816"/>
      <c r="AC24" s="816"/>
      <c r="AD24" s="816"/>
    </row>
    <row r="25" spans="1:30" ht="36" customHeight="1">
      <c r="A25" s="829"/>
      <c r="B25" s="832">
        <v>8</v>
      </c>
      <c r="C25" s="827">
        <v>6</v>
      </c>
      <c r="D25" s="839"/>
      <c r="E25" s="827"/>
      <c r="F25" s="827"/>
      <c r="G25" s="844"/>
      <c r="H25" s="845"/>
      <c r="I25" s="841" t="str">
        <f t="shared" si="1"/>
        <v>2.5</v>
      </c>
      <c r="J25" s="841" t="str">
        <f t="shared" si="2"/>
        <v>Расходы на приобретаемую электрическую энергию (мощность), используемую в технологическом процессе</v>
      </c>
      <c r="K25" s="841">
        <f t="shared" si="3"/>
        <v>0</v>
      </c>
      <c r="L25" s="830" t="str">
        <f t="shared" si="4"/>
        <v>2.5</v>
      </c>
      <c r="M25" s="830" t="str">
        <f t="shared" si="5"/>
        <v>Расходы на приобретаемую электрическую энергию (мощность), используемую в технологическом процессе</v>
      </c>
      <c r="N25" s="830" t="str">
        <f t="shared" si="6"/>
        <v/>
      </c>
      <c r="O25" s="842" t="s">
        <v>233</v>
      </c>
      <c r="P25" s="842" t="s">
        <v>230</v>
      </c>
      <c r="Q25" s="842" t="s">
        <v>659</v>
      </c>
      <c r="R25" s="842" t="s">
        <v>230</v>
      </c>
      <c r="S25" s="842"/>
      <c r="T25" s="843" t="s">
        <v>1982</v>
      </c>
      <c r="U25" s="816" t="s">
        <v>1982</v>
      </c>
      <c r="V25" s="816" t="s">
        <v>1982</v>
      </c>
      <c r="W25" s="816" t="s">
        <v>1982</v>
      </c>
      <c r="X25" s="827"/>
      <c r="Y25" s="831"/>
      <c r="Z25" s="816"/>
      <c r="AA25" s="823"/>
      <c r="AB25" s="816"/>
      <c r="AC25" s="816"/>
      <c r="AD25" s="816"/>
    </row>
    <row r="26" spans="1:30" ht="18" customHeight="1">
      <c r="A26" s="829"/>
      <c r="B26" s="832">
        <v>9</v>
      </c>
      <c r="C26" s="827" t="s">
        <v>575</v>
      </c>
      <c r="D26" s="839"/>
      <c r="E26" s="827"/>
      <c r="F26" s="827"/>
      <c r="G26" s="844"/>
      <c r="H26" s="845"/>
      <c r="I26" s="841" t="str">
        <f t="shared" si="1"/>
        <v>2.5.1</v>
      </c>
      <c r="J26" s="841" t="str">
        <f t="shared" si="2"/>
        <v>Средневзвешенная стоимость 1 кВт.ч (с учетом мощности)</v>
      </c>
      <c r="K26" s="841">
        <f t="shared" si="3"/>
        <v>0</v>
      </c>
      <c r="L26" s="830" t="str">
        <f t="shared" si="4"/>
        <v>2.5.1</v>
      </c>
      <c r="M26" s="830" t="str">
        <f t="shared" si="5"/>
        <v>Средневзвешенная стоимость 1 кВт.ч (с учетом мощности)</v>
      </c>
      <c r="N26" s="830" t="str">
        <f t="shared" si="6"/>
        <v/>
      </c>
      <c r="O26" s="842" t="s">
        <v>648</v>
      </c>
      <c r="P26" s="842" t="s">
        <v>642</v>
      </c>
      <c r="Q26" s="842" t="s">
        <v>1983</v>
      </c>
      <c r="R26" s="842" t="s">
        <v>642</v>
      </c>
      <c r="S26" s="842"/>
      <c r="T26" s="843" t="e">
        <f>"Средневзвешенная стоимость 1 кВт.ч"&amp;IF(TITLE_TYPE_ORG="Регулируемая организация"," (с учетом мощности)","")</f>
        <v>#REF!</v>
      </c>
      <c r="U26" s="843" t="s">
        <v>1984</v>
      </c>
      <c r="V26" s="843" t="s">
        <v>1984</v>
      </c>
      <c r="W26" s="843" t="s">
        <v>1984</v>
      </c>
      <c r="X26" s="827"/>
      <c r="Y26" s="831"/>
      <c r="Z26" s="816"/>
      <c r="AA26" s="823"/>
      <c r="AB26" s="816"/>
      <c r="AC26" s="816"/>
      <c r="AD26" s="816"/>
    </row>
    <row r="27" spans="1:30" ht="18" customHeight="1">
      <c r="A27" s="829"/>
      <c r="B27" s="832">
        <v>10</v>
      </c>
      <c r="C27" s="827" t="s">
        <v>579</v>
      </c>
      <c r="D27" s="839"/>
      <c r="E27" s="827"/>
      <c r="F27" s="827"/>
      <c r="G27" s="844"/>
      <c r="H27" s="845"/>
      <c r="I27" s="841" t="str">
        <f t="shared" si="1"/>
        <v>2.5.2</v>
      </c>
      <c r="J27" s="841" t="str">
        <f t="shared" si="2"/>
        <v>Объём приобретения электрической энергии</v>
      </c>
      <c r="K27" s="841">
        <f t="shared" si="3"/>
        <v>0</v>
      </c>
      <c r="L27" s="830" t="str">
        <f t="shared" si="4"/>
        <v>2.5.2</v>
      </c>
      <c r="M27" s="830" t="str">
        <f t="shared" si="5"/>
        <v>Объём приобретения электрической энергии</v>
      </c>
      <c r="N27" s="830" t="str">
        <f t="shared" si="6"/>
        <v/>
      </c>
      <c r="O27" s="842" t="s">
        <v>650</v>
      </c>
      <c r="P27" s="842" t="s">
        <v>644</v>
      </c>
      <c r="Q27" s="842" t="s">
        <v>1985</v>
      </c>
      <c r="R27" s="842" t="s">
        <v>644</v>
      </c>
      <c r="S27" s="842"/>
      <c r="T27" s="843" t="s">
        <v>1986</v>
      </c>
      <c r="U27" s="843" t="s">
        <v>1986</v>
      </c>
      <c r="V27" s="843" t="s">
        <v>1986</v>
      </c>
      <c r="W27" s="843" t="s">
        <v>1986</v>
      </c>
      <c r="X27" s="827"/>
      <c r="Y27" s="831"/>
      <c r="Z27" s="816"/>
      <c r="AA27" s="823"/>
      <c r="AB27" s="816"/>
      <c r="AC27" s="816"/>
      <c r="AD27" s="816"/>
    </row>
    <row r="28" spans="1:30" ht="27" customHeight="1">
      <c r="A28" s="829"/>
      <c r="B28" s="832">
        <v>11</v>
      </c>
      <c r="C28" s="827">
        <v>7</v>
      </c>
      <c r="D28" s="839"/>
      <c r="E28" s="827"/>
      <c r="F28" s="827"/>
      <c r="G28" s="844"/>
      <c r="H28" s="845"/>
      <c r="I28" s="841">
        <f t="shared" si="1"/>
        <v>0</v>
      </c>
      <c r="J28" s="841">
        <f t="shared" si="2"/>
        <v>0</v>
      </c>
      <c r="K28" s="841">
        <f t="shared" si="3"/>
        <v>0</v>
      </c>
      <c r="L28" s="830" t="str">
        <f t="shared" si="4"/>
        <v/>
      </c>
      <c r="M28" s="830" t="str">
        <f t="shared" si="5"/>
        <v/>
      </c>
      <c r="N28" s="830" t="str">
        <f t="shared" si="6"/>
        <v/>
      </c>
      <c r="O28" s="842" t="s">
        <v>652</v>
      </c>
      <c r="P28" s="842"/>
      <c r="Q28" s="842"/>
      <c r="R28" s="842"/>
      <c r="S28" s="842"/>
      <c r="T28" s="843" t="s">
        <v>1987</v>
      </c>
      <c r="U28" s="816"/>
      <c r="V28" s="816"/>
      <c r="W28" s="816"/>
      <c r="X28" s="827"/>
      <c r="Y28" s="831"/>
      <c r="Z28" s="816"/>
      <c r="AA28" s="823"/>
      <c r="AB28" s="816"/>
      <c r="AC28" s="816"/>
      <c r="AD28" s="816"/>
    </row>
    <row r="29" spans="1:30" ht="27" customHeight="1">
      <c r="A29" s="829"/>
      <c r="B29" s="832">
        <v>12</v>
      </c>
      <c r="C29" s="827">
        <v>8</v>
      </c>
      <c r="D29" s="839"/>
      <c r="E29" s="827"/>
      <c r="F29" s="827"/>
      <c r="G29" s="844"/>
      <c r="H29" s="845"/>
      <c r="I29" s="841">
        <f t="shared" si="1"/>
        <v>0</v>
      </c>
      <c r="J29" s="841">
        <f t="shared" si="2"/>
        <v>0</v>
      </c>
      <c r="K29" s="841">
        <f t="shared" si="3"/>
        <v>0</v>
      </c>
      <c r="L29" s="830" t="str">
        <f t="shared" si="4"/>
        <v/>
      </c>
      <c r="M29" s="830" t="str">
        <f t="shared" si="5"/>
        <v/>
      </c>
      <c r="N29" s="830" t="str">
        <f t="shared" si="6"/>
        <v/>
      </c>
      <c r="O29" s="842" t="s">
        <v>659</v>
      </c>
      <c r="P29" s="842" t="s">
        <v>233</v>
      </c>
      <c r="Q29" s="842"/>
      <c r="R29" s="842" t="s">
        <v>233</v>
      </c>
      <c r="S29" s="842"/>
      <c r="T29" s="843" t="e">
        <f>"Расходы на  хим"&amp;IF(TITLE_TYPE_ORG="Регулируемая организация","ические",".")&amp;" реагенты, используемые в технологическом процессе"</f>
        <v>#REF!</v>
      </c>
      <c r="U29" s="816" t="s">
        <v>1988</v>
      </c>
      <c r="V29" s="816"/>
      <c r="W29" s="816" t="s">
        <v>1988</v>
      </c>
      <c r="X29" s="827"/>
      <c r="Y29" s="831"/>
      <c r="Z29" s="816"/>
      <c r="AA29" s="823"/>
      <c r="AB29" s="816"/>
      <c r="AC29" s="816"/>
      <c r="AD29" s="816"/>
    </row>
    <row r="30" spans="1:30" ht="54" customHeight="1">
      <c r="A30" s="829"/>
      <c r="B30" s="832">
        <v>13</v>
      </c>
      <c r="C30" s="827">
        <v>9</v>
      </c>
      <c r="D30" s="839"/>
      <c r="E30" s="827"/>
      <c r="F30" s="827"/>
      <c r="G30" s="844"/>
      <c r="H30" s="845"/>
      <c r="I30" s="841" t="str">
        <f t="shared" si="1"/>
        <v>2.6</v>
      </c>
      <c r="J30" s="841"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841" t="str">
        <f t="shared" si="3"/>
        <v>Указывается общая сумма расходов на оплату труда и отчислений на социальные нужды основного производственного персонала.</v>
      </c>
      <c r="L30" s="830" t="str">
        <f t="shared" si="4"/>
        <v>2.6</v>
      </c>
      <c r="M30" s="830"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30" t="str">
        <f t="shared" si="6"/>
        <v>Указывается общая сумма расходов на оплату труда и отчислений на социальные нужды основного производственного персонала.</v>
      </c>
      <c r="O30" s="842" t="s">
        <v>661</v>
      </c>
      <c r="P30" s="842" t="s">
        <v>652</v>
      </c>
      <c r="Q30" s="842" t="s">
        <v>661</v>
      </c>
      <c r="R30" s="842" t="s">
        <v>652</v>
      </c>
      <c r="S30" s="842"/>
      <c r="T30" s="843" t="s">
        <v>1989</v>
      </c>
      <c r="U30" s="816" t="s">
        <v>1989</v>
      </c>
      <c r="V30" s="816" t="s">
        <v>1989</v>
      </c>
      <c r="W30" s="816" t="s">
        <v>1989</v>
      </c>
      <c r="X30" s="827"/>
      <c r="Y30" s="831"/>
      <c r="Z30" s="816"/>
      <c r="AA30" s="823" t="s">
        <v>1990</v>
      </c>
      <c r="AB30" s="823" t="s">
        <v>1990</v>
      </c>
      <c r="AC30" s="823" t="s">
        <v>1990</v>
      </c>
      <c r="AD30" s="816"/>
    </row>
    <row r="31" spans="1:30" ht="18" customHeight="1">
      <c r="A31" s="829"/>
      <c r="B31" s="832">
        <v>14</v>
      </c>
      <c r="C31" s="827" t="s">
        <v>1991</v>
      </c>
      <c r="D31" s="839"/>
      <c r="E31" s="827"/>
      <c r="F31" s="827"/>
      <c r="G31" s="844"/>
      <c r="H31" s="845"/>
      <c r="I31" s="841" t="str">
        <f t="shared" si="1"/>
        <v>2.6.1</v>
      </c>
      <c r="J31" s="841" t="str">
        <f t="shared" si="2"/>
        <v>Расходы на оплату труда основного производственного персонала</v>
      </c>
      <c r="K31" s="841">
        <f t="shared" si="3"/>
        <v>0</v>
      </c>
      <c r="L31" s="830" t="str">
        <f t="shared" si="4"/>
        <v>2.6.1</v>
      </c>
      <c r="M31" s="830" t="str">
        <f t="shared" si="5"/>
        <v>Расходы на оплату труда основного производственного персонала</v>
      </c>
      <c r="N31" s="830" t="str">
        <f t="shared" si="6"/>
        <v/>
      </c>
      <c r="O31" s="842" t="s">
        <v>1992</v>
      </c>
      <c r="P31" s="842" t="s">
        <v>655</v>
      </c>
      <c r="Q31" s="842" t="s">
        <v>1992</v>
      </c>
      <c r="R31" s="842" t="s">
        <v>655</v>
      </c>
      <c r="S31" s="842"/>
      <c r="T31" s="846" t="s">
        <v>1993</v>
      </c>
      <c r="U31" s="816" t="s">
        <v>1993</v>
      </c>
      <c r="V31" s="816" t="s">
        <v>1993</v>
      </c>
      <c r="W31" s="816" t="s">
        <v>1993</v>
      </c>
      <c r="X31" s="827"/>
      <c r="Y31" s="831"/>
      <c r="Z31" s="816"/>
      <c r="AA31" s="823"/>
      <c r="AB31" s="823"/>
      <c r="AC31" s="823"/>
      <c r="AD31" s="816"/>
    </row>
    <row r="32" spans="1:30" ht="36" customHeight="1">
      <c r="A32" s="829"/>
      <c r="B32" s="832">
        <v>15</v>
      </c>
      <c r="C32" s="827" t="s">
        <v>1994</v>
      </c>
      <c r="D32" s="839"/>
      <c r="E32" s="827"/>
      <c r="F32" s="827"/>
      <c r="G32" s="844"/>
      <c r="H32" s="845"/>
      <c r="I32" s="841" t="str">
        <f t="shared" si="1"/>
        <v>2.6.2</v>
      </c>
      <c r="J32" s="841" t="str">
        <f t="shared" si="2"/>
        <v>Страховые взносы на обязательное социальное страхование, выплачиваемые из фонда оплаты труда основного производственного персонала</v>
      </c>
      <c r="K32" s="841">
        <f t="shared" si="3"/>
        <v>0</v>
      </c>
      <c r="L32" s="830" t="str">
        <f t="shared" si="4"/>
        <v>2.6.2</v>
      </c>
      <c r="M32" s="830" t="str">
        <f t="shared" si="5"/>
        <v>Страховые взносы на обязательное социальное страхование, выплачиваемые из фонда оплаты труда основного производственного персонала</v>
      </c>
      <c r="N32" s="830" t="str">
        <f t="shared" si="6"/>
        <v/>
      </c>
      <c r="O32" s="842" t="s">
        <v>1995</v>
      </c>
      <c r="P32" s="842" t="s">
        <v>657</v>
      </c>
      <c r="Q32" s="842" t="s">
        <v>1995</v>
      </c>
      <c r="R32" s="842" t="s">
        <v>657</v>
      </c>
      <c r="S32" s="842"/>
      <c r="T32" s="847"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816" t="s">
        <v>1996</v>
      </c>
      <c r="V32" s="816" t="s">
        <v>1996</v>
      </c>
      <c r="W32" s="816" t="s">
        <v>1996</v>
      </c>
      <c r="X32" s="827"/>
      <c r="Y32" s="831"/>
      <c r="Z32" s="816"/>
      <c r="AA32" s="823"/>
      <c r="AB32" s="823"/>
      <c r="AC32" s="823"/>
      <c r="AD32" s="816"/>
    </row>
    <row r="33" spans="1:30" ht="45" customHeight="1">
      <c r="A33" s="829"/>
      <c r="B33" s="832">
        <v>16</v>
      </c>
      <c r="C33" s="827">
        <v>10</v>
      </c>
      <c r="D33" s="839"/>
      <c r="E33" s="827"/>
      <c r="F33" s="827"/>
      <c r="G33" s="844"/>
      <c r="H33" s="845"/>
      <c r="I33" s="841" t="str">
        <f t="shared" si="1"/>
        <v>2.7</v>
      </c>
      <c r="J33" s="841"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841" t="str">
        <f t="shared" si="3"/>
        <v>Указывается общая сумма расходов на оплату труда и отчислений на социальные нужды административно-управленческого персонала.</v>
      </c>
      <c r="L33" s="830" t="str">
        <f t="shared" si="4"/>
        <v>2.7</v>
      </c>
      <c r="M33" s="830"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30" t="str">
        <f t="shared" si="6"/>
        <v>Указывается общая сумма расходов на оплату труда и отчислений на социальные нужды административно-управленческого персонала.</v>
      </c>
      <c r="O33" s="842" t="s">
        <v>663</v>
      </c>
      <c r="P33" s="842" t="s">
        <v>659</v>
      </c>
      <c r="Q33" s="842" t="s">
        <v>663</v>
      </c>
      <c r="R33" s="842" t="s">
        <v>659</v>
      </c>
      <c r="S33" s="842"/>
      <c r="T33" s="846"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816" t="s">
        <v>1997</v>
      </c>
      <c r="V33" s="816" t="s">
        <v>1997</v>
      </c>
      <c r="W33" s="816" t="s">
        <v>1998</v>
      </c>
      <c r="X33" s="827"/>
      <c r="Y33" s="831"/>
      <c r="Z33" s="816"/>
      <c r="AA33" s="823" t="s">
        <v>1999</v>
      </c>
      <c r="AB33" s="823" t="s">
        <v>1999</v>
      </c>
      <c r="AC33" s="823" t="s">
        <v>1999</v>
      </c>
      <c r="AD33" s="816"/>
    </row>
    <row r="34" spans="1:30" ht="27" customHeight="1">
      <c r="A34" s="829"/>
      <c r="B34" s="832">
        <v>17</v>
      </c>
      <c r="C34" s="827" t="s">
        <v>2000</v>
      </c>
      <c r="D34" s="839"/>
      <c r="E34" s="827"/>
      <c r="F34" s="827"/>
      <c r="G34" s="844"/>
      <c r="H34" s="845"/>
      <c r="I34" s="841" t="str">
        <f t="shared" si="1"/>
        <v>2.7.1</v>
      </c>
      <c r="J34" s="841" t="str">
        <f t="shared" si="2"/>
        <v>Расходы на оплату труда административно-управленческого персонала</v>
      </c>
      <c r="K34" s="841">
        <f t="shared" si="3"/>
        <v>0</v>
      </c>
      <c r="L34" s="830" t="str">
        <f t="shared" si="4"/>
        <v>2.7.1</v>
      </c>
      <c r="M34" s="830" t="str">
        <f t="shared" si="5"/>
        <v>Расходы на оплату труда административно-управленческого персонала</v>
      </c>
      <c r="N34" s="830" t="str">
        <f t="shared" si="6"/>
        <v/>
      </c>
      <c r="O34" s="842" t="s">
        <v>2001</v>
      </c>
      <c r="P34" s="842" t="s">
        <v>1983</v>
      </c>
      <c r="Q34" s="842" t="s">
        <v>2001</v>
      </c>
      <c r="R34" s="842" t="s">
        <v>1983</v>
      </c>
      <c r="S34" s="842"/>
      <c r="T34" s="847" t="s">
        <v>2002</v>
      </c>
      <c r="U34" s="816" t="s">
        <v>2002</v>
      </c>
      <c r="V34" s="816" t="s">
        <v>2002</v>
      </c>
      <c r="W34" s="816" t="s">
        <v>2003</v>
      </c>
      <c r="X34" s="827"/>
      <c r="Y34" s="831"/>
      <c r="Z34" s="816"/>
      <c r="AA34" s="823"/>
      <c r="AB34" s="816"/>
      <c r="AC34" s="816"/>
      <c r="AD34" s="816"/>
    </row>
    <row r="35" spans="1:30" ht="45" customHeight="1">
      <c r="A35" s="829"/>
      <c r="B35" s="832">
        <v>18</v>
      </c>
      <c r="C35" s="827" t="s">
        <v>2004</v>
      </c>
      <c r="D35" s="839"/>
      <c r="E35" s="827"/>
      <c r="F35" s="827"/>
      <c r="G35" s="844"/>
      <c r="H35" s="845"/>
      <c r="I35" s="841" t="str">
        <f t="shared" si="1"/>
        <v>2.7.2</v>
      </c>
      <c r="J35" s="841"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841">
        <f t="shared" si="3"/>
        <v>0</v>
      </c>
      <c r="L35" s="830" t="str">
        <f t="shared" si="4"/>
        <v>2.7.2</v>
      </c>
      <c r="M35" s="830"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830" t="str">
        <f t="shared" si="6"/>
        <v/>
      </c>
      <c r="O35" s="842" t="s">
        <v>2005</v>
      </c>
      <c r="P35" s="842" t="s">
        <v>1985</v>
      </c>
      <c r="Q35" s="842" t="s">
        <v>2005</v>
      </c>
      <c r="R35" s="842" t="s">
        <v>1985</v>
      </c>
      <c r="S35" s="842"/>
      <c r="T35" s="843"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816" t="s">
        <v>2006</v>
      </c>
      <c r="V35" s="816" t="s">
        <v>2006</v>
      </c>
      <c r="W35" s="816" t="s">
        <v>2006</v>
      </c>
      <c r="X35" s="827"/>
      <c r="Y35" s="831"/>
      <c r="Z35" s="816"/>
      <c r="AA35" s="823"/>
      <c r="AB35" s="816"/>
      <c r="AC35" s="816"/>
      <c r="AD35" s="816"/>
    </row>
    <row r="36" spans="1:30" ht="18" customHeight="1">
      <c r="A36" s="829"/>
      <c r="B36" s="832">
        <v>19</v>
      </c>
      <c r="C36" s="827">
        <v>11</v>
      </c>
      <c r="D36" s="839"/>
      <c r="E36" s="827"/>
      <c r="F36" s="827"/>
      <c r="G36" s="844"/>
      <c r="H36" s="845"/>
      <c r="I36" s="841" t="str">
        <f t="shared" si="1"/>
        <v>2.8</v>
      </c>
      <c r="J36" s="841" t="str">
        <f t="shared" si="2"/>
        <v>Расходы на амортизацию основных средств и нематериальных активов</v>
      </c>
      <c r="K36" s="841">
        <f t="shared" si="3"/>
        <v>0</v>
      </c>
      <c r="L36" s="830" t="str">
        <f t="shared" si="4"/>
        <v>2.8</v>
      </c>
      <c r="M36" s="830" t="str">
        <f t="shared" si="5"/>
        <v>Расходы на амортизацию основных средств и нематериальных активов</v>
      </c>
      <c r="N36" s="830" t="str">
        <f t="shared" si="6"/>
        <v/>
      </c>
      <c r="O36" s="842" t="s">
        <v>665</v>
      </c>
      <c r="P36" s="842" t="s">
        <v>661</v>
      </c>
      <c r="Q36" s="842" t="s">
        <v>665</v>
      </c>
      <c r="R36" s="842" t="s">
        <v>661</v>
      </c>
      <c r="S36" s="842"/>
      <c r="T36" s="843" t="s">
        <v>2007</v>
      </c>
      <c r="U36" s="816" t="s">
        <v>2007</v>
      </c>
      <c r="V36" s="816" t="s">
        <v>2007</v>
      </c>
      <c r="W36" s="816" t="s">
        <v>2007</v>
      </c>
      <c r="X36" s="827"/>
      <c r="Y36" s="831"/>
      <c r="Z36" s="816"/>
      <c r="AA36" s="823"/>
      <c r="AB36" s="816"/>
      <c r="AC36" s="816"/>
      <c r="AD36" s="816"/>
    </row>
    <row r="37" spans="1:30" ht="18" customHeight="1">
      <c r="A37" s="829"/>
      <c r="B37" s="832">
        <v>20</v>
      </c>
      <c r="C37" s="827" t="s">
        <v>2008</v>
      </c>
      <c r="D37" s="839"/>
      <c r="E37" s="827"/>
      <c r="F37" s="827"/>
      <c r="G37" s="844"/>
      <c r="H37" s="845"/>
      <c r="I37" s="841" t="str">
        <f t="shared" si="1"/>
        <v>2.8.1</v>
      </c>
      <c r="J37" s="841" t="str">
        <f t="shared" si="2"/>
        <v>Расходы на амортизацию основных средств</v>
      </c>
      <c r="K37" s="841">
        <f t="shared" si="3"/>
        <v>0</v>
      </c>
      <c r="L37" s="830" t="str">
        <f t="shared" si="4"/>
        <v>2.8.1</v>
      </c>
      <c r="M37" s="830" t="str">
        <f t="shared" si="5"/>
        <v>Расходы на амортизацию основных средств</v>
      </c>
      <c r="N37" s="830" t="str">
        <f t="shared" si="6"/>
        <v/>
      </c>
      <c r="O37" s="842" t="s">
        <v>2009</v>
      </c>
      <c r="P37" s="842" t="s">
        <v>1992</v>
      </c>
      <c r="Q37" s="842" t="s">
        <v>2009</v>
      </c>
      <c r="R37" s="842" t="s">
        <v>1992</v>
      </c>
      <c r="S37" s="842"/>
      <c r="T37" s="843" t="s">
        <v>2010</v>
      </c>
      <c r="U37" s="816" t="s">
        <v>2010</v>
      </c>
      <c r="V37" s="816" t="s">
        <v>2010</v>
      </c>
      <c r="W37" s="816" t="s">
        <v>2010</v>
      </c>
      <c r="X37" s="827"/>
      <c r="Y37" s="831"/>
      <c r="Z37" s="816"/>
      <c r="AA37" s="823"/>
      <c r="AB37" s="816"/>
      <c r="AC37" s="816"/>
      <c r="AD37" s="816"/>
    </row>
    <row r="38" spans="1:30" ht="18" customHeight="1">
      <c r="A38" s="829"/>
      <c r="B38" s="832">
        <v>21</v>
      </c>
      <c r="C38" s="827" t="s">
        <v>2011</v>
      </c>
      <c r="D38" s="839"/>
      <c r="E38" s="827"/>
      <c r="F38" s="827"/>
      <c r="G38" s="844"/>
      <c r="H38" s="845"/>
      <c r="I38" s="841" t="str">
        <f t="shared" si="1"/>
        <v>2.8.2</v>
      </c>
      <c r="J38" s="841" t="str">
        <f t="shared" si="2"/>
        <v>Расходы на амортизацию нематериальных активов</v>
      </c>
      <c r="K38" s="841">
        <f t="shared" si="3"/>
        <v>0</v>
      </c>
      <c r="L38" s="830" t="str">
        <f t="shared" si="4"/>
        <v>2.8.2</v>
      </c>
      <c r="M38" s="830" t="str">
        <f t="shared" si="5"/>
        <v>Расходы на амортизацию нематериальных активов</v>
      </c>
      <c r="N38" s="830" t="str">
        <f t="shared" si="6"/>
        <v/>
      </c>
      <c r="O38" s="842" t="s">
        <v>2012</v>
      </c>
      <c r="P38" s="842" t="s">
        <v>1995</v>
      </c>
      <c r="Q38" s="842" t="s">
        <v>2012</v>
      </c>
      <c r="R38" s="842" t="s">
        <v>1995</v>
      </c>
      <c r="S38" s="842"/>
      <c r="T38" s="843" t="s">
        <v>2013</v>
      </c>
      <c r="U38" s="816" t="s">
        <v>2013</v>
      </c>
      <c r="V38" s="816" t="s">
        <v>2013</v>
      </c>
      <c r="W38" s="816" t="s">
        <v>2013</v>
      </c>
      <c r="X38" s="827"/>
      <c r="Y38" s="831"/>
      <c r="Z38" s="816"/>
      <c r="AA38" s="823"/>
      <c r="AB38" s="816"/>
      <c r="AC38" s="816"/>
      <c r="AD38" s="816"/>
    </row>
    <row r="39" spans="1:30" ht="36" customHeight="1">
      <c r="A39" s="829"/>
      <c r="B39" s="832">
        <v>22</v>
      </c>
      <c r="C39" s="827">
        <v>12</v>
      </c>
      <c r="D39" s="839"/>
      <c r="E39" s="827"/>
      <c r="F39" s="827"/>
      <c r="G39" s="844"/>
      <c r="H39" s="845"/>
      <c r="I39" s="841" t="str">
        <f t="shared" si="1"/>
        <v>2.9</v>
      </c>
      <c r="J39" s="841" t="str">
        <f t="shared" si="2"/>
        <v>Расходы на аренду имущества, используемого для осуществления регулируемых видов деятельности в сфере горячего водоснабжения</v>
      </c>
      <c r="K39" s="841">
        <f t="shared" si="3"/>
        <v>0</v>
      </c>
      <c r="L39" s="830" t="str">
        <f t="shared" si="4"/>
        <v>2.9</v>
      </c>
      <c r="M39" s="830" t="str">
        <f t="shared" si="5"/>
        <v>Расходы на аренду имущества, используемого для осуществления регулируемых видов деятельности в сфере горячего водоснабжения</v>
      </c>
      <c r="N39" s="830" t="str">
        <f t="shared" si="6"/>
        <v/>
      </c>
      <c r="O39" s="842" t="s">
        <v>669</v>
      </c>
      <c r="P39" s="842" t="s">
        <v>663</v>
      </c>
      <c r="Q39" s="842" t="s">
        <v>669</v>
      </c>
      <c r="R39" s="842" t="s">
        <v>663</v>
      </c>
      <c r="S39" s="842"/>
      <c r="T39" s="843" t="s">
        <v>2014</v>
      </c>
      <c r="U39" s="816" t="s">
        <v>2015</v>
      </c>
      <c r="V39" s="816" t="s">
        <v>2016</v>
      </c>
      <c r="W39" s="816" t="s">
        <v>2017</v>
      </c>
      <c r="X39" s="827"/>
      <c r="Y39" s="831"/>
      <c r="Z39" s="816"/>
      <c r="AA39" s="823"/>
      <c r="AB39" s="816"/>
      <c r="AC39" s="816"/>
      <c r="AD39" s="816"/>
    </row>
    <row r="40" spans="1:30" ht="18" customHeight="1">
      <c r="A40" s="829"/>
      <c r="B40" s="832">
        <v>23</v>
      </c>
      <c r="C40" s="827">
        <v>13</v>
      </c>
      <c r="D40" s="839"/>
      <c r="E40" s="827"/>
      <c r="F40" s="827"/>
      <c r="G40" s="827"/>
      <c r="H40" s="848"/>
      <c r="I40" s="841" t="str">
        <f t="shared" si="1"/>
        <v>2.10</v>
      </c>
      <c r="J40" s="841" t="str">
        <f t="shared" si="2"/>
        <v>Общепроизводственные расходы, в том числе:</v>
      </c>
      <c r="K40" s="841" t="str">
        <f t="shared" si="3"/>
        <v>Указывается общая сумма общепроизводственных расходов.</v>
      </c>
      <c r="L40" s="830" t="str">
        <f t="shared" si="4"/>
        <v>2.10</v>
      </c>
      <c r="M40" s="830" t="str">
        <f t="shared" si="5"/>
        <v>Общепроизводственные расходы, в том числе:</v>
      </c>
      <c r="N40" s="830" t="str">
        <f t="shared" si="6"/>
        <v>Указывается общая сумма общепроизводственных расходов.</v>
      </c>
      <c r="O40" s="842" t="s">
        <v>2018</v>
      </c>
      <c r="P40" s="842" t="s">
        <v>665</v>
      </c>
      <c r="Q40" s="842" t="s">
        <v>2018</v>
      </c>
      <c r="R40" s="842" t="s">
        <v>665</v>
      </c>
      <c r="S40" s="842"/>
      <c r="T40" s="827" t="s">
        <v>2019</v>
      </c>
      <c r="U40" s="827" t="s">
        <v>2019</v>
      </c>
      <c r="V40" s="827" t="s">
        <v>2019</v>
      </c>
      <c r="W40" s="827" t="s">
        <v>2019</v>
      </c>
      <c r="X40" s="827"/>
      <c r="Y40" s="831"/>
      <c r="Z40" s="816" t="s">
        <v>2020</v>
      </c>
      <c r="AA40" s="823" t="s">
        <v>2020</v>
      </c>
      <c r="AB40" s="823" t="s">
        <v>2020</v>
      </c>
      <c r="AC40" s="823" t="s">
        <v>2020</v>
      </c>
      <c r="AD40" s="816"/>
    </row>
    <row r="41" spans="1:30" ht="27" customHeight="1">
      <c r="A41" s="829"/>
      <c r="B41" s="832">
        <v>24</v>
      </c>
      <c r="C41" s="827" t="s">
        <v>2021</v>
      </c>
      <c r="D41" s="839"/>
      <c r="E41" s="827"/>
      <c r="F41" s="827"/>
      <c r="G41" s="827"/>
      <c r="H41" s="844"/>
      <c r="I41" s="841" t="str">
        <f t="shared" si="1"/>
        <v>2.10.1</v>
      </c>
      <c r="J41" s="841" t="str">
        <f t="shared" si="2"/>
        <v>Расходы на текущий ремонт</v>
      </c>
      <c r="K41" s="841" t="str">
        <f t="shared" si="3"/>
        <v>Указываются расходы на текущий ремонт, отнесенные к общепроизводственным расходам.</v>
      </c>
      <c r="L41" s="830" t="str">
        <f t="shared" si="4"/>
        <v>2.10.1</v>
      </c>
      <c r="M41" s="830" t="str">
        <f t="shared" si="5"/>
        <v>Расходы на текущий ремонт</v>
      </c>
      <c r="N41" s="830" t="str">
        <f t="shared" si="6"/>
        <v>Указываются расходы на текущий ремонт, отнесенные к общепроизводственным расходам.</v>
      </c>
      <c r="O41" s="842" t="s">
        <v>2022</v>
      </c>
      <c r="P41" s="842" t="s">
        <v>2009</v>
      </c>
      <c r="Q41" s="842" t="s">
        <v>2022</v>
      </c>
      <c r="R41" s="842" t="s">
        <v>2009</v>
      </c>
      <c r="S41" s="842"/>
      <c r="T41" s="827" t="s">
        <v>2023</v>
      </c>
      <c r="U41" s="827" t="s">
        <v>2023</v>
      </c>
      <c r="V41" s="827" t="s">
        <v>2023</v>
      </c>
      <c r="W41" s="827" t="s">
        <v>2023</v>
      </c>
      <c r="X41" s="827"/>
      <c r="Y41" s="831"/>
      <c r="Z41" s="816" t="s">
        <v>2024</v>
      </c>
      <c r="AA41" s="816" t="s">
        <v>2024</v>
      </c>
      <c r="AB41" s="816" t="s">
        <v>2024</v>
      </c>
      <c r="AC41" s="816" t="s">
        <v>2024</v>
      </c>
      <c r="AD41" s="816"/>
    </row>
    <row r="42" spans="1:30" ht="27" customHeight="1">
      <c r="A42" s="829"/>
      <c r="B42" s="832">
        <v>25</v>
      </c>
      <c r="C42" s="827" t="s">
        <v>2025</v>
      </c>
      <c r="D42" s="839"/>
      <c r="E42" s="827"/>
      <c r="F42" s="827"/>
      <c r="G42" s="827"/>
      <c r="H42" s="844"/>
      <c r="I42" s="841" t="str">
        <f t="shared" si="1"/>
        <v>2.10.2</v>
      </c>
      <c r="J42" s="841" t="str">
        <f t="shared" si="2"/>
        <v>Расходы на капитальный ремонт</v>
      </c>
      <c r="K42" s="841" t="str">
        <f t="shared" si="3"/>
        <v>Указываются расходы на капитальный ремонт, отнесенные к общепроизводственным расходам.</v>
      </c>
      <c r="L42" s="830" t="str">
        <f t="shared" si="4"/>
        <v>2.10.2</v>
      </c>
      <c r="M42" s="830" t="str">
        <f t="shared" si="5"/>
        <v>Расходы на капитальный ремонт</v>
      </c>
      <c r="N42" s="830" t="str">
        <f t="shared" si="6"/>
        <v>Указываются расходы на капитальный ремонт, отнесенные к общепроизводственным расходам.</v>
      </c>
      <c r="O42" s="842" t="s">
        <v>2026</v>
      </c>
      <c r="P42" s="842" t="s">
        <v>2012</v>
      </c>
      <c r="Q42" s="842" t="s">
        <v>2026</v>
      </c>
      <c r="R42" s="842" t="s">
        <v>2012</v>
      </c>
      <c r="S42" s="842"/>
      <c r="T42" s="827" t="s">
        <v>2027</v>
      </c>
      <c r="U42" s="827" t="s">
        <v>2027</v>
      </c>
      <c r="V42" s="827" t="s">
        <v>2027</v>
      </c>
      <c r="W42" s="827" t="s">
        <v>2027</v>
      </c>
      <c r="X42" s="827"/>
      <c r="Y42" s="831"/>
      <c r="Z42" s="816" t="s">
        <v>2028</v>
      </c>
      <c r="AA42" s="816" t="s">
        <v>2028</v>
      </c>
      <c r="AB42" s="816" t="s">
        <v>2028</v>
      </c>
      <c r="AC42" s="816" t="s">
        <v>2028</v>
      </c>
      <c r="AD42" s="816"/>
    </row>
    <row r="43" spans="1:30" ht="18" customHeight="1">
      <c r="A43" s="829"/>
      <c r="B43" s="832">
        <v>26</v>
      </c>
      <c r="C43" s="827">
        <v>14</v>
      </c>
      <c r="D43" s="839"/>
      <c r="E43" s="827"/>
      <c r="F43" s="827"/>
      <c r="G43" s="827"/>
      <c r="H43" s="844"/>
      <c r="I43" s="841" t="str">
        <f t="shared" si="1"/>
        <v>2.11</v>
      </c>
      <c r="J43" s="841" t="str">
        <f t="shared" si="2"/>
        <v>Общехозяйственные расходы, в том числе:</v>
      </c>
      <c r="K43" s="841" t="str">
        <f t="shared" si="3"/>
        <v>Указывается общая сумма общехозяйственных расходов.</v>
      </c>
      <c r="L43" s="830" t="str">
        <f t="shared" si="4"/>
        <v>2.11</v>
      </c>
      <c r="M43" s="830" t="str">
        <f t="shared" si="5"/>
        <v>Общехозяйственные расходы, в том числе:</v>
      </c>
      <c r="N43" s="830" t="str">
        <f t="shared" si="6"/>
        <v>Указывается общая сумма общехозяйственных расходов.</v>
      </c>
      <c r="O43" s="842" t="s">
        <v>2029</v>
      </c>
      <c r="P43" s="842" t="s">
        <v>669</v>
      </c>
      <c r="Q43" s="842" t="s">
        <v>2029</v>
      </c>
      <c r="R43" s="842" t="s">
        <v>669</v>
      </c>
      <c r="S43" s="842"/>
      <c r="T43" s="827" t="s">
        <v>2030</v>
      </c>
      <c r="U43" s="827" t="s">
        <v>2030</v>
      </c>
      <c r="V43" s="827" t="s">
        <v>2030</v>
      </c>
      <c r="W43" s="827" t="s">
        <v>2030</v>
      </c>
      <c r="X43" s="827"/>
      <c r="Y43" s="831"/>
      <c r="Z43" s="816" t="s">
        <v>2031</v>
      </c>
      <c r="AA43" s="816" t="s">
        <v>2031</v>
      </c>
      <c r="AB43" s="816" t="s">
        <v>2031</v>
      </c>
      <c r="AC43" s="816" t="s">
        <v>2031</v>
      </c>
      <c r="AD43" s="816"/>
    </row>
    <row r="44" spans="1:30" ht="27" customHeight="1">
      <c r="A44" s="829"/>
      <c r="B44" s="832">
        <v>27</v>
      </c>
      <c r="C44" s="827" t="s">
        <v>2032</v>
      </c>
      <c r="D44" s="839"/>
      <c r="E44" s="827"/>
      <c r="F44" s="827"/>
      <c r="G44" s="827"/>
      <c r="H44" s="844"/>
      <c r="I44" s="841" t="str">
        <f t="shared" si="1"/>
        <v>2.11.1</v>
      </c>
      <c r="J44" s="841" t="str">
        <f t="shared" si="2"/>
        <v>Расходы на текущий ремонт</v>
      </c>
      <c r="K44" s="841" t="str">
        <f t="shared" si="3"/>
        <v>Указываются расходы на текущий ремонт, отнесенные к общехозяйственным расходам.</v>
      </c>
      <c r="L44" s="830" t="str">
        <f t="shared" si="4"/>
        <v>2.11.1</v>
      </c>
      <c r="M44" s="830" t="str">
        <f t="shared" si="5"/>
        <v>Расходы на текущий ремонт</v>
      </c>
      <c r="N44" s="830" t="str">
        <f t="shared" si="6"/>
        <v>Указываются расходы на текущий ремонт, отнесенные к общехозяйственным расходам.</v>
      </c>
      <c r="O44" s="842" t="s">
        <v>2033</v>
      </c>
      <c r="P44" s="842" t="s">
        <v>2034</v>
      </c>
      <c r="Q44" s="842" t="s">
        <v>2033</v>
      </c>
      <c r="R44" s="842" t="s">
        <v>2034</v>
      </c>
      <c r="S44" s="842"/>
      <c r="T44" s="827" t="s">
        <v>2023</v>
      </c>
      <c r="U44" s="827" t="s">
        <v>2023</v>
      </c>
      <c r="V44" s="827" t="s">
        <v>2023</v>
      </c>
      <c r="W44" s="827" t="s">
        <v>2023</v>
      </c>
      <c r="X44" s="827"/>
      <c r="Y44" s="831"/>
      <c r="Z44" s="816" t="s">
        <v>2035</v>
      </c>
      <c r="AA44" s="816" t="s">
        <v>2035</v>
      </c>
      <c r="AB44" s="816" t="s">
        <v>2035</v>
      </c>
      <c r="AC44" s="816" t="s">
        <v>2035</v>
      </c>
      <c r="AD44" s="816"/>
    </row>
    <row r="45" spans="1:30" ht="27" customHeight="1">
      <c r="A45" s="829"/>
      <c r="B45" s="832">
        <v>28</v>
      </c>
      <c r="C45" s="827" t="s">
        <v>2036</v>
      </c>
      <c r="D45" s="839"/>
      <c r="E45" s="827"/>
      <c r="F45" s="827"/>
      <c r="G45" s="827"/>
      <c r="H45" s="844"/>
      <c r="I45" s="841" t="str">
        <f t="shared" si="1"/>
        <v>2.11.2</v>
      </c>
      <c r="J45" s="841" t="str">
        <f t="shared" si="2"/>
        <v>Расходы на капитальный ремонт</v>
      </c>
      <c r="K45" s="841" t="str">
        <f t="shared" si="3"/>
        <v>Указываются расходы на капитальный ремонт, отнесенные к общехозяйственным расходам.</v>
      </c>
      <c r="L45" s="830" t="str">
        <f t="shared" si="4"/>
        <v>2.11.2</v>
      </c>
      <c r="M45" s="830" t="str">
        <f t="shared" si="5"/>
        <v>Расходы на капитальный ремонт</v>
      </c>
      <c r="N45" s="830" t="str">
        <f t="shared" si="6"/>
        <v>Указываются расходы на капитальный ремонт, отнесенные к общехозяйственным расходам.</v>
      </c>
      <c r="O45" s="842" t="s">
        <v>2037</v>
      </c>
      <c r="P45" s="842" t="s">
        <v>2038</v>
      </c>
      <c r="Q45" s="842" t="s">
        <v>2037</v>
      </c>
      <c r="R45" s="842" t="s">
        <v>2038</v>
      </c>
      <c r="S45" s="842"/>
      <c r="T45" s="827" t="s">
        <v>2027</v>
      </c>
      <c r="U45" s="827" t="s">
        <v>2027</v>
      </c>
      <c r="V45" s="827" t="s">
        <v>2027</v>
      </c>
      <c r="W45" s="827" t="s">
        <v>2027</v>
      </c>
      <c r="X45" s="827"/>
      <c r="Y45" s="831"/>
      <c r="Z45" s="816" t="s">
        <v>2039</v>
      </c>
      <c r="AA45" s="816" t="s">
        <v>2039</v>
      </c>
      <c r="AB45" s="816" t="s">
        <v>2039</v>
      </c>
      <c r="AC45" s="816" t="s">
        <v>2039</v>
      </c>
      <c r="AD45" s="816"/>
    </row>
    <row r="46" spans="1:30" ht="54" customHeight="1">
      <c r="A46" s="829"/>
      <c r="B46" s="832">
        <v>29</v>
      </c>
      <c r="C46" s="827">
        <v>15</v>
      </c>
      <c r="D46" s="839"/>
      <c r="E46" s="827"/>
      <c r="F46" s="827"/>
      <c r="G46" s="827"/>
      <c r="H46" s="844"/>
      <c r="I46" s="841" t="str">
        <f t="shared" si="1"/>
        <v>2.12</v>
      </c>
      <c r="J46" s="841" t="str">
        <f t="shared" si="2"/>
        <v>Расходы на капитальный и текущий ремонт основных средств</v>
      </c>
      <c r="K46" s="841"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30" t="str">
        <f t="shared" si="4"/>
        <v>2.12</v>
      </c>
      <c r="M46" s="830" t="str">
        <f t="shared" si="5"/>
        <v>Расходы на капитальный и текущий ремонт основных средств</v>
      </c>
      <c r="N46" s="830"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42" t="s">
        <v>2040</v>
      </c>
      <c r="P46" s="842" t="s">
        <v>2018</v>
      </c>
      <c r="Q46" s="842" t="s">
        <v>2040</v>
      </c>
      <c r="R46" s="842" t="s">
        <v>2018</v>
      </c>
      <c r="S46" s="842"/>
      <c r="T46" s="830" t="e">
        <f>"Расходы на капитальный и текущий ремонт основных"&amp;IF(TITLE_TYPE_ORG="Регулируемая организация",""," производственных")&amp;" средств"</f>
        <v>#REF!</v>
      </c>
      <c r="U46" s="827" t="s">
        <v>2041</v>
      </c>
      <c r="V46" s="827" t="s">
        <v>2041</v>
      </c>
      <c r="W46" s="827" t="s">
        <v>2041</v>
      </c>
      <c r="X46" s="827"/>
      <c r="Y46" s="831"/>
      <c r="Z46" s="816" t="s">
        <v>2042</v>
      </c>
      <c r="AA46" s="816" t="s">
        <v>2043</v>
      </c>
      <c r="AB46" s="816" t="s">
        <v>2043</v>
      </c>
      <c r="AC46" s="816" t="s">
        <v>2043</v>
      </c>
      <c r="AD46" s="816"/>
    </row>
    <row r="47" spans="1:30" ht="54" customHeight="1">
      <c r="A47" s="829"/>
      <c r="B47" s="832">
        <v>30</v>
      </c>
      <c r="C47" s="827" t="s">
        <v>2044</v>
      </c>
      <c r="D47" s="839"/>
      <c r="E47" s="827"/>
      <c r="F47" s="827"/>
      <c r="G47" s="827"/>
      <c r="H47" s="844"/>
      <c r="I47" s="841" t="str">
        <f t="shared" si="1"/>
        <v>2.12.1</v>
      </c>
      <c r="J47" s="841"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841">
        <f t="shared" si="3"/>
        <v>0</v>
      </c>
      <c r="L47" s="830" t="str">
        <f t="shared" si="4"/>
        <v>2.12.1</v>
      </c>
      <c r="M47" s="830"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30" t="str">
        <f t="shared" si="6"/>
        <v/>
      </c>
      <c r="O47" s="842" t="s">
        <v>2045</v>
      </c>
      <c r="P47" s="842" t="s">
        <v>2022</v>
      </c>
      <c r="Q47" s="842" t="s">
        <v>2045</v>
      </c>
      <c r="R47" s="842" t="s">
        <v>2022</v>
      </c>
      <c r="S47" s="842"/>
      <c r="T47" s="827" t="s">
        <v>2046</v>
      </c>
      <c r="U47" s="827" t="s">
        <v>2046</v>
      </c>
      <c r="V47" s="827" t="s">
        <v>2046</v>
      </c>
      <c r="W47" s="827" t="s">
        <v>2046</v>
      </c>
      <c r="X47" s="827"/>
      <c r="Y47" s="831"/>
      <c r="Z47" s="816"/>
      <c r="AA47" s="823"/>
      <c r="AB47" s="823"/>
      <c r="AC47" s="823"/>
      <c r="AD47" s="816"/>
    </row>
    <row r="48" spans="1:30" ht="54" customHeight="1">
      <c r="A48" s="829"/>
      <c r="B48" s="832">
        <v>31</v>
      </c>
      <c r="C48" s="827">
        <v>16</v>
      </c>
      <c r="D48" s="839"/>
      <c r="E48" s="827"/>
      <c r="F48" s="827"/>
      <c r="G48" s="827"/>
      <c r="H48" s="844"/>
      <c r="I48" s="841" t="str">
        <f t="shared" si="1"/>
        <v>2.13</v>
      </c>
      <c r="J48" s="841"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841"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30" t="str">
        <f t="shared" si="4"/>
        <v>2.13</v>
      </c>
      <c r="M48" s="830"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30"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42"/>
      <c r="P48" s="842" t="s">
        <v>2029</v>
      </c>
      <c r="Q48" s="842" t="s">
        <v>2047</v>
      </c>
      <c r="R48" s="842" t="s">
        <v>2029</v>
      </c>
      <c r="S48" s="842"/>
      <c r="T48" s="827"/>
      <c r="U48" s="827" t="s">
        <v>2048</v>
      </c>
      <c r="V48" s="827" t="s">
        <v>2049</v>
      </c>
      <c r="W48" s="827" t="s">
        <v>2049</v>
      </c>
      <c r="X48" s="827"/>
      <c r="Y48" s="831"/>
      <c r="Z48" s="816"/>
      <c r="AA48" s="823" t="s">
        <v>2043</v>
      </c>
      <c r="AB48" s="823" t="s">
        <v>2043</v>
      </c>
      <c r="AC48" s="823" t="s">
        <v>2043</v>
      </c>
      <c r="AD48" s="816"/>
    </row>
    <row r="49" spans="1:30" ht="54" customHeight="1">
      <c r="A49" s="829"/>
      <c r="B49" s="832">
        <v>32</v>
      </c>
      <c r="C49" s="827" t="s">
        <v>2050</v>
      </c>
      <c r="D49" s="839"/>
      <c r="E49" s="827"/>
      <c r="F49" s="827"/>
      <c r="G49" s="827"/>
      <c r="H49" s="844"/>
      <c r="I49" s="841" t="str">
        <f t="shared" si="1"/>
        <v>2.13.1</v>
      </c>
      <c r="J49" s="841"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841">
        <f t="shared" si="3"/>
        <v>0</v>
      </c>
      <c r="L49" s="830" t="str">
        <f t="shared" si="4"/>
        <v>2.13.1</v>
      </c>
      <c r="M49" s="830"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30" t="str">
        <f t="shared" si="6"/>
        <v/>
      </c>
      <c r="O49" s="842"/>
      <c r="P49" s="842" t="s">
        <v>2033</v>
      </c>
      <c r="Q49" s="842" t="s">
        <v>2051</v>
      </c>
      <c r="R49" s="842" t="s">
        <v>2033</v>
      </c>
      <c r="S49" s="842"/>
      <c r="T49" s="827"/>
      <c r="U49" s="827" t="s">
        <v>2046</v>
      </c>
      <c r="V49" s="827" t="s">
        <v>2046</v>
      </c>
      <c r="W49" s="827" t="s">
        <v>2046</v>
      </c>
      <c r="X49" s="827"/>
      <c r="Y49" s="831"/>
      <c r="Z49" s="816"/>
      <c r="AA49" s="823"/>
      <c r="AB49" s="823"/>
      <c r="AC49" s="823"/>
      <c r="AD49" s="816"/>
    </row>
    <row r="50" spans="1:30" ht="126" customHeight="1">
      <c r="A50" s="829"/>
      <c r="B50" s="832">
        <v>33</v>
      </c>
      <c r="C50" s="827">
        <v>17</v>
      </c>
      <c r="D50" s="839"/>
      <c r="E50" s="827"/>
      <c r="F50" s="827"/>
      <c r="G50" s="827"/>
      <c r="H50" s="844"/>
      <c r="I50" s="841" t="str">
        <f t="shared" ref="I50:I81" si="7">INDEX(TEMPLATE_NUMBER_POINT_FHD,B50,MATCH(TEMPLATE_SPHERE,TEMPLATE_SPHERE_LIST_FOR_NOTE,0))</f>
        <v>2.14</v>
      </c>
      <c r="J50" s="841" t="str">
        <f t="shared" ref="J50:J81" si="8">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841"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30" t="str">
        <f t="shared" ref="L50:L81" si="10">IF(I50=0,"",I50)</f>
        <v>2.14</v>
      </c>
      <c r="M50" s="830" t="str">
        <f t="shared" ref="M50:M81" si="11">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30"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42" t="s">
        <v>2047</v>
      </c>
      <c r="P50" s="842" t="s">
        <v>2040</v>
      </c>
      <c r="Q50" s="842" t="s">
        <v>2052</v>
      </c>
      <c r="R50" s="842" t="s">
        <v>2040</v>
      </c>
      <c r="S50" s="842"/>
      <c r="T50" s="827" t="s">
        <v>2053</v>
      </c>
      <c r="U50" s="827" t="s">
        <v>2054</v>
      </c>
      <c r="V50" s="827" t="s">
        <v>2055</v>
      </c>
      <c r="W50" s="827" t="s">
        <v>2056</v>
      </c>
      <c r="X50" s="827"/>
      <c r="Y50" s="831"/>
      <c r="Z50" s="816" t="s">
        <v>2057</v>
      </c>
      <c r="AA50" s="823" t="s">
        <v>2058</v>
      </c>
      <c r="AB50" s="823" t="s">
        <v>2058</v>
      </c>
      <c r="AC50" s="823" t="s">
        <v>2058</v>
      </c>
      <c r="AD50" s="816"/>
    </row>
    <row r="51" spans="1:30" ht="27" customHeight="1">
      <c r="A51" s="829"/>
      <c r="B51" s="832">
        <v>34</v>
      </c>
      <c r="C51" s="827" t="s">
        <v>2059</v>
      </c>
      <c r="D51" s="839"/>
      <c r="E51" s="827"/>
      <c r="F51" s="827"/>
      <c r="G51" s="827"/>
      <c r="H51" s="844"/>
      <c r="I51" s="841">
        <f t="shared" si="7"/>
        <v>0</v>
      </c>
      <c r="J51" s="841">
        <f t="shared" si="8"/>
        <v>0</v>
      </c>
      <c r="K51" s="841">
        <f t="shared" si="9"/>
        <v>0</v>
      </c>
      <c r="L51" s="830" t="str">
        <f t="shared" si="10"/>
        <v/>
      </c>
      <c r="M51" s="830" t="str">
        <f t="shared" si="11"/>
        <v/>
      </c>
      <c r="N51" s="830" t="str">
        <f t="shared" si="12"/>
        <v/>
      </c>
      <c r="O51" s="842" t="s">
        <v>26</v>
      </c>
      <c r="P51" s="842"/>
      <c r="Q51" s="842"/>
      <c r="R51" s="842"/>
      <c r="S51" s="842"/>
      <c r="T51" s="827" t="s">
        <v>2060</v>
      </c>
      <c r="U51" s="827"/>
      <c r="V51" s="827"/>
      <c r="W51" s="827"/>
      <c r="X51" s="827"/>
      <c r="Y51" s="831"/>
      <c r="Z51" s="816"/>
      <c r="AA51" s="823"/>
      <c r="AB51" s="823"/>
      <c r="AC51" s="823"/>
      <c r="AD51" s="816"/>
    </row>
    <row r="52" spans="1:30" ht="36" customHeight="1">
      <c r="A52" s="829"/>
      <c r="B52" s="832">
        <v>35</v>
      </c>
      <c r="C52" s="827" t="s">
        <v>1953</v>
      </c>
      <c r="D52" s="839" t="s">
        <v>1953</v>
      </c>
      <c r="E52" s="827" t="s">
        <v>1953</v>
      </c>
      <c r="F52" s="827" t="s">
        <v>1953</v>
      </c>
      <c r="G52" s="827"/>
      <c r="H52" s="844"/>
      <c r="I52" s="841" t="str">
        <f t="shared" si="7"/>
        <v>3</v>
      </c>
      <c r="J52" s="841" t="str">
        <f t="shared" si="8"/>
        <v>Чистая прибыль, полученная от регулируемого вида деятельности в сфере горячего водоснабжения, в том числе:</v>
      </c>
      <c r="K52" s="841" t="str">
        <f t="shared" si="9"/>
        <v>Указывается общая сумма чистой прибыли, полученной от регулируемого вида деятельности.</v>
      </c>
      <c r="L52" s="830" t="str">
        <f t="shared" si="10"/>
        <v>3</v>
      </c>
      <c r="M52" s="830" t="str">
        <f t="shared" si="11"/>
        <v>Чистая прибыль, полученная от регулируемого вида деятельности в сфере горячего водоснабжения, в том числе:</v>
      </c>
      <c r="N52" s="830" t="str">
        <f t="shared" si="12"/>
        <v>Указывается общая сумма чистой прибыли, полученной от регулируемого вида деятельности.</v>
      </c>
      <c r="O52" s="842" t="s">
        <v>27</v>
      </c>
      <c r="P52" s="842" t="s">
        <v>26</v>
      </c>
      <c r="Q52" s="842" t="s">
        <v>26</v>
      </c>
      <c r="R52" s="842" t="s">
        <v>26</v>
      </c>
      <c r="S52" s="842"/>
      <c r="T52" s="827" t="s">
        <v>2061</v>
      </c>
      <c r="U52" s="827" t="s">
        <v>2062</v>
      </c>
      <c r="V52" s="827" t="s">
        <v>2063</v>
      </c>
      <c r="W52" s="827" t="s">
        <v>2064</v>
      </c>
      <c r="X52" s="827"/>
      <c r="Y52" s="831"/>
      <c r="Z52" s="816" t="s">
        <v>673</v>
      </c>
      <c r="AA52" s="823" t="s">
        <v>673</v>
      </c>
      <c r="AB52" s="823" t="s">
        <v>673</v>
      </c>
      <c r="AC52" s="823" t="s">
        <v>673</v>
      </c>
      <c r="AD52" s="816"/>
    </row>
    <row r="53" spans="1:30" ht="36" customHeight="1">
      <c r="A53" s="829"/>
      <c r="B53" s="832">
        <v>36</v>
      </c>
      <c r="C53" s="827">
        <v>1</v>
      </c>
      <c r="D53" s="839"/>
      <c r="E53" s="827"/>
      <c r="F53" s="827"/>
      <c r="G53" s="827"/>
      <c r="H53" s="844"/>
      <c r="I53" s="841" t="str">
        <f t="shared" si="7"/>
        <v>3.1</v>
      </c>
      <c r="J53" s="841"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841">
        <f t="shared" si="9"/>
        <v>0</v>
      </c>
      <c r="L53" s="830" t="str">
        <f t="shared" si="10"/>
        <v>3.1</v>
      </c>
      <c r="M53" s="830"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830" t="str">
        <f t="shared" si="12"/>
        <v/>
      </c>
      <c r="O53" s="842" t="s">
        <v>677</v>
      </c>
      <c r="P53" s="842" t="s">
        <v>247</v>
      </c>
      <c r="Q53" s="842" t="s">
        <v>247</v>
      </c>
      <c r="R53" s="842" t="s">
        <v>247</v>
      </c>
      <c r="S53" s="842"/>
      <c r="T53" s="827" t="s">
        <v>2065</v>
      </c>
      <c r="U53" s="827" t="s">
        <v>2065</v>
      </c>
      <c r="V53" s="827" t="s">
        <v>2065</v>
      </c>
      <c r="W53" s="827" t="s">
        <v>2065</v>
      </c>
      <c r="X53" s="827"/>
      <c r="Y53" s="831"/>
      <c r="Z53" s="816"/>
      <c r="AA53" s="823"/>
      <c r="AB53" s="816"/>
      <c r="AC53" s="816"/>
      <c r="AD53" s="816"/>
    </row>
    <row r="54" spans="1:30" ht="18" customHeight="1">
      <c r="A54" s="829"/>
      <c r="B54" s="832">
        <v>37</v>
      </c>
      <c r="C54" s="827" t="s">
        <v>1959</v>
      </c>
      <c r="D54" s="839" t="s">
        <v>1959</v>
      </c>
      <c r="E54" s="827" t="s">
        <v>1959</v>
      </c>
      <c r="F54" s="827" t="s">
        <v>1959</v>
      </c>
      <c r="G54" s="827"/>
      <c r="H54" s="844"/>
      <c r="I54" s="841" t="str">
        <f t="shared" si="7"/>
        <v>4</v>
      </c>
      <c r="J54" s="841" t="str">
        <f t="shared" si="8"/>
        <v>Изменение стоимости основных фондов, в том числе:</v>
      </c>
      <c r="K54" s="841" t="str">
        <f t="shared" si="9"/>
        <v>Указывается общее изменение стоимости основных фондов.</v>
      </c>
      <c r="L54" s="830" t="str">
        <f t="shared" si="10"/>
        <v>4</v>
      </c>
      <c r="M54" s="830" t="str">
        <f t="shared" si="11"/>
        <v>Изменение стоимости основных фондов, в том числе:</v>
      </c>
      <c r="N54" s="830" t="str">
        <f t="shared" si="12"/>
        <v>Указывается общее изменение стоимости основных фондов.</v>
      </c>
      <c r="O54" s="842" t="s">
        <v>40</v>
      </c>
      <c r="P54" s="842" t="s">
        <v>27</v>
      </c>
      <c r="Q54" s="842" t="s">
        <v>27</v>
      </c>
      <c r="R54" s="842" t="s">
        <v>27</v>
      </c>
      <c r="S54" s="842"/>
      <c r="T54" s="827" t="s">
        <v>675</v>
      </c>
      <c r="U54" s="827" t="s">
        <v>675</v>
      </c>
      <c r="V54" s="827" t="s">
        <v>675</v>
      </c>
      <c r="W54" s="827" t="s">
        <v>675</v>
      </c>
      <c r="X54" s="827"/>
      <c r="Y54" s="831"/>
      <c r="Z54" s="816" t="s">
        <v>676</v>
      </c>
      <c r="AA54" s="816" t="s">
        <v>676</v>
      </c>
      <c r="AB54" s="816" t="s">
        <v>676</v>
      </c>
      <c r="AC54" s="816" t="s">
        <v>676</v>
      </c>
      <c r="AD54" s="816"/>
    </row>
    <row r="55" spans="1:30" ht="36" customHeight="1">
      <c r="A55" s="829"/>
      <c r="B55" s="832">
        <v>38</v>
      </c>
      <c r="C55" s="827">
        <v>1</v>
      </c>
      <c r="D55" s="839"/>
      <c r="E55" s="827"/>
      <c r="F55" s="827"/>
      <c r="G55" s="827"/>
      <c r="H55" s="844"/>
      <c r="I55" s="841" t="str">
        <f t="shared" si="7"/>
        <v>4.1</v>
      </c>
      <c r="J55" s="841" t="str">
        <f t="shared" si="8"/>
        <v>Изменение стоимости основных фондов за счет их ввода в эксплуатацию (вывода из эксплуатации)</v>
      </c>
      <c r="K55" s="841" t="str">
        <f t="shared" si="9"/>
        <v>Указываются общее изменение стоимости основных фондов за счет их ввода в эксплуатацию и вывода из эксплуатации.</v>
      </c>
      <c r="L55" s="830" t="str">
        <f t="shared" si="10"/>
        <v>4.1</v>
      </c>
      <c r="M55" s="830" t="str">
        <f t="shared" si="11"/>
        <v>Изменение стоимости основных фондов за счет их ввода в эксплуатацию (вывода из эксплуатации)</v>
      </c>
      <c r="N55" s="830" t="str">
        <f t="shared" si="12"/>
        <v>Указываются общее изменение стоимости основных фондов за счет их ввода в эксплуатацию и вывода из эксплуатации.</v>
      </c>
      <c r="O55" s="842" t="s">
        <v>236</v>
      </c>
      <c r="P55" s="842" t="s">
        <v>677</v>
      </c>
      <c r="Q55" s="842" t="s">
        <v>677</v>
      </c>
      <c r="R55" s="842" t="s">
        <v>677</v>
      </c>
      <c r="S55" s="842"/>
      <c r="T55" s="830" t="e">
        <f>IF(TITLE_TYPE_ORG="Регулируемая организация","Изменение стоимости основных фондов за счет:","за счет их ввода в эксплуатацию (вывода из эксплуатации)")</f>
        <v>#REF!</v>
      </c>
      <c r="U55" s="827" t="s">
        <v>2066</v>
      </c>
      <c r="V55" s="827" t="s">
        <v>2066</v>
      </c>
      <c r="W55" s="827" t="s">
        <v>2066</v>
      </c>
      <c r="X55" s="827"/>
      <c r="Y55" s="831"/>
      <c r="Z55" s="816" t="s">
        <v>2067</v>
      </c>
      <c r="AA55" s="816" t="s">
        <v>2067</v>
      </c>
      <c r="AB55" s="816" t="s">
        <v>2067</v>
      </c>
      <c r="AC55" s="816" t="s">
        <v>2067</v>
      </c>
      <c r="AD55" s="816"/>
    </row>
    <row r="56" spans="1:30" ht="27" customHeight="1">
      <c r="A56" s="829"/>
      <c r="B56" s="832">
        <v>39</v>
      </c>
      <c r="C56" s="827" t="s">
        <v>945</v>
      </c>
      <c r="D56" s="839"/>
      <c r="E56" s="827"/>
      <c r="F56" s="827"/>
      <c r="G56" s="827"/>
      <c r="H56" s="844"/>
      <c r="I56" s="841" t="str">
        <f t="shared" si="7"/>
        <v>4.1.1</v>
      </c>
      <c r="J56" s="841" t="str">
        <f t="shared" si="8"/>
        <v>Изменение стоимости основных фондов за счет их ввода в эксплуатацию</v>
      </c>
      <c r="K56" s="841" t="str">
        <f t="shared" si="9"/>
        <v>Указываются изменение стоимости основных фондов за счет их ввода в эксплуатацию.</v>
      </c>
      <c r="L56" s="830" t="str">
        <f t="shared" si="10"/>
        <v>4.1.1</v>
      </c>
      <c r="M56" s="830" t="str">
        <f t="shared" si="11"/>
        <v>Изменение стоимости основных фондов за счет их ввода в эксплуатацию</v>
      </c>
      <c r="N56" s="830" t="str">
        <f t="shared" si="12"/>
        <v>Указываются изменение стоимости основных фондов за счет их ввода в эксплуатацию.</v>
      </c>
      <c r="O56" s="842" t="s">
        <v>1064</v>
      </c>
      <c r="P56" s="842" t="s">
        <v>680</v>
      </c>
      <c r="Q56" s="842" t="s">
        <v>680</v>
      </c>
      <c r="R56" s="842" t="s">
        <v>680</v>
      </c>
      <c r="S56" s="842"/>
      <c r="T56" s="830" t="e">
        <f>IF(TITLE_TYPE_ORG="Регулируемая организация","Изменения стоимости основных фондов за счет их ввода в эксплуатацию","за счет их ввода в эксплуатацию")</f>
        <v>#REF!</v>
      </c>
      <c r="U56" s="827" t="s">
        <v>2068</v>
      </c>
      <c r="V56" s="827" t="s">
        <v>2068</v>
      </c>
      <c r="W56" s="827" t="s">
        <v>2068</v>
      </c>
      <c r="X56" s="827"/>
      <c r="Y56" s="831"/>
      <c r="Z56" s="816" t="s">
        <v>682</v>
      </c>
      <c r="AA56" s="816" t="s">
        <v>682</v>
      </c>
      <c r="AB56" s="816" t="s">
        <v>682</v>
      </c>
      <c r="AC56" s="816" t="s">
        <v>682</v>
      </c>
      <c r="AD56" s="816"/>
    </row>
    <row r="57" spans="1:30" ht="27" customHeight="1">
      <c r="A57" s="829"/>
      <c r="B57" s="832">
        <v>40</v>
      </c>
      <c r="C57" s="827" t="s">
        <v>947</v>
      </c>
      <c r="D57" s="839"/>
      <c r="E57" s="827"/>
      <c r="F57" s="827"/>
      <c r="G57" s="827"/>
      <c r="H57" s="844"/>
      <c r="I57" s="841" t="str">
        <f t="shared" si="7"/>
        <v>4.1.2</v>
      </c>
      <c r="J57" s="841" t="str">
        <f t="shared" si="8"/>
        <v>Изменение стоимости основных фондов за счет их вывода в эксплуатацию</v>
      </c>
      <c r="K57" s="841" t="str">
        <f t="shared" si="9"/>
        <v>Указываются изменение стоимости основных фондов за счет их вывода из эксплуатации.</v>
      </c>
      <c r="L57" s="830" t="str">
        <f t="shared" si="10"/>
        <v>4.1.2</v>
      </c>
      <c r="M57" s="830" t="str">
        <f t="shared" si="11"/>
        <v>Изменение стоимости основных фондов за счет их вывода в эксплуатацию</v>
      </c>
      <c r="N57" s="830" t="str">
        <f t="shared" si="12"/>
        <v>Указываются изменение стоимости основных фондов за счет их вывода из эксплуатации.</v>
      </c>
      <c r="O57" s="842" t="s">
        <v>2069</v>
      </c>
      <c r="P57" s="842" t="s">
        <v>683</v>
      </c>
      <c r="Q57" s="842" t="s">
        <v>683</v>
      </c>
      <c r="R57" s="842" t="s">
        <v>683</v>
      </c>
      <c r="S57" s="842"/>
      <c r="T57" s="830" t="e">
        <f>IF(TITLE_TYPE_ORG="Регулируемая организация","Изменения стоимости основных фондов за счет их вывода в эксплуатацию","за счет их вывода в эксплуатацию")</f>
        <v>#REF!</v>
      </c>
      <c r="U57" s="827" t="s">
        <v>2070</v>
      </c>
      <c r="V57" s="827" t="s">
        <v>2070</v>
      </c>
      <c r="W57" s="827" t="s">
        <v>2070</v>
      </c>
      <c r="X57" s="827"/>
      <c r="Y57" s="831"/>
      <c r="Z57" s="816" t="s">
        <v>685</v>
      </c>
      <c r="AA57" s="816" t="s">
        <v>685</v>
      </c>
      <c r="AB57" s="816" t="s">
        <v>685</v>
      </c>
      <c r="AC57" s="816" t="s">
        <v>685</v>
      </c>
      <c r="AD57" s="816"/>
    </row>
    <row r="58" spans="1:30" ht="18" customHeight="1">
      <c r="A58" s="829"/>
      <c r="B58" s="832">
        <v>41</v>
      </c>
      <c r="C58" s="827">
        <v>2</v>
      </c>
      <c r="D58" s="839"/>
      <c r="E58" s="827"/>
      <c r="F58" s="827"/>
      <c r="G58" s="827"/>
      <c r="H58" s="844"/>
      <c r="I58" s="841" t="str">
        <f t="shared" si="7"/>
        <v>4.2</v>
      </c>
      <c r="J58" s="841" t="str">
        <f t="shared" si="8"/>
        <v>Изменение стоимости основных фондов за счет их переоценки</v>
      </c>
      <c r="K58" s="841">
        <f t="shared" si="9"/>
        <v>0</v>
      </c>
      <c r="L58" s="830" t="str">
        <f t="shared" si="10"/>
        <v>4.2</v>
      </c>
      <c r="M58" s="830" t="str">
        <f t="shared" si="11"/>
        <v>Изменение стоимости основных фондов за счет их переоценки</v>
      </c>
      <c r="N58" s="830" t="str">
        <f t="shared" si="12"/>
        <v/>
      </c>
      <c r="O58" s="842" t="s">
        <v>805</v>
      </c>
      <c r="P58" s="842" t="s">
        <v>719</v>
      </c>
      <c r="Q58" s="842" t="s">
        <v>719</v>
      </c>
      <c r="R58" s="842" t="s">
        <v>719</v>
      </c>
      <c r="S58" s="842"/>
      <c r="T58" s="830" t="e">
        <f>IF(TITLE_TYPE_ORG="Регулируемая организация","Изменение стоимости основных фондов за счет их переоценки","за счет их переоценки")</f>
        <v>#REF!</v>
      </c>
      <c r="U58" s="827" t="s">
        <v>2071</v>
      </c>
      <c r="V58" s="827" t="s">
        <v>2071</v>
      </c>
      <c r="W58" s="827" t="s">
        <v>2071</v>
      </c>
      <c r="X58" s="827"/>
      <c r="Y58" s="831"/>
      <c r="Z58" s="816"/>
      <c r="AA58" s="823"/>
      <c r="AB58" s="816"/>
      <c r="AC58" s="816"/>
      <c r="AD58" s="816"/>
    </row>
    <row r="59" spans="1:30" ht="36" customHeight="1">
      <c r="A59" s="829"/>
      <c r="B59" s="832">
        <v>42</v>
      </c>
      <c r="C59" s="827">
        <v>3</v>
      </c>
      <c r="D59" s="839" t="s">
        <v>2059</v>
      </c>
      <c r="E59" s="827" t="s">
        <v>2059</v>
      </c>
      <c r="F59" s="827" t="s">
        <v>2059</v>
      </c>
      <c r="G59" s="827"/>
      <c r="H59" s="844"/>
      <c r="I59" s="841" t="str">
        <f t="shared" si="7"/>
        <v>5</v>
      </c>
      <c r="J59" s="841" t="str">
        <f t="shared" si="8"/>
        <v>Валовая прибыль (убытки) от продажи товаров и услуг по регулируемым видам деятельности в сфере горячего водоснабжения</v>
      </c>
      <c r="K59" s="841">
        <f t="shared" si="9"/>
        <v>0</v>
      </c>
      <c r="L59" s="830" t="str">
        <f t="shared" si="10"/>
        <v>5</v>
      </c>
      <c r="M59" s="830" t="str">
        <f t="shared" si="11"/>
        <v>Валовая прибыль (убытки) от продажи товаров и услуг по регулируемым видам деятельности в сфере горячего водоснабжения</v>
      </c>
      <c r="N59" s="830" t="str">
        <f t="shared" si="12"/>
        <v/>
      </c>
      <c r="O59" s="842"/>
      <c r="P59" s="842" t="s">
        <v>40</v>
      </c>
      <c r="Q59" s="842" t="s">
        <v>40</v>
      </c>
      <c r="R59" s="842" t="s">
        <v>40</v>
      </c>
      <c r="S59" s="842"/>
      <c r="T59" s="827"/>
      <c r="U59" s="827" t="s">
        <v>2072</v>
      </c>
      <c r="V59" s="827" t="s">
        <v>2073</v>
      </c>
      <c r="W59" s="827" t="s">
        <v>2074</v>
      </c>
      <c r="X59" s="827"/>
      <c r="Y59" s="831"/>
      <c r="Z59" s="816"/>
      <c r="AA59" s="823"/>
      <c r="AB59" s="816"/>
      <c r="AC59" s="816"/>
      <c r="AD59" s="816"/>
    </row>
    <row r="60" spans="1:30" ht="81" customHeight="1">
      <c r="A60" s="829"/>
      <c r="B60" s="832">
        <v>43</v>
      </c>
      <c r="C60" s="827" t="s">
        <v>2075</v>
      </c>
      <c r="D60" s="839" t="s">
        <v>2075</v>
      </c>
      <c r="E60" s="827" t="s">
        <v>2075</v>
      </c>
      <c r="F60" s="827" t="s">
        <v>2075</v>
      </c>
      <c r="G60" s="827"/>
      <c r="H60" s="844"/>
      <c r="I60" s="841" t="str">
        <f t="shared" si="7"/>
        <v>6</v>
      </c>
      <c r="J60" s="841" t="str">
        <f t="shared" si="8"/>
        <v>Годовая бухгалтерская (финансовая) отчетность, включая бухгалтерский баланс и приложения к нему</v>
      </c>
      <c r="K60" s="841"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30" t="str">
        <f t="shared" si="10"/>
        <v>6</v>
      </c>
      <c r="M60" s="830" t="str">
        <f t="shared" si="11"/>
        <v>Годовая бухгалтерская (финансовая) отчетность, включая бухгалтерский баланс и приложения к нему</v>
      </c>
      <c r="N60" s="830"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842" t="s">
        <v>28</v>
      </c>
      <c r="P60" s="842" t="s">
        <v>28</v>
      </c>
      <c r="Q60" s="842" t="s">
        <v>28</v>
      </c>
      <c r="R60" s="842" t="s">
        <v>28</v>
      </c>
      <c r="S60" s="842"/>
      <c r="T60" s="827" t="s">
        <v>552</v>
      </c>
      <c r="U60" s="827" t="s">
        <v>552</v>
      </c>
      <c r="V60" s="827" t="s">
        <v>552</v>
      </c>
      <c r="W60" s="827" t="s">
        <v>552</v>
      </c>
      <c r="X60" s="827"/>
      <c r="Y60" s="831"/>
      <c r="Z60" s="816" t="s">
        <v>2076</v>
      </c>
      <c r="AA60" s="823" t="s">
        <v>2077</v>
      </c>
      <c r="AB60" s="816" t="s">
        <v>2078</v>
      </c>
      <c r="AC60" s="816" t="s">
        <v>2077</v>
      </c>
      <c r="AD60" s="816"/>
    </row>
    <row r="61" spans="1:30" ht="9" customHeight="1">
      <c r="A61" s="829"/>
      <c r="B61" s="832">
        <v>44</v>
      </c>
      <c r="C61" s="827"/>
      <c r="D61" s="839" t="s">
        <v>2079</v>
      </c>
      <c r="E61" s="827"/>
      <c r="F61" s="827"/>
      <c r="G61" s="827"/>
      <c r="H61" s="844"/>
      <c r="I61" s="841">
        <f t="shared" si="7"/>
        <v>0</v>
      </c>
      <c r="J61" s="841">
        <f t="shared" si="8"/>
        <v>0</v>
      </c>
      <c r="K61" s="841">
        <f t="shared" si="9"/>
        <v>0</v>
      </c>
      <c r="L61" s="830" t="str">
        <f t="shared" si="10"/>
        <v/>
      </c>
      <c r="M61" s="830" t="str">
        <f t="shared" si="11"/>
        <v/>
      </c>
      <c r="N61" s="830" t="str">
        <f t="shared" si="12"/>
        <v/>
      </c>
      <c r="O61" s="842"/>
      <c r="P61" s="842" t="s">
        <v>29</v>
      </c>
      <c r="Q61" s="842"/>
      <c r="R61" s="842"/>
      <c r="S61" s="842"/>
      <c r="T61" s="827"/>
      <c r="U61" s="827" t="s">
        <v>2080</v>
      </c>
      <c r="V61" s="827"/>
      <c r="W61" s="827"/>
      <c r="X61" s="827"/>
      <c r="Y61" s="831"/>
      <c r="Z61" s="816"/>
      <c r="AA61" s="823"/>
      <c r="AB61" s="816"/>
      <c r="AC61" s="816"/>
      <c r="AD61" s="816"/>
    </row>
    <row r="62" spans="1:30" ht="9" customHeight="1">
      <c r="A62" s="829"/>
      <c r="B62" s="832">
        <v>45</v>
      </c>
      <c r="C62" s="827"/>
      <c r="D62" s="839" t="s">
        <v>2081</v>
      </c>
      <c r="E62" s="827"/>
      <c r="F62" s="827"/>
      <c r="G62" s="827"/>
      <c r="H62" s="844"/>
      <c r="I62" s="841">
        <f t="shared" si="7"/>
        <v>0</v>
      </c>
      <c r="J62" s="841">
        <f t="shared" si="8"/>
        <v>0</v>
      </c>
      <c r="K62" s="841">
        <f t="shared" si="9"/>
        <v>0</v>
      </c>
      <c r="L62" s="830" t="str">
        <f t="shared" si="10"/>
        <v/>
      </c>
      <c r="M62" s="830" t="str">
        <f t="shared" si="11"/>
        <v/>
      </c>
      <c r="N62" s="830" t="str">
        <f t="shared" si="12"/>
        <v/>
      </c>
      <c r="O62" s="842"/>
      <c r="P62" s="842" t="s">
        <v>41</v>
      </c>
      <c r="Q62" s="842"/>
      <c r="R62" s="842"/>
      <c r="S62" s="842"/>
      <c r="T62" s="827"/>
      <c r="U62" s="827" t="s">
        <v>2082</v>
      </c>
      <c r="V62" s="827"/>
      <c r="W62" s="827"/>
      <c r="X62" s="827"/>
      <c r="Y62" s="831"/>
      <c r="Z62" s="816"/>
      <c r="AA62" s="823"/>
      <c r="AB62" s="816"/>
      <c r="AC62" s="816"/>
      <c r="AD62" s="816"/>
    </row>
    <row r="63" spans="1:30" ht="18" customHeight="1">
      <c r="A63" s="829"/>
      <c r="B63" s="832">
        <v>46</v>
      </c>
      <c r="C63" s="827"/>
      <c r="D63" s="839" t="s">
        <v>2083</v>
      </c>
      <c r="E63" s="827"/>
      <c r="F63" s="827"/>
      <c r="G63" s="827"/>
      <c r="H63" s="844"/>
      <c r="I63" s="841">
        <f t="shared" si="7"/>
        <v>0</v>
      </c>
      <c r="J63" s="841">
        <f t="shared" si="8"/>
        <v>0</v>
      </c>
      <c r="K63" s="841">
        <f t="shared" si="9"/>
        <v>0</v>
      </c>
      <c r="L63" s="830" t="str">
        <f t="shared" si="10"/>
        <v/>
      </c>
      <c r="M63" s="830" t="str">
        <f t="shared" si="11"/>
        <v/>
      </c>
      <c r="N63" s="830" t="str">
        <f t="shared" si="12"/>
        <v/>
      </c>
      <c r="O63" s="842"/>
      <c r="P63" s="842" t="s">
        <v>73</v>
      </c>
      <c r="Q63" s="842"/>
      <c r="R63" s="842"/>
      <c r="S63" s="842"/>
      <c r="T63" s="827"/>
      <c r="U63" s="827" t="s">
        <v>2084</v>
      </c>
      <c r="V63" s="827"/>
      <c r="W63" s="827"/>
      <c r="X63" s="827"/>
      <c r="Y63" s="831"/>
      <c r="Z63" s="816"/>
      <c r="AA63" s="823"/>
      <c r="AB63" s="816"/>
      <c r="AC63" s="816"/>
      <c r="AD63" s="816"/>
    </row>
    <row r="64" spans="1:30" ht="18" customHeight="1">
      <c r="A64" s="829"/>
      <c r="B64" s="832">
        <v>47</v>
      </c>
      <c r="C64" s="827"/>
      <c r="D64" s="839" t="s">
        <v>2085</v>
      </c>
      <c r="E64" s="827"/>
      <c r="F64" s="827"/>
      <c r="G64" s="827"/>
      <c r="H64" s="844"/>
      <c r="I64" s="841">
        <f t="shared" si="7"/>
        <v>0</v>
      </c>
      <c r="J64" s="841">
        <f t="shared" si="8"/>
        <v>0</v>
      </c>
      <c r="K64" s="841">
        <f t="shared" si="9"/>
        <v>0</v>
      </c>
      <c r="L64" s="830" t="str">
        <f t="shared" si="10"/>
        <v/>
      </c>
      <c r="M64" s="830" t="str">
        <f t="shared" si="11"/>
        <v/>
      </c>
      <c r="N64" s="830" t="str">
        <f t="shared" si="12"/>
        <v/>
      </c>
      <c r="O64" s="842"/>
      <c r="P64" s="842" t="s">
        <v>74</v>
      </c>
      <c r="Q64" s="842"/>
      <c r="R64" s="842"/>
      <c r="S64" s="842"/>
      <c r="T64" s="827"/>
      <c r="U64" s="827" t="s">
        <v>2086</v>
      </c>
      <c r="V64" s="827"/>
      <c r="W64" s="827"/>
      <c r="X64" s="827"/>
      <c r="Y64" s="831"/>
      <c r="Z64" s="816"/>
      <c r="AA64" s="823" t="s">
        <v>2087</v>
      </c>
      <c r="AB64" s="816"/>
      <c r="AC64" s="816"/>
      <c r="AD64" s="816"/>
    </row>
    <row r="65" spans="1:30" ht="18" customHeight="1">
      <c r="A65" s="829"/>
      <c r="B65" s="832">
        <v>48</v>
      </c>
      <c r="C65" s="827"/>
      <c r="D65" s="839"/>
      <c r="E65" s="827"/>
      <c r="F65" s="827"/>
      <c r="G65" s="827"/>
      <c r="H65" s="844"/>
      <c r="I65" s="841">
        <f t="shared" si="7"/>
        <v>0</v>
      </c>
      <c r="J65" s="841">
        <f t="shared" si="8"/>
        <v>0</v>
      </c>
      <c r="K65" s="841">
        <f t="shared" si="9"/>
        <v>0</v>
      </c>
      <c r="L65" s="830" t="str">
        <f t="shared" si="10"/>
        <v/>
      </c>
      <c r="M65" s="830" t="str">
        <f t="shared" si="11"/>
        <v/>
      </c>
      <c r="N65" s="830" t="str">
        <f t="shared" si="12"/>
        <v/>
      </c>
      <c r="O65" s="842"/>
      <c r="P65" s="842" t="s">
        <v>2000</v>
      </c>
      <c r="Q65" s="842"/>
      <c r="R65" s="842"/>
      <c r="S65" s="842"/>
      <c r="T65" s="827"/>
      <c r="U65" s="827" t="s">
        <v>2088</v>
      </c>
      <c r="V65" s="827"/>
      <c r="W65" s="827"/>
      <c r="X65" s="827"/>
      <c r="Y65" s="831"/>
      <c r="Z65" s="816"/>
      <c r="AA65" s="823"/>
      <c r="AB65" s="816"/>
      <c r="AC65" s="816"/>
      <c r="AD65" s="816"/>
    </row>
    <row r="66" spans="1:30" ht="18" customHeight="1">
      <c r="A66" s="829"/>
      <c r="B66" s="832">
        <v>49</v>
      </c>
      <c r="C66" s="827"/>
      <c r="D66" s="839"/>
      <c r="E66" s="827"/>
      <c r="F66" s="827"/>
      <c r="G66" s="827"/>
      <c r="H66" s="844"/>
      <c r="I66" s="841">
        <f t="shared" si="7"/>
        <v>0</v>
      </c>
      <c r="J66" s="841">
        <f t="shared" si="8"/>
        <v>0</v>
      </c>
      <c r="K66" s="841">
        <f t="shared" si="9"/>
        <v>0</v>
      </c>
      <c r="L66" s="830" t="str">
        <f t="shared" si="10"/>
        <v/>
      </c>
      <c r="M66" s="830" t="str">
        <f t="shared" si="11"/>
        <v/>
      </c>
      <c r="N66" s="830" t="str">
        <f t="shared" si="12"/>
        <v/>
      </c>
      <c r="O66" s="842"/>
      <c r="P66" s="842" t="s">
        <v>2004</v>
      </c>
      <c r="Q66" s="842"/>
      <c r="R66" s="842"/>
      <c r="S66" s="842"/>
      <c r="T66" s="827"/>
      <c r="U66" s="827" t="s">
        <v>2089</v>
      </c>
      <c r="V66" s="827"/>
      <c r="W66" s="827"/>
      <c r="X66" s="827"/>
      <c r="Y66" s="831"/>
      <c r="Z66" s="816"/>
      <c r="AA66" s="823"/>
      <c r="AB66" s="816"/>
      <c r="AC66" s="816"/>
      <c r="AD66" s="816"/>
    </row>
    <row r="67" spans="1:30" ht="27" customHeight="1">
      <c r="A67" s="829"/>
      <c r="B67" s="832">
        <v>50</v>
      </c>
      <c r="C67" s="827"/>
      <c r="D67" s="839"/>
      <c r="E67" s="827"/>
      <c r="F67" s="827"/>
      <c r="G67" s="827"/>
      <c r="H67" s="844"/>
      <c r="I67" s="841">
        <f t="shared" si="7"/>
        <v>0</v>
      </c>
      <c r="J67" s="841">
        <f t="shared" si="8"/>
        <v>0</v>
      </c>
      <c r="K67" s="841">
        <f t="shared" si="9"/>
        <v>0</v>
      </c>
      <c r="L67" s="830" t="str">
        <f t="shared" si="10"/>
        <v/>
      </c>
      <c r="M67" s="830" t="str">
        <f t="shared" si="11"/>
        <v/>
      </c>
      <c r="N67" s="830" t="str">
        <f t="shared" si="12"/>
        <v/>
      </c>
      <c r="O67" s="842"/>
      <c r="P67" s="842" t="s">
        <v>2090</v>
      </c>
      <c r="Q67" s="842"/>
      <c r="R67" s="842"/>
      <c r="S67" s="842"/>
      <c r="T67" s="827"/>
      <c r="U67" s="827" t="s">
        <v>2091</v>
      </c>
      <c r="V67" s="827"/>
      <c r="W67" s="827"/>
      <c r="X67" s="827"/>
      <c r="Y67" s="831"/>
      <c r="Z67" s="816"/>
      <c r="AA67" s="823"/>
      <c r="AB67" s="816"/>
      <c r="AC67" s="816"/>
      <c r="AD67" s="816"/>
    </row>
    <row r="68" spans="1:30" ht="27" customHeight="1">
      <c r="A68" s="829"/>
      <c r="B68" s="832">
        <v>51</v>
      </c>
      <c r="C68" s="827"/>
      <c r="D68" s="839"/>
      <c r="E68" s="827"/>
      <c r="F68" s="827"/>
      <c r="G68" s="827"/>
      <c r="H68" s="844"/>
      <c r="I68" s="841">
        <f t="shared" si="7"/>
        <v>0</v>
      </c>
      <c r="J68" s="841">
        <f t="shared" si="8"/>
        <v>0</v>
      </c>
      <c r="K68" s="841">
        <f t="shared" si="9"/>
        <v>0</v>
      </c>
      <c r="L68" s="830" t="str">
        <f t="shared" si="10"/>
        <v/>
      </c>
      <c r="M68" s="830" t="str">
        <f t="shared" si="11"/>
        <v/>
      </c>
      <c r="N68" s="830" t="str">
        <f t="shared" si="12"/>
        <v/>
      </c>
      <c r="O68" s="842"/>
      <c r="P68" s="842" t="s">
        <v>2092</v>
      </c>
      <c r="Q68" s="842"/>
      <c r="R68" s="842"/>
      <c r="S68" s="842"/>
      <c r="T68" s="827"/>
      <c r="U68" s="827" t="s">
        <v>2093</v>
      </c>
      <c r="V68" s="827"/>
      <c r="W68" s="827"/>
      <c r="X68" s="827"/>
      <c r="Y68" s="831"/>
      <c r="Z68" s="816"/>
      <c r="AA68" s="823"/>
      <c r="AB68" s="816"/>
      <c r="AC68" s="816"/>
      <c r="AD68" s="816"/>
    </row>
    <row r="69" spans="1:30" ht="9" customHeight="1">
      <c r="A69" s="829"/>
      <c r="B69" s="832">
        <v>52</v>
      </c>
      <c r="C69" s="827"/>
      <c r="D69" s="839" t="s">
        <v>2094</v>
      </c>
      <c r="E69" s="827"/>
      <c r="F69" s="827"/>
      <c r="G69" s="827"/>
      <c r="H69" s="844"/>
      <c r="I69" s="841">
        <f t="shared" si="7"/>
        <v>0</v>
      </c>
      <c r="J69" s="841">
        <f t="shared" si="8"/>
        <v>0</v>
      </c>
      <c r="K69" s="841">
        <f t="shared" si="9"/>
        <v>0</v>
      </c>
      <c r="L69" s="830" t="str">
        <f t="shared" si="10"/>
        <v/>
      </c>
      <c r="M69" s="830" t="str">
        <f t="shared" si="11"/>
        <v/>
      </c>
      <c r="N69" s="830" t="str">
        <f t="shared" si="12"/>
        <v/>
      </c>
      <c r="O69" s="842"/>
      <c r="P69" s="842" t="s">
        <v>75</v>
      </c>
      <c r="Q69" s="842"/>
      <c r="R69" s="842"/>
      <c r="S69" s="842"/>
      <c r="T69" s="827"/>
      <c r="U69" s="827" t="s">
        <v>2095</v>
      </c>
      <c r="V69" s="827"/>
      <c r="W69" s="827"/>
      <c r="X69" s="827"/>
      <c r="Y69" s="831"/>
      <c r="Z69" s="816"/>
      <c r="AA69" s="823"/>
      <c r="AB69" s="816"/>
      <c r="AC69" s="816"/>
      <c r="AD69" s="816"/>
    </row>
    <row r="70" spans="1:30" ht="27" customHeight="1">
      <c r="A70" s="829"/>
      <c r="B70" s="832">
        <v>53</v>
      </c>
      <c r="C70" s="827"/>
      <c r="D70" s="839"/>
      <c r="E70" s="827" t="s">
        <v>2079</v>
      </c>
      <c r="F70" s="827"/>
      <c r="G70" s="827"/>
      <c r="H70" s="844"/>
      <c r="I70" s="841" t="str">
        <f t="shared" si="7"/>
        <v>7</v>
      </c>
      <c r="J70" s="841" t="str">
        <f t="shared" si="8"/>
        <v>Объём приобретаемой холодной воды, используемой для горячего водоснабжения</v>
      </c>
      <c r="K70" s="841">
        <f t="shared" si="9"/>
        <v>0</v>
      </c>
      <c r="L70" s="830" t="str">
        <f t="shared" si="10"/>
        <v>7</v>
      </c>
      <c r="M70" s="830" t="str">
        <f t="shared" si="11"/>
        <v>Объём приобретаемой холодной воды, используемой для горячего водоснабжения</v>
      </c>
      <c r="N70" s="830" t="str">
        <f t="shared" si="12"/>
        <v/>
      </c>
      <c r="O70" s="842"/>
      <c r="P70" s="842"/>
      <c r="Q70" s="842" t="s">
        <v>29</v>
      </c>
      <c r="R70" s="842"/>
      <c r="S70" s="842"/>
      <c r="T70" s="827"/>
      <c r="U70" s="827"/>
      <c r="V70" s="827" t="s">
        <v>2096</v>
      </c>
      <c r="W70" s="827"/>
      <c r="X70" s="827"/>
      <c r="Y70" s="831"/>
      <c r="Z70" s="816"/>
      <c r="AA70" s="823"/>
      <c r="AB70" s="816"/>
      <c r="AC70" s="816"/>
      <c r="AD70" s="816"/>
    </row>
    <row r="71" spans="1:30" ht="36" customHeight="1">
      <c r="A71" s="829"/>
      <c r="B71" s="832">
        <v>54</v>
      </c>
      <c r="C71" s="827"/>
      <c r="D71" s="839"/>
      <c r="E71" s="827" t="s">
        <v>2081</v>
      </c>
      <c r="F71" s="827"/>
      <c r="G71" s="827"/>
      <c r="H71" s="844"/>
      <c r="I71" s="841" t="str">
        <f t="shared" si="7"/>
        <v>8</v>
      </c>
      <c r="J71" s="841" t="str">
        <f t="shared" si="8"/>
        <v>Объём холодной воды, получаемой с применением собственных источников водозабора (скважин) и используемой для горячего водоснабжения</v>
      </c>
      <c r="K71" s="841">
        <f t="shared" si="9"/>
        <v>0</v>
      </c>
      <c r="L71" s="830" t="str">
        <f t="shared" si="10"/>
        <v>8</v>
      </c>
      <c r="M71" s="830" t="str">
        <f t="shared" si="11"/>
        <v>Объём холодной воды, получаемой с применением собственных источников водозабора (скважин) и используемой для горячего водоснабжения</v>
      </c>
      <c r="N71" s="830" t="str">
        <f t="shared" si="12"/>
        <v/>
      </c>
      <c r="O71" s="842"/>
      <c r="P71" s="842"/>
      <c r="Q71" s="842" t="s">
        <v>41</v>
      </c>
      <c r="R71" s="842"/>
      <c r="S71" s="842"/>
      <c r="T71" s="827"/>
      <c r="U71" s="827"/>
      <c r="V71" s="827" t="s">
        <v>2097</v>
      </c>
      <c r="W71" s="827"/>
      <c r="X71" s="827"/>
      <c r="Y71" s="831"/>
      <c r="Z71" s="816"/>
      <c r="AA71" s="823"/>
      <c r="AB71" s="816"/>
      <c r="AC71" s="816"/>
      <c r="AD71" s="816"/>
    </row>
    <row r="72" spans="1:30" ht="27" customHeight="1">
      <c r="A72" s="829"/>
      <c r="B72" s="832">
        <v>55</v>
      </c>
      <c r="C72" s="827"/>
      <c r="D72" s="839"/>
      <c r="E72" s="827" t="s">
        <v>2083</v>
      </c>
      <c r="F72" s="827"/>
      <c r="G72" s="827"/>
      <c r="H72" s="844"/>
      <c r="I72" s="841" t="str">
        <f t="shared" si="7"/>
        <v>9</v>
      </c>
      <c r="J72" s="841" t="str">
        <f t="shared" si="8"/>
        <v>Объём приобретаемой тепловой энергии (мощности), используемой для горячего водоснабжения</v>
      </c>
      <c r="K72" s="841">
        <f t="shared" si="9"/>
        <v>0</v>
      </c>
      <c r="L72" s="830" t="str">
        <f t="shared" si="10"/>
        <v>9</v>
      </c>
      <c r="M72" s="830" t="str">
        <f t="shared" si="11"/>
        <v>Объём приобретаемой тепловой энергии (мощности), используемой для горячего водоснабжения</v>
      </c>
      <c r="N72" s="830" t="str">
        <f t="shared" si="12"/>
        <v/>
      </c>
      <c r="O72" s="842"/>
      <c r="P72" s="842"/>
      <c r="Q72" s="842" t="s">
        <v>73</v>
      </c>
      <c r="R72" s="842"/>
      <c r="S72" s="842"/>
      <c r="T72" s="827"/>
      <c r="U72" s="827"/>
      <c r="V72" s="827" t="s">
        <v>2098</v>
      </c>
      <c r="W72" s="827"/>
      <c r="X72" s="827"/>
      <c r="Y72" s="831"/>
      <c r="Z72" s="816"/>
      <c r="AA72" s="823"/>
      <c r="AB72" s="816"/>
      <c r="AC72" s="816"/>
      <c r="AD72" s="816"/>
    </row>
    <row r="73" spans="1:30" ht="36" customHeight="1">
      <c r="A73" s="829"/>
      <c r="B73" s="832">
        <v>56</v>
      </c>
      <c r="C73" s="827"/>
      <c r="D73" s="839"/>
      <c r="E73" s="827" t="s">
        <v>2085</v>
      </c>
      <c r="F73" s="827"/>
      <c r="G73" s="827"/>
      <c r="H73" s="844"/>
      <c r="I73" s="841" t="str">
        <f t="shared" si="7"/>
        <v>10</v>
      </c>
      <c r="J73" s="841" t="str">
        <f t="shared" si="8"/>
        <v>Объём тепловой энергии, производимой с применением собственных источников и используемой для горячего водоснабжения</v>
      </c>
      <c r="K73" s="841">
        <f t="shared" si="9"/>
        <v>0</v>
      </c>
      <c r="L73" s="830" t="str">
        <f t="shared" si="10"/>
        <v>10</v>
      </c>
      <c r="M73" s="830" t="str">
        <f t="shared" si="11"/>
        <v>Объём тепловой энергии, производимой с применением собственных источников и используемой для горячего водоснабжения</v>
      </c>
      <c r="N73" s="830" t="str">
        <f t="shared" si="12"/>
        <v/>
      </c>
      <c r="O73" s="842"/>
      <c r="P73" s="842"/>
      <c r="Q73" s="842" t="s">
        <v>74</v>
      </c>
      <c r="R73" s="842"/>
      <c r="S73" s="842"/>
      <c r="T73" s="827"/>
      <c r="U73" s="827"/>
      <c r="V73" s="827" t="s">
        <v>2099</v>
      </c>
      <c r="W73" s="827"/>
      <c r="X73" s="827"/>
      <c r="Y73" s="831"/>
      <c r="Z73" s="816"/>
      <c r="AA73" s="823"/>
      <c r="AB73" s="816"/>
      <c r="AC73" s="816"/>
      <c r="AD73" s="816"/>
    </row>
    <row r="74" spans="1:30" ht="18" customHeight="1">
      <c r="A74" s="829"/>
      <c r="B74" s="832">
        <v>57</v>
      </c>
      <c r="C74" s="827"/>
      <c r="D74" s="839"/>
      <c r="E74" s="827" t="s">
        <v>2094</v>
      </c>
      <c r="F74" s="827"/>
      <c r="G74" s="827"/>
      <c r="H74" s="844"/>
      <c r="I74" s="841" t="str">
        <f t="shared" si="7"/>
        <v>11</v>
      </c>
      <c r="J74" s="841" t="str">
        <f t="shared" si="8"/>
        <v>Потери горячей воды в сетях (процентов)</v>
      </c>
      <c r="K74" s="841">
        <f t="shared" si="9"/>
        <v>0</v>
      </c>
      <c r="L74" s="830" t="str">
        <f t="shared" si="10"/>
        <v>11</v>
      </c>
      <c r="M74" s="830" t="str">
        <f t="shared" si="11"/>
        <v>Потери горячей воды в сетях (процентов)</v>
      </c>
      <c r="N74" s="830" t="str">
        <f t="shared" si="12"/>
        <v/>
      </c>
      <c r="O74" s="842"/>
      <c r="P74" s="842"/>
      <c r="Q74" s="842" t="s">
        <v>75</v>
      </c>
      <c r="R74" s="842"/>
      <c r="S74" s="842"/>
      <c r="T74" s="827"/>
      <c r="U74" s="827"/>
      <c r="V74" s="827" t="s">
        <v>2100</v>
      </c>
      <c r="W74" s="827"/>
      <c r="X74" s="827"/>
      <c r="Y74" s="831"/>
      <c r="Z74" s="816"/>
      <c r="AA74" s="823"/>
      <c r="AB74" s="816"/>
      <c r="AC74" s="816"/>
      <c r="AD74" s="816"/>
    </row>
    <row r="75" spans="1:30" ht="18" customHeight="1">
      <c r="A75" s="829"/>
      <c r="B75" s="832">
        <v>58</v>
      </c>
      <c r="C75" s="827"/>
      <c r="D75" s="839"/>
      <c r="E75" s="827"/>
      <c r="F75" s="827" t="s">
        <v>2079</v>
      </c>
      <c r="G75" s="827"/>
      <c r="H75" s="844"/>
      <c r="I75" s="841">
        <f t="shared" si="7"/>
        <v>0</v>
      </c>
      <c r="J75" s="841">
        <f t="shared" si="8"/>
        <v>0</v>
      </c>
      <c r="K75" s="841">
        <f t="shared" si="9"/>
        <v>0</v>
      </c>
      <c r="L75" s="830" t="str">
        <f t="shared" si="10"/>
        <v/>
      </c>
      <c r="M75" s="830" t="str">
        <f t="shared" si="11"/>
        <v/>
      </c>
      <c r="N75" s="830" t="str">
        <f t="shared" si="12"/>
        <v/>
      </c>
      <c r="O75" s="842"/>
      <c r="P75" s="842"/>
      <c r="Q75" s="842"/>
      <c r="R75" s="842" t="s">
        <v>29</v>
      </c>
      <c r="S75" s="842"/>
      <c r="T75" s="827"/>
      <c r="U75" s="827"/>
      <c r="V75" s="827"/>
      <c r="W75" s="827" t="s">
        <v>2101</v>
      </c>
      <c r="X75" s="827"/>
      <c r="Y75" s="831"/>
      <c r="Z75" s="816"/>
      <c r="AA75" s="823"/>
      <c r="AB75" s="816"/>
      <c r="AC75" s="816"/>
      <c r="AD75" s="816"/>
    </row>
    <row r="76" spans="1:30" ht="36" customHeight="1">
      <c r="A76" s="829"/>
      <c r="B76" s="832">
        <v>59</v>
      </c>
      <c r="C76" s="827"/>
      <c r="D76" s="839"/>
      <c r="E76" s="827"/>
      <c r="F76" s="827" t="s">
        <v>2081</v>
      </c>
      <c r="G76" s="827"/>
      <c r="H76" s="844"/>
      <c r="I76" s="841">
        <f t="shared" si="7"/>
        <v>0</v>
      </c>
      <c r="J76" s="841">
        <f t="shared" si="8"/>
        <v>0</v>
      </c>
      <c r="K76" s="841">
        <f t="shared" si="9"/>
        <v>0</v>
      </c>
      <c r="L76" s="830" t="str">
        <f t="shared" si="10"/>
        <v/>
      </c>
      <c r="M76" s="830" t="str">
        <f t="shared" si="11"/>
        <v/>
      </c>
      <c r="N76" s="830" t="str">
        <f t="shared" si="12"/>
        <v/>
      </c>
      <c r="O76" s="842"/>
      <c r="P76" s="842"/>
      <c r="Q76" s="842"/>
      <c r="R76" s="842" t="s">
        <v>41</v>
      </c>
      <c r="S76" s="842"/>
      <c r="T76" s="827"/>
      <c r="U76" s="827"/>
      <c r="V76" s="827"/>
      <c r="W76" s="827" t="s">
        <v>2102</v>
      </c>
      <c r="X76" s="827"/>
      <c r="Y76" s="831"/>
      <c r="Z76" s="816"/>
      <c r="AA76" s="823"/>
      <c r="AB76" s="816"/>
      <c r="AC76" s="816"/>
      <c r="AD76" s="816"/>
    </row>
    <row r="77" spans="1:30" ht="18" customHeight="1">
      <c r="A77" s="829"/>
      <c r="B77" s="832">
        <v>60</v>
      </c>
      <c r="C77" s="827"/>
      <c r="D77" s="839"/>
      <c r="E77" s="827"/>
      <c r="F77" s="827" t="s">
        <v>2083</v>
      </c>
      <c r="G77" s="827"/>
      <c r="H77" s="844"/>
      <c r="I77" s="841">
        <f t="shared" si="7"/>
        <v>0</v>
      </c>
      <c r="J77" s="841">
        <f t="shared" si="8"/>
        <v>0</v>
      </c>
      <c r="K77" s="841">
        <f t="shared" si="9"/>
        <v>0</v>
      </c>
      <c r="L77" s="830" t="str">
        <f t="shared" si="10"/>
        <v/>
      </c>
      <c r="M77" s="830" t="str">
        <f t="shared" si="11"/>
        <v/>
      </c>
      <c r="N77" s="830" t="str">
        <f t="shared" si="12"/>
        <v/>
      </c>
      <c r="O77" s="842"/>
      <c r="P77" s="842"/>
      <c r="Q77" s="842"/>
      <c r="R77" s="842" t="s">
        <v>73</v>
      </c>
      <c r="S77" s="842"/>
      <c r="T77" s="827"/>
      <c r="U77" s="827"/>
      <c r="V77" s="827"/>
      <c r="W77" s="827" t="s">
        <v>2103</v>
      </c>
      <c r="X77" s="827"/>
      <c r="Y77" s="831"/>
      <c r="Z77" s="816"/>
      <c r="AA77" s="823"/>
      <c r="AB77" s="816"/>
      <c r="AC77" s="816"/>
      <c r="AD77" s="816"/>
    </row>
    <row r="78" spans="1:30" ht="72" customHeight="1">
      <c r="A78" s="829"/>
      <c r="B78" s="832">
        <v>61</v>
      </c>
      <c r="C78" s="827" t="s">
        <v>2079</v>
      </c>
      <c r="D78" s="839"/>
      <c r="E78" s="827"/>
      <c r="F78" s="827"/>
      <c r="G78" s="827"/>
      <c r="H78" s="844"/>
      <c r="I78" s="841">
        <f t="shared" si="7"/>
        <v>0</v>
      </c>
      <c r="J78" s="841">
        <f t="shared" si="8"/>
        <v>0</v>
      </c>
      <c r="K78" s="841">
        <f t="shared" si="9"/>
        <v>0</v>
      </c>
      <c r="L78" s="830" t="str">
        <f t="shared" si="10"/>
        <v/>
      </c>
      <c r="M78" s="830" t="str">
        <f t="shared" si="11"/>
        <v/>
      </c>
      <c r="N78" s="830" t="str">
        <f t="shared" si="12"/>
        <v/>
      </c>
      <c r="O78" s="842" t="s">
        <v>29</v>
      </c>
      <c r="P78" s="842"/>
      <c r="Q78" s="842"/>
      <c r="R78" s="842"/>
      <c r="S78" s="842"/>
      <c r="T78" s="827" t="s">
        <v>557</v>
      </c>
      <c r="U78" s="827"/>
      <c r="V78" s="827"/>
      <c r="W78" s="827"/>
      <c r="X78" s="827"/>
      <c r="Y78" s="831"/>
      <c r="Z78" s="816" t="s">
        <v>2104</v>
      </c>
      <c r="AA78" s="823"/>
      <c r="AB78" s="816"/>
      <c r="AC78" s="816"/>
      <c r="AD78" s="816"/>
    </row>
    <row r="79" spans="1:30" ht="36" customHeight="1">
      <c r="A79" s="829"/>
      <c r="B79" s="832">
        <v>62</v>
      </c>
      <c r="C79" s="827" t="s">
        <v>2081</v>
      </c>
      <c r="D79" s="839"/>
      <c r="E79" s="827"/>
      <c r="F79" s="827"/>
      <c r="G79" s="827"/>
      <c r="H79" s="844"/>
      <c r="I79" s="841">
        <f t="shared" si="7"/>
        <v>0</v>
      </c>
      <c r="J79" s="841">
        <f t="shared" si="8"/>
        <v>0</v>
      </c>
      <c r="K79" s="841">
        <f t="shared" si="9"/>
        <v>0</v>
      </c>
      <c r="L79" s="830" t="str">
        <f t="shared" si="10"/>
        <v/>
      </c>
      <c r="M79" s="830" t="str">
        <f t="shared" si="11"/>
        <v/>
      </c>
      <c r="N79" s="830" t="str">
        <f t="shared" si="12"/>
        <v/>
      </c>
      <c r="O79" s="842" t="s">
        <v>41</v>
      </c>
      <c r="P79" s="842"/>
      <c r="Q79" s="842"/>
      <c r="R79" s="842"/>
      <c r="S79" s="842"/>
      <c r="T79" s="827" t="s">
        <v>2105</v>
      </c>
      <c r="U79" s="827"/>
      <c r="V79" s="827"/>
      <c r="W79" s="827"/>
      <c r="X79" s="827"/>
      <c r="Y79" s="831"/>
      <c r="Z79" s="816" t="s">
        <v>2106</v>
      </c>
      <c r="AA79" s="823"/>
      <c r="AB79" s="816"/>
      <c r="AC79" s="816"/>
      <c r="AD79" s="816"/>
    </row>
    <row r="80" spans="1:30" ht="45" customHeight="1">
      <c r="A80" s="829"/>
      <c r="B80" s="832">
        <v>63</v>
      </c>
      <c r="C80" s="827" t="s">
        <v>2083</v>
      </c>
      <c r="D80" s="839"/>
      <c r="E80" s="827"/>
      <c r="F80" s="827"/>
      <c r="G80" s="827"/>
      <c r="H80" s="844"/>
      <c r="I80" s="841">
        <f t="shared" si="7"/>
        <v>0</v>
      </c>
      <c r="J80" s="841">
        <f t="shared" si="8"/>
        <v>0</v>
      </c>
      <c r="K80" s="841">
        <f t="shared" si="9"/>
        <v>0</v>
      </c>
      <c r="L80" s="830" t="str">
        <f t="shared" si="10"/>
        <v/>
      </c>
      <c r="M80" s="830" t="str">
        <f t="shared" si="11"/>
        <v/>
      </c>
      <c r="N80" s="830" t="str">
        <f t="shared" si="12"/>
        <v/>
      </c>
      <c r="O80" s="842" t="s">
        <v>73</v>
      </c>
      <c r="P80" s="842"/>
      <c r="Q80" s="842"/>
      <c r="R80" s="842"/>
      <c r="S80" s="842"/>
      <c r="T80" s="827" t="s">
        <v>2107</v>
      </c>
      <c r="U80" s="827"/>
      <c r="V80" s="827"/>
      <c r="W80" s="827"/>
      <c r="X80" s="827"/>
      <c r="Y80" s="831"/>
      <c r="Z80" s="816" t="s">
        <v>2108</v>
      </c>
      <c r="AA80" s="823"/>
      <c r="AB80" s="816"/>
      <c r="AC80" s="816"/>
      <c r="AD80" s="816"/>
    </row>
    <row r="81" spans="1:30" ht="36" customHeight="1">
      <c r="A81" s="829"/>
      <c r="B81" s="832">
        <v>64</v>
      </c>
      <c r="C81" s="827" t="s">
        <v>2085</v>
      </c>
      <c r="D81" s="839"/>
      <c r="E81" s="827"/>
      <c r="F81" s="827"/>
      <c r="G81" s="827"/>
      <c r="H81" s="844"/>
      <c r="I81" s="841">
        <f t="shared" si="7"/>
        <v>0</v>
      </c>
      <c r="J81" s="841">
        <f t="shared" si="8"/>
        <v>0</v>
      </c>
      <c r="K81" s="841">
        <f t="shared" si="9"/>
        <v>0</v>
      </c>
      <c r="L81" s="830" t="str">
        <f t="shared" si="10"/>
        <v/>
      </c>
      <c r="M81" s="830" t="str">
        <f t="shared" si="11"/>
        <v/>
      </c>
      <c r="N81" s="830" t="str">
        <f t="shared" si="12"/>
        <v/>
      </c>
      <c r="O81" s="842" t="s">
        <v>1991</v>
      </c>
      <c r="P81" s="842"/>
      <c r="Q81" s="842"/>
      <c r="R81" s="842"/>
      <c r="S81" s="842"/>
      <c r="T81" s="827" t="s">
        <v>2109</v>
      </c>
      <c r="U81" s="827"/>
      <c r="V81" s="827"/>
      <c r="W81" s="827"/>
      <c r="X81" s="827"/>
      <c r="Y81" s="831"/>
      <c r="Z81" s="816" t="s">
        <v>2110</v>
      </c>
      <c r="AA81" s="823"/>
      <c r="AB81" s="816"/>
      <c r="AC81" s="816"/>
      <c r="AD81" s="816"/>
    </row>
    <row r="82" spans="1:30" ht="90" customHeight="1">
      <c r="A82" s="829"/>
      <c r="B82" s="832">
        <v>65</v>
      </c>
      <c r="C82" s="827" t="s">
        <v>2094</v>
      </c>
      <c r="D82" s="839"/>
      <c r="E82" s="827"/>
      <c r="F82" s="827"/>
      <c r="G82" s="827"/>
      <c r="H82" s="844"/>
      <c r="I82" s="841">
        <f t="shared" ref="I82:I101" si="13">INDEX(TEMPLATE_NUMBER_POINT_FHD,B82,MATCH(TEMPLATE_SPHERE,TEMPLATE_SPHERE_LIST_FOR_NOTE,0))</f>
        <v>0</v>
      </c>
      <c r="J82" s="841">
        <f t="shared" ref="J82:J101" si="14">INDEX(TEMPLATE_DATA_POINT_FHD,B82,MATCH(TEMPLATE_SPHERE,TEMPLATE_SPHERE_LIST_FOR_NOTE,0))</f>
        <v>0</v>
      </c>
      <c r="K82" s="841">
        <f t="shared" ref="K82:K101" si="15">INDEX(TEMPLATE_NOTE_POINT_FHD,B82,MATCH(TEMPLATE_SPHERE,TEMPLATE_SPHERE_LIST_FOR_NOTE,0))</f>
        <v>0</v>
      </c>
      <c r="L82" s="830" t="str">
        <f t="shared" ref="L82:L101" si="16">IF(I82=0,"",I82)</f>
        <v/>
      </c>
      <c r="M82" s="830" t="str">
        <f t="shared" ref="M82:M101" si="17">IF(J82=0,"",J82)</f>
        <v/>
      </c>
      <c r="N82" s="830" t="str">
        <f t="shared" ref="N82:N101" si="18">IF(K82=0,"",K82)</f>
        <v/>
      </c>
      <c r="O82" s="842" t="s">
        <v>74</v>
      </c>
      <c r="P82" s="842"/>
      <c r="Q82" s="842"/>
      <c r="R82" s="842"/>
      <c r="S82" s="842"/>
      <c r="T82" s="827" t="s">
        <v>2111</v>
      </c>
      <c r="U82" s="827"/>
      <c r="V82" s="827"/>
      <c r="W82" s="827"/>
      <c r="X82" s="827"/>
      <c r="Y82" s="831"/>
      <c r="Z82" s="816" t="s">
        <v>2112</v>
      </c>
      <c r="AA82" s="823"/>
      <c r="AB82" s="816"/>
      <c r="AC82" s="816"/>
      <c r="AD82" s="816"/>
    </row>
    <row r="83" spans="1:30" ht="9" customHeight="1">
      <c r="A83" s="829"/>
      <c r="B83" s="832">
        <v>66</v>
      </c>
      <c r="C83" s="827"/>
      <c r="D83" s="839"/>
      <c r="E83" s="827"/>
      <c r="F83" s="827"/>
      <c r="G83" s="827"/>
      <c r="H83" s="844"/>
      <c r="I83" s="841">
        <f t="shared" si="13"/>
        <v>0</v>
      </c>
      <c r="J83" s="841">
        <f t="shared" si="14"/>
        <v>0</v>
      </c>
      <c r="K83" s="841">
        <f t="shared" si="15"/>
        <v>0</v>
      </c>
      <c r="L83" s="830" t="str">
        <f t="shared" si="16"/>
        <v/>
      </c>
      <c r="M83" s="830" t="str">
        <f t="shared" si="17"/>
        <v/>
      </c>
      <c r="N83" s="830" t="str">
        <f t="shared" si="18"/>
        <v/>
      </c>
      <c r="O83" s="842" t="s">
        <v>2000</v>
      </c>
      <c r="P83" s="842"/>
      <c r="Q83" s="842"/>
      <c r="R83" s="842"/>
      <c r="S83" s="842"/>
      <c r="T83" s="827" t="s">
        <v>2113</v>
      </c>
      <c r="U83" s="827"/>
      <c r="V83" s="827"/>
      <c r="W83" s="827"/>
      <c r="X83" s="827"/>
      <c r="Y83" s="831"/>
      <c r="Z83" s="816"/>
      <c r="AA83" s="823"/>
      <c r="AB83" s="816"/>
      <c r="AC83" s="816"/>
      <c r="AD83" s="816"/>
    </row>
    <row r="84" spans="1:30" ht="54" customHeight="1">
      <c r="A84" s="829"/>
      <c r="B84" s="832">
        <v>67</v>
      </c>
      <c r="C84" s="827"/>
      <c r="D84" s="839"/>
      <c r="E84" s="827"/>
      <c r="F84" s="827"/>
      <c r="G84" s="827"/>
      <c r="H84" s="844"/>
      <c r="I84" s="841">
        <f t="shared" si="13"/>
        <v>0</v>
      </c>
      <c r="J84" s="841">
        <f t="shared" si="14"/>
        <v>0</v>
      </c>
      <c r="K84" s="841">
        <f t="shared" si="15"/>
        <v>0</v>
      </c>
      <c r="L84" s="830" t="str">
        <f t="shared" si="16"/>
        <v/>
      </c>
      <c r="M84" s="830" t="str">
        <f t="shared" si="17"/>
        <v/>
      </c>
      <c r="N84" s="830" t="str">
        <f t="shared" si="18"/>
        <v/>
      </c>
      <c r="O84" s="842" t="s">
        <v>2114</v>
      </c>
      <c r="P84" s="842"/>
      <c r="Q84" s="842"/>
      <c r="R84" s="842"/>
      <c r="S84" s="842"/>
      <c r="T84" s="827" t="s">
        <v>2115</v>
      </c>
      <c r="U84" s="827"/>
      <c r="V84" s="827"/>
      <c r="W84" s="827"/>
      <c r="X84" s="827"/>
      <c r="Y84" s="831"/>
      <c r="Z84" s="816"/>
      <c r="AA84" s="823"/>
      <c r="AB84" s="816"/>
      <c r="AC84" s="816"/>
      <c r="AD84" s="816"/>
    </row>
    <row r="85" spans="1:30" ht="9" customHeight="1">
      <c r="A85" s="829"/>
      <c r="B85" s="832">
        <v>68</v>
      </c>
      <c r="C85" s="827"/>
      <c r="D85" s="839"/>
      <c r="E85" s="827"/>
      <c r="F85" s="827"/>
      <c r="G85" s="827"/>
      <c r="H85" s="844"/>
      <c r="I85" s="841">
        <f t="shared" si="13"/>
        <v>0</v>
      </c>
      <c r="J85" s="841">
        <f t="shared" si="14"/>
        <v>0</v>
      </c>
      <c r="K85" s="841">
        <f t="shared" si="15"/>
        <v>0</v>
      </c>
      <c r="L85" s="830" t="str">
        <f t="shared" si="16"/>
        <v/>
      </c>
      <c r="M85" s="830" t="str">
        <f t="shared" si="17"/>
        <v/>
      </c>
      <c r="N85" s="830" t="str">
        <f t="shared" si="18"/>
        <v/>
      </c>
      <c r="O85" s="842" t="s">
        <v>2004</v>
      </c>
      <c r="P85" s="842"/>
      <c r="Q85" s="842"/>
      <c r="R85" s="842"/>
      <c r="S85" s="842"/>
      <c r="T85" s="827" t="s">
        <v>2116</v>
      </c>
      <c r="U85" s="827"/>
      <c r="V85" s="827"/>
      <c r="W85" s="827"/>
      <c r="X85" s="827"/>
      <c r="Y85" s="831"/>
      <c r="Z85" s="816"/>
      <c r="AA85" s="823"/>
      <c r="AB85" s="816"/>
      <c r="AC85" s="816"/>
      <c r="AD85" s="816"/>
    </row>
    <row r="86" spans="1:30" ht="27" customHeight="1">
      <c r="A86" s="829"/>
      <c r="B86" s="832">
        <v>69</v>
      </c>
      <c r="C86" s="827"/>
      <c r="D86" s="839"/>
      <c r="E86" s="827"/>
      <c r="F86" s="827"/>
      <c r="G86" s="827"/>
      <c r="H86" s="844"/>
      <c r="I86" s="841">
        <f t="shared" si="13"/>
        <v>0</v>
      </c>
      <c r="J86" s="841">
        <f t="shared" si="14"/>
        <v>0</v>
      </c>
      <c r="K86" s="841">
        <f t="shared" si="15"/>
        <v>0</v>
      </c>
      <c r="L86" s="830" t="str">
        <f t="shared" si="16"/>
        <v/>
      </c>
      <c r="M86" s="830" t="str">
        <f t="shared" si="17"/>
        <v/>
      </c>
      <c r="N86" s="830" t="str">
        <f t="shared" si="18"/>
        <v/>
      </c>
      <c r="O86" s="842" t="s">
        <v>2117</v>
      </c>
      <c r="P86" s="842"/>
      <c r="Q86" s="842"/>
      <c r="R86" s="842"/>
      <c r="S86" s="842"/>
      <c r="T86" s="827" t="s">
        <v>2118</v>
      </c>
      <c r="U86" s="827"/>
      <c r="V86" s="827"/>
      <c r="W86" s="827"/>
      <c r="X86" s="827"/>
      <c r="Y86" s="831"/>
      <c r="Z86" s="816"/>
      <c r="AA86" s="823"/>
      <c r="AB86" s="816"/>
      <c r="AC86" s="816"/>
      <c r="AD86" s="816"/>
    </row>
    <row r="87" spans="1:30" ht="36" customHeight="1">
      <c r="A87" s="829"/>
      <c r="B87" s="832">
        <v>70</v>
      </c>
      <c r="C87" s="827" t="s">
        <v>2119</v>
      </c>
      <c r="D87" s="839"/>
      <c r="E87" s="827"/>
      <c r="F87" s="827"/>
      <c r="G87" s="827"/>
      <c r="H87" s="844"/>
      <c r="I87" s="841">
        <f t="shared" si="13"/>
        <v>0</v>
      </c>
      <c r="J87" s="841">
        <f t="shared" si="14"/>
        <v>0</v>
      </c>
      <c r="K87" s="841">
        <f t="shared" si="15"/>
        <v>0</v>
      </c>
      <c r="L87" s="830" t="str">
        <f t="shared" si="16"/>
        <v/>
      </c>
      <c r="M87" s="830" t="str">
        <f t="shared" si="17"/>
        <v/>
      </c>
      <c r="N87" s="830" t="str">
        <f t="shared" si="18"/>
        <v/>
      </c>
      <c r="O87" s="842" t="s">
        <v>75</v>
      </c>
      <c r="P87" s="842"/>
      <c r="Q87" s="842"/>
      <c r="R87" s="842"/>
      <c r="S87" s="842"/>
      <c r="T87" s="827" t="s">
        <v>2120</v>
      </c>
      <c r="U87" s="827"/>
      <c r="V87" s="827"/>
      <c r="W87" s="827"/>
      <c r="X87" s="827"/>
      <c r="Y87" s="831"/>
      <c r="Z87" s="816"/>
      <c r="AA87" s="823"/>
      <c r="AB87" s="816"/>
      <c r="AC87" s="816"/>
      <c r="AD87" s="816"/>
    </row>
    <row r="88" spans="1:30" ht="18" customHeight="1">
      <c r="A88" s="829"/>
      <c r="B88" s="832">
        <v>71</v>
      </c>
      <c r="C88" s="827" t="s">
        <v>2121</v>
      </c>
      <c r="D88" s="839"/>
      <c r="E88" s="827"/>
      <c r="F88" s="827"/>
      <c r="G88" s="827"/>
      <c r="H88" s="844"/>
      <c r="I88" s="841">
        <f t="shared" si="13"/>
        <v>0</v>
      </c>
      <c r="J88" s="841">
        <f t="shared" si="14"/>
        <v>0</v>
      </c>
      <c r="K88" s="841">
        <f t="shared" si="15"/>
        <v>0</v>
      </c>
      <c r="L88" s="830" t="str">
        <f t="shared" si="16"/>
        <v/>
      </c>
      <c r="M88" s="830" t="str">
        <f t="shared" si="17"/>
        <v/>
      </c>
      <c r="N88" s="830" t="str">
        <f t="shared" si="18"/>
        <v/>
      </c>
      <c r="O88" s="842" t="s">
        <v>76</v>
      </c>
      <c r="P88" s="842"/>
      <c r="Q88" s="842"/>
      <c r="R88" s="842"/>
      <c r="S88" s="842"/>
      <c r="T88" s="827" t="s">
        <v>589</v>
      </c>
      <c r="U88" s="827"/>
      <c r="V88" s="827"/>
      <c r="W88" s="827"/>
      <c r="X88" s="827"/>
      <c r="Y88" s="831"/>
      <c r="Z88" s="816"/>
      <c r="AA88" s="823"/>
      <c r="AB88" s="816"/>
      <c r="AC88" s="816"/>
      <c r="AD88" s="816"/>
    </row>
    <row r="89" spans="1:30" ht="18" customHeight="1">
      <c r="A89" s="829"/>
      <c r="B89" s="832">
        <v>72</v>
      </c>
      <c r="C89" s="827" t="s">
        <v>2122</v>
      </c>
      <c r="D89" s="839" t="s">
        <v>2119</v>
      </c>
      <c r="E89" s="827" t="s">
        <v>2119</v>
      </c>
      <c r="F89" s="827" t="s">
        <v>2085</v>
      </c>
      <c r="G89" s="827"/>
      <c r="H89" s="844"/>
      <c r="I89" s="841" t="str">
        <f t="shared" si="13"/>
        <v>12</v>
      </c>
      <c r="J89" s="841" t="str">
        <f t="shared" si="14"/>
        <v>Среднесписочная численность основного производственного персонала</v>
      </c>
      <c r="K89" s="841">
        <f t="shared" si="15"/>
        <v>0</v>
      </c>
      <c r="L89" s="830" t="str">
        <f t="shared" si="16"/>
        <v>12</v>
      </c>
      <c r="M89" s="830" t="str">
        <f t="shared" si="17"/>
        <v>Среднесписочная численность основного производственного персонала</v>
      </c>
      <c r="N89" s="830" t="str">
        <f t="shared" si="18"/>
        <v/>
      </c>
      <c r="O89" s="842" t="s">
        <v>77</v>
      </c>
      <c r="P89" s="842" t="s">
        <v>76</v>
      </c>
      <c r="Q89" s="842" t="s">
        <v>76</v>
      </c>
      <c r="R89" s="842" t="s">
        <v>74</v>
      </c>
      <c r="S89" s="842"/>
      <c r="T89" s="827" t="s">
        <v>597</v>
      </c>
      <c r="U89" s="827" t="s">
        <v>597</v>
      </c>
      <c r="V89" s="827" t="s">
        <v>597</v>
      </c>
      <c r="W89" s="827" t="s">
        <v>597</v>
      </c>
      <c r="X89" s="827"/>
      <c r="Y89" s="831"/>
      <c r="Z89" s="816"/>
      <c r="AA89" s="823"/>
      <c r="AB89" s="816"/>
      <c r="AC89" s="816"/>
      <c r="AD89" s="816"/>
    </row>
    <row r="90" spans="1:30" ht="27" customHeight="1">
      <c r="A90" s="829"/>
      <c r="B90" s="832">
        <v>73</v>
      </c>
      <c r="C90" s="827" t="s">
        <v>2123</v>
      </c>
      <c r="D90" s="839"/>
      <c r="E90" s="827"/>
      <c r="F90" s="827"/>
      <c r="G90" s="827"/>
      <c r="H90" s="844"/>
      <c r="I90" s="841">
        <f t="shared" si="13"/>
        <v>0</v>
      </c>
      <c r="J90" s="841">
        <f t="shared" si="14"/>
        <v>0</v>
      </c>
      <c r="K90" s="841">
        <f t="shared" si="15"/>
        <v>0</v>
      </c>
      <c r="L90" s="830" t="str">
        <f t="shared" si="16"/>
        <v/>
      </c>
      <c r="M90" s="830" t="str">
        <f t="shared" si="17"/>
        <v/>
      </c>
      <c r="N90" s="830" t="str">
        <f t="shared" si="18"/>
        <v/>
      </c>
      <c r="O90" s="842" t="s">
        <v>78</v>
      </c>
      <c r="P90" s="842"/>
      <c r="Q90" s="842"/>
      <c r="R90" s="842"/>
      <c r="S90" s="842"/>
      <c r="T90" s="827" t="s">
        <v>599</v>
      </c>
      <c r="U90" s="827"/>
      <c r="V90" s="827"/>
      <c r="W90" s="827"/>
      <c r="X90" s="827"/>
      <c r="Y90" s="831"/>
      <c r="Z90" s="816"/>
      <c r="AA90" s="823"/>
      <c r="AB90" s="816"/>
      <c r="AC90" s="816"/>
      <c r="AD90" s="816"/>
    </row>
    <row r="91" spans="1:30" ht="18" customHeight="1">
      <c r="A91" s="829"/>
      <c r="B91" s="832">
        <v>74</v>
      </c>
      <c r="C91" s="827"/>
      <c r="D91" s="839" t="s">
        <v>2121</v>
      </c>
      <c r="E91" s="827" t="s">
        <v>2121</v>
      </c>
      <c r="F91" s="827"/>
      <c r="G91" s="827"/>
      <c r="H91" s="844"/>
      <c r="I91" s="841" t="str">
        <f t="shared" si="13"/>
        <v>13</v>
      </c>
      <c r="J91" s="841" t="str">
        <f t="shared" si="14"/>
        <v>Удельный расход электрической энергии на подачу воды в сеть</v>
      </c>
      <c r="K91" s="841">
        <f t="shared" si="15"/>
        <v>0</v>
      </c>
      <c r="L91" s="830" t="str">
        <f t="shared" si="16"/>
        <v>13</v>
      </c>
      <c r="M91" s="830" t="str">
        <f t="shared" si="17"/>
        <v>Удельный расход электрической энергии на подачу воды в сеть</v>
      </c>
      <c r="N91" s="830" t="str">
        <f t="shared" si="18"/>
        <v/>
      </c>
      <c r="O91" s="842"/>
      <c r="P91" s="842" t="s">
        <v>77</v>
      </c>
      <c r="Q91" s="842" t="s">
        <v>77</v>
      </c>
      <c r="R91" s="842"/>
      <c r="S91" s="842"/>
      <c r="T91" s="827"/>
      <c r="U91" s="827" t="s">
        <v>2124</v>
      </c>
      <c r="V91" s="827" t="s">
        <v>2124</v>
      </c>
      <c r="W91" s="827"/>
      <c r="X91" s="827"/>
      <c r="Y91" s="831"/>
      <c r="Z91" s="816"/>
      <c r="AA91" s="823"/>
      <c r="AB91" s="816"/>
      <c r="AC91" s="816"/>
      <c r="AD91" s="816"/>
    </row>
    <row r="92" spans="1:30" ht="27" customHeight="1">
      <c r="A92" s="829"/>
      <c r="B92" s="832">
        <v>75</v>
      </c>
      <c r="C92" s="827"/>
      <c r="D92" s="839" t="s">
        <v>2122</v>
      </c>
      <c r="E92" s="827"/>
      <c r="F92" s="827"/>
      <c r="G92" s="827"/>
      <c r="H92" s="844"/>
      <c r="I92" s="841">
        <f t="shared" si="13"/>
        <v>0</v>
      </c>
      <c r="J92" s="841">
        <f t="shared" si="14"/>
        <v>0</v>
      </c>
      <c r="K92" s="841">
        <f t="shared" si="15"/>
        <v>0</v>
      </c>
      <c r="L92" s="830" t="str">
        <f t="shared" si="16"/>
        <v/>
      </c>
      <c r="M92" s="830" t="str">
        <f t="shared" si="17"/>
        <v/>
      </c>
      <c r="N92" s="830" t="str">
        <f t="shared" si="18"/>
        <v/>
      </c>
      <c r="O92" s="842"/>
      <c r="P92" s="842" t="s">
        <v>78</v>
      </c>
      <c r="Q92" s="842"/>
      <c r="R92" s="842"/>
      <c r="S92" s="842"/>
      <c r="T92" s="827"/>
      <c r="U92" s="827" t="s">
        <v>2125</v>
      </c>
      <c r="V92" s="827"/>
      <c r="W92" s="827"/>
      <c r="X92" s="827"/>
      <c r="Y92" s="831"/>
      <c r="Z92" s="816"/>
      <c r="AA92" s="823" t="s">
        <v>2126</v>
      </c>
      <c r="AB92" s="816"/>
      <c r="AC92" s="816"/>
      <c r="AD92" s="816"/>
    </row>
    <row r="93" spans="1:30" ht="27" customHeight="1">
      <c r="A93" s="829"/>
      <c r="B93" s="832">
        <v>76</v>
      </c>
      <c r="C93" s="827"/>
      <c r="D93" s="839"/>
      <c r="E93" s="827"/>
      <c r="F93" s="827"/>
      <c r="G93" s="827"/>
      <c r="H93" s="844"/>
      <c r="I93" s="841">
        <f t="shared" si="13"/>
        <v>0</v>
      </c>
      <c r="J93" s="841">
        <f t="shared" si="14"/>
        <v>0</v>
      </c>
      <c r="K93" s="841">
        <f t="shared" si="15"/>
        <v>0</v>
      </c>
      <c r="L93" s="830" t="str">
        <f t="shared" si="16"/>
        <v/>
      </c>
      <c r="M93" s="830" t="str">
        <f t="shared" si="17"/>
        <v/>
      </c>
      <c r="N93" s="830" t="str">
        <f t="shared" si="18"/>
        <v/>
      </c>
      <c r="O93" s="842"/>
      <c r="P93" s="842" t="s">
        <v>2032</v>
      </c>
      <c r="Q93" s="842"/>
      <c r="R93" s="842"/>
      <c r="S93" s="842"/>
      <c r="T93" s="827"/>
      <c r="U93" s="827" t="s">
        <v>2127</v>
      </c>
      <c r="V93" s="827"/>
      <c r="W93" s="827"/>
      <c r="X93" s="827"/>
      <c r="Y93" s="831"/>
      <c r="Z93" s="816"/>
      <c r="AA93" s="823" t="s">
        <v>2128</v>
      </c>
      <c r="AB93" s="816"/>
      <c r="AC93" s="816"/>
      <c r="AD93" s="816"/>
    </row>
    <row r="94" spans="1:30" ht="45" customHeight="1">
      <c r="A94" s="829"/>
      <c r="B94" s="832">
        <v>77</v>
      </c>
      <c r="C94" s="827"/>
      <c r="D94" s="839" t="s">
        <v>2123</v>
      </c>
      <c r="E94" s="827"/>
      <c r="F94" s="827"/>
      <c r="G94" s="827"/>
      <c r="H94" s="844"/>
      <c r="I94" s="841">
        <f t="shared" si="13"/>
        <v>0</v>
      </c>
      <c r="J94" s="841">
        <f t="shared" si="14"/>
        <v>0</v>
      </c>
      <c r="K94" s="841">
        <f t="shared" si="15"/>
        <v>0</v>
      </c>
      <c r="L94" s="830" t="str">
        <f t="shared" si="16"/>
        <v/>
      </c>
      <c r="M94" s="830" t="str">
        <f t="shared" si="17"/>
        <v/>
      </c>
      <c r="N94" s="830" t="str">
        <f t="shared" si="18"/>
        <v/>
      </c>
      <c r="O94" s="842"/>
      <c r="P94" s="842" t="s">
        <v>1386</v>
      </c>
      <c r="Q94" s="842"/>
      <c r="R94" s="842"/>
      <c r="S94" s="842"/>
      <c r="T94" s="827"/>
      <c r="U94" s="827" t="s">
        <v>2129</v>
      </c>
      <c r="V94" s="827"/>
      <c r="W94" s="827"/>
      <c r="X94" s="827"/>
      <c r="Y94" s="831"/>
      <c r="Z94" s="816"/>
      <c r="AA94" s="823" t="s">
        <v>2130</v>
      </c>
      <c r="AB94" s="816"/>
      <c r="AC94" s="816"/>
      <c r="AD94" s="816"/>
    </row>
    <row r="95" spans="1:30" ht="99" customHeight="1">
      <c r="A95" s="829"/>
      <c r="B95" s="832">
        <v>78</v>
      </c>
      <c r="C95" s="827" t="s">
        <v>2131</v>
      </c>
      <c r="D95" s="839"/>
      <c r="E95" s="827"/>
      <c r="F95" s="827"/>
      <c r="G95" s="827"/>
      <c r="H95" s="844"/>
      <c r="I95" s="841">
        <f t="shared" si="13"/>
        <v>0</v>
      </c>
      <c r="J95" s="841">
        <f t="shared" si="14"/>
        <v>0</v>
      </c>
      <c r="K95" s="841">
        <f t="shared" si="15"/>
        <v>0</v>
      </c>
      <c r="L95" s="830" t="str">
        <f t="shared" si="16"/>
        <v/>
      </c>
      <c r="M95" s="830" t="str">
        <f t="shared" si="17"/>
        <v/>
      </c>
      <c r="N95" s="830" t="str">
        <f t="shared" si="18"/>
        <v/>
      </c>
      <c r="O95" s="842" t="s">
        <v>1386</v>
      </c>
      <c r="P95" s="842"/>
      <c r="Q95" s="842"/>
      <c r="R95" s="842"/>
      <c r="S95" s="842"/>
      <c r="T95" s="827" t="s">
        <v>2132</v>
      </c>
      <c r="U95" s="827"/>
      <c r="V95" s="827"/>
      <c r="W95" s="827"/>
      <c r="X95" s="827"/>
      <c r="Y95" s="831"/>
      <c r="Z95" s="816"/>
      <c r="AA95" s="823"/>
      <c r="AB95" s="816"/>
      <c r="AC95" s="816"/>
      <c r="AD95" s="816"/>
    </row>
    <row r="96" spans="1:30" ht="99" customHeight="1">
      <c r="A96" s="829"/>
      <c r="B96" s="832">
        <v>79</v>
      </c>
      <c r="C96" s="827" t="s">
        <v>1073</v>
      </c>
      <c r="D96" s="839"/>
      <c r="E96" s="827"/>
      <c r="F96" s="827"/>
      <c r="G96" s="827"/>
      <c r="H96" s="844"/>
      <c r="I96" s="841">
        <f t="shared" si="13"/>
        <v>0</v>
      </c>
      <c r="J96" s="841">
        <f t="shared" si="14"/>
        <v>0</v>
      </c>
      <c r="K96" s="841">
        <f t="shared" si="15"/>
        <v>0</v>
      </c>
      <c r="L96" s="830" t="str">
        <f t="shared" si="16"/>
        <v/>
      </c>
      <c r="M96" s="830" t="str">
        <f t="shared" si="17"/>
        <v/>
      </c>
      <c r="N96" s="830" t="str">
        <f t="shared" si="18"/>
        <v/>
      </c>
      <c r="O96" s="842" t="s">
        <v>1392</v>
      </c>
      <c r="P96" s="842"/>
      <c r="Q96" s="842"/>
      <c r="R96" s="842"/>
      <c r="S96" s="842"/>
      <c r="T96" s="827" t="s">
        <v>2133</v>
      </c>
      <c r="U96" s="827"/>
      <c r="V96" s="827"/>
      <c r="W96" s="827"/>
      <c r="X96" s="827"/>
      <c r="Y96" s="831"/>
      <c r="Z96" s="816" t="s">
        <v>2134</v>
      </c>
      <c r="AA96" s="823"/>
      <c r="AB96" s="816"/>
      <c r="AC96" s="816"/>
      <c r="AD96" s="816"/>
    </row>
    <row r="97" spans="1:30" ht="63" customHeight="1">
      <c r="A97" s="829"/>
      <c r="B97" s="832">
        <v>80</v>
      </c>
      <c r="C97" s="827" t="s">
        <v>2135</v>
      </c>
      <c r="D97" s="839"/>
      <c r="E97" s="827"/>
      <c r="F97" s="827"/>
      <c r="G97" s="827"/>
      <c r="H97" s="844"/>
      <c r="I97" s="841">
        <f t="shared" si="13"/>
        <v>0</v>
      </c>
      <c r="J97" s="841">
        <f t="shared" si="14"/>
        <v>0</v>
      </c>
      <c r="K97" s="841">
        <f t="shared" si="15"/>
        <v>0</v>
      </c>
      <c r="L97" s="830" t="str">
        <f t="shared" si="16"/>
        <v/>
      </c>
      <c r="M97" s="830" t="str">
        <f t="shared" si="17"/>
        <v/>
      </c>
      <c r="N97" s="830" t="str">
        <f t="shared" si="18"/>
        <v/>
      </c>
      <c r="O97" s="842" t="s">
        <v>1404</v>
      </c>
      <c r="P97" s="842"/>
      <c r="Q97" s="842"/>
      <c r="R97" s="842"/>
      <c r="S97" s="842"/>
      <c r="T97" s="827" t="s">
        <v>2136</v>
      </c>
      <c r="U97" s="827"/>
      <c r="V97" s="827"/>
      <c r="W97" s="827"/>
      <c r="X97" s="827"/>
      <c r="Y97" s="831"/>
      <c r="Z97" s="816" t="s">
        <v>2137</v>
      </c>
      <c r="AA97" s="823"/>
      <c r="AB97" s="816"/>
      <c r="AC97" s="816"/>
      <c r="AD97" s="816"/>
    </row>
    <row r="98" spans="1:30" ht="63" customHeight="1">
      <c r="A98" s="829"/>
      <c r="B98" s="832">
        <v>81</v>
      </c>
      <c r="C98" s="827" t="s">
        <v>2138</v>
      </c>
      <c r="D98" s="839"/>
      <c r="E98" s="827"/>
      <c r="F98" s="827"/>
      <c r="G98" s="827"/>
      <c r="H98" s="844"/>
      <c r="I98" s="841">
        <f t="shared" si="13"/>
        <v>0</v>
      </c>
      <c r="J98" s="841">
        <f t="shared" si="14"/>
        <v>0</v>
      </c>
      <c r="K98" s="841">
        <f t="shared" si="15"/>
        <v>0</v>
      </c>
      <c r="L98" s="830" t="str">
        <f t="shared" si="16"/>
        <v/>
      </c>
      <c r="M98" s="830" t="str">
        <f t="shared" si="17"/>
        <v/>
      </c>
      <c r="N98" s="830" t="str">
        <f t="shared" si="18"/>
        <v/>
      </c>
      <c r="O98" s="842" t="s">
        <v>1418</v>
      </c>
      <c r="P98" s="842"/>
      <c r="Q98" s="842"/>
      <c r="R98" s="842"/>
      <c r="S98" s="842"/>
      <c r="T98" s="827" t="s">
        <v>2139</v>
      </c>
      <c r="U98" s="827"/>
      <c r="V98" s="827"/>
      <c r="W98" s="827"/>
      <c r="X98" s="827"/>
      <c r="Y98" s="831"/>
      <c r="Z98" s="816" t="s">
        <v>2137</v>
      </c>
      <c r="AA98" s="823"/>
      <c r="AB98" s="816"/>
      <c r="AC98" s="816"/>
      <c r="AD98" s="816"/>
    </row>
    <row r="99" spans="1:30" ht="90" customHeight="1">
      <c r="A99" s="829"/>
      <c r="B99" s="832">
        <v>82</v>
      </c>
      <c r="C99" s="827" t="s">
        <v>2140</v>
      </c>
      <c r="D99" s="839"/>
      <c r="E99" s="827"/>
      <c r="F99" s="827"/>
      <c r="G99" s="827"/>
      <c r="H99" s="844"/>
      <c r="I99" s="841">
        <f t="shared" si="13"/>
        <v>0</v>
      </c>
      <c r="J99" s="841">
        <f t="shared" si="14"/>
        <v>0</v>
      </c>
      <c r="K99" s="841">
        <f t="shared" si="15"/>
        <v>0</v>
      </c>
      <c r="L99" s="830" t="str">
        <f t="shared" si="16"/>
        <v/>
      </c>
      <c r="M99" s="830" t="str">
        <f t="shared" si="17"/>
        <v/>
      </c>
      <c r="N99" s="830" t="str">
        <f t="shared" si="18"/>
        <v/>
      </c>
      <c r="O99" s="842" t="s">
        <v>1430</v>
      </c>
      <c r="P99" s="842"/>
      <c r="Q99" s="842"/>
      <c r="R99" s="842"/>
      <c r="S99" s="842"/>
      <c r="T99" s="827" t="s">
        <v>2141</v>
      </c>
      <c r="U99" s="827"/>
      <c r="V99" s="827"/>
      <c r="W99" s="827"/>
      <c r="X99" s="827"/>
      <c r="Y99" s="831"/>
      <c r="Z99" s="816" t="s">
        <v>554</v>
      </c>
      <c r="AA99" s="823"/>
      <c r="AB99" s="816"/>
      <c r="AC99" s="816"/>
      <c r="AD99" s="816"/>
    </row>
    <row r="100" spans="1:30" ht="27" customHeight="1">
      <c r="A100" s="829"/>
      <c r="B100" s="832">
        <v>83</v>
      </c>
      <c r="C100" s="827"/>
      <c r="D100" s="839"/>
      <c r="E100" s="827"/>
      <c r="F100" s="827"/>
      <c r="G100" s="827"/>
      <c r="H100" s="844"/>
      <c r="I100" s="841">
        <f t="shared" si="13"/>
        <v>0</v>
      </c>
      <c r="J100" s="841">
        <f t="shared" si="14"/>
        <v>0</v>
      </c>
      <c r="K100" s="841">
        <f t="shared" si="15"/>
        <v>0</v>
      </c>
      <c r="L100" s="830" t="str">
        <f t="shared" si="16"/>
        <v/>
      </c>
      <c r="M100" s="830" t="str">
        <f t="shared" si="17"/>
        <v/>
      </c>
      <c r="N100" s="830" t="str">
        <f t="shared" si="18"/>
        <v/>
      </c>
      <c r="O100" s="842" t="s">
        <v>2142</v>
      </c>
      <c r="P100" s="842"/>
      <c r="Q100" s="842"/>
      <c r="R100" s="842"/>
      <c r="S100" s="842"/>
      <c r="T100" s="827" t="s">
        <v>2143</v>
      </c>
      <c r="U100" s="827"/>
      <c r="V100" s="827"/>
      <c r="W100" s="827"/>
      <c r="X100" s="827"/>
      <c r="Y100" s="831"/>
      <c r="Z100" s="816" t="s">
        <v>554</v>
      </c>
      <c r="AA100" s="823"/>
      <c r="AB100" s="816"/>
      <c r="AC100" s="816"/>
      <c r="AD100" s="816"/>
    </row>
    <row r="101" spans="1:30" ht="27" customHeight="1">
      <c r="A101" s="829"/>
      <c r="B101" s="832">
        <v>84</v>
      </c>
      <c r="C101" s="827"/>
      <c r="D101" s="839"/>
      <c r="E101" s="827"/>
      <c r="F101" s="827"/>
      <c r="G101" s="827"/>
      <c r="H101" s="844"/>
      <c r="I101" s="841">
        <f t="shared" si="13"/>
        <v>0</v>
      </c>
      <c r="J101" s="841">
        <f t="shared" si="14"/>
        <v>0</v>
      </c>
      <c r="K101" s="841">
        <f t="shared" si="15"/>
        <v>0</v>
      </c>
      <c r="L101" s="830" t="str">
        <f t="shared" si="16"/>
        <v/>
      </c>
      <c r="M101" s="830" t="str">
        <f t="shared" si="17"/>
        <v/>
      </c>
      <c r="N101" s="830" t="str">
        <f t="shared" si="18"/>
        <v/>
      </c>
      <c r="O101" s="842" t="s">
        <v>2144</v>
      </c>
      <c r="P101" s="842"/>
      <c r="Q101" s="842"/>
      <c r="R101" s="842"/>
      <c r="S101" s="842"/>
      <c r="T101" s="827" t="s">
        <v>2145</v>
      </c>
      <c r="U101" s="827"/>
      <c r="V101" s="827"/>
      <c r="W101" s="827"/>
      <c r="X101" s="827"/>
      <c r="Y101" s="831"/>
      <c r="Z101" s="816" t="s">
        <v>554</v>
      </c>
      <c r="AA101" s="823"/>
      <c r="AB101" s="816"/>
      <c r="AC101" s="816"/>
      <c r="AD101" s="816"/>
    </row>
    <row r="102" spans="1:30" ht="9" customHeight="1">
      <c r="A102" s="829"/>
      <c r="B102" s="829"/>
      <c r="C102" s="827"/>
      <c r="D102" s="827"/>
      <c r="E102" s="827"/>
      <c r="F102" s="827"/>
      <c r="G102" s="827"/>
      <c r="H102" s="844"/>
      <c r="I102" s="844"/>
      <c r="J102" s="844"/>
      <c r="K102" s="844"/>
      <c r="L102" s="844"/>
      <c r="M102" s="827"/>
      <c r="N102" s="849"/>
      <c r="O102" s="842"/>
      <c r="P102" s="842"/>
      <c r="Q102" s="842"/>
      <c r="R102" s="842"/>
      <c r="S102" s="827"/>
      <c r="T102" s="827"/>
      <c r="U102" s="827"/>
      <c r="V102" s="827"/>
      <c r="W102" s="827"/>
      <c r="X102" s="827"/>
      <c r="Y102" s="831"/>
      <c r="Z102" s="816"/>
      <c r="AA102" s="823"/>
      <c r="AB102" s="816"/>
      <c r="AC102" s="816"/>
      <c r="AD102" s="816"/>
    </row>
    <row r="103" spans="1:30" ht="9" customHeight="1">
      <c r="A103" s="829"/>
      <c r="B103" s="829"/>
      <c r="C103" s="827"/>
      <c r="D103" s="827"/>
      <c r="E103" s="827"/>
      <c r="F103" s="827"/>
      <c r="G103" s="827"/>
      <c r="H103" s="844"/>
      <c r="I103" s="844"/>
      <c r="J103" s="844"/>
      <c r="K103" s="844"/>
      <c r="L103" s="844"/>
      <c r="M103" s="827"/>
      <c r="N103" s="849"/>
      <c r="O103" s="842"/>
      <c r="P103" s="842"/>
      <c r="Q103" s="842"/>
      <c r="R103" s="842"/>
      <c r="S103" s="827"/>
      <c r="T103" s="827"/>
      <c r="U103" s="827"/>
      <c r="V103" s="827"/>
      <c r="W103" s="827"/>
      <c r="X103" s="827"/>
      <c r="Y103" s="831"/>
      <c r="Z103" s="816"/>
      <c r="AA103" s="823"/>
      <c r="AB103" s="816"/>
      <c r="AC103" s="816"/>
      <c r="AD103" s="816"/>
    </row>
    <row r="104" spans="1:30" ht="9" customHeight="1">
      <c r="A104" s="829"/>
      <c r="B104" s="829"/>
      <c r="C104" s="827"/>
      <c r="D104" s="827"/>
      <c r="E104" s="827"/>
      <c r="F104" s="827"/>
      <c r="G104" s="827"/>
      <c r="H104" s="844"/>
      <c r="I104" s="844"/>
      <c r="J104" s="844"/>
      <c r="K104" s="844"/>
      <c r="L104" s="844"/>
      <c r="M104" s="827"/>
      <c r="N104" s="849"/>
      <c r="O104" s="842"/>
      <c r="P104" s="842"/>
      <c r="Q104" s="842"/>
      <c r="R104" s="842"/>
      <c r="S104" s="827"/>
      <c r="T104" s="827"/>
      <c r="U104" s="827"/>
      <c r="V104" s="827"/>
      <c r="W104" s="827"/>
      <c r="X104" s="827"/>
      <c r="Y104" s="831"/>
      <c r="Z104" s="816"/>
      <c r="AA104" s="823"/>
      <c r="AB104" s="816"/>
      <c r="AC104" s="816"/>
      <c r="AD104" s="816"/>
    </row>
    <row r="105" spans="1:30" ht="9" customHeight="1">
      <c r="A105" s="829"/>
      <c r="B105" s="829"/>
      <c r="C105" s="827"/>
      <c r="D105" s="827"/>
      <c r="E105" s="827"/>
      <c r="F105" s="827"/>
      <c r="G105" s="827"/>
      <c r="H105" s="844"/>
      <c r="I105" s="844"/>
      <c r="J105" s="844"/>
      <c r="K105" s="844"/>
      <c r="L105" s="844"/>
      <c r="M105" s="827"/>
      <c r="N105" s="849"/>
      <c r="O105" s="842"/>
      <c r="P105" s="842"/>
      <c r="Q105" s="842"/>
      <c r="R105" s="842"/>
      <c r="S105" s="827"/>
      <c r="T105" s="827"/>
      <c r="U105" s="827"/>
      <c r="V105" s="827"/>
      <c r="W105" s="827"/>
      <c r="X105" s="827"/>
      <c r="Y105" s="831"/>
      <c r="Z105" s="816"/>
      <c r="AA105" s="823"/>
      <c r="AB105" s="816"/>
      <c r="AC105" s="816"/>
      <c r="AD105" s="816"/>
    </row>
    <row r="106" spans="1:30" ht="9" customHeight="1">
      <c r="A106" s="829"/>
      <c r="B106" s="829"/>
      <c r="C106" s="827"/>
      <c r="D106" s="827"/>
      <c r="E106" s="827"/>
      <c r="F106" s="827"/>
      <c r="G106" s="827"/>
      <c r="H106" s="844"/>
      <c r="I106" s="844"/>
      <c r="J106" s="844"/>
      <c r="K106" s="844"/>
      <c r="L106" s="844"/>
      <c r="M106" s="827"/>
      <c r="N106" s="849"/>
      <c r="O106" s="842"/>
      <c r="P106" s="842"/>
      <c r="Q106" s="842"/>
      <c r="R106" s="842"/>
      <c r="S106" s="827"/>
      <c r="T106" s="827"/>
      <c r="U106" s="827"/>
      <c r="V106" s="827"/>
      <c r="W106" s="827"/>
      <c r="X106" s="827"/>
      <c r="Y106" s="831"/>
      <c r="Z106" s="816"/>
      <c r="AA106" s="823"/>
      <c r="AB106" s="816"/>
      <c r="AC106" s="816"/>
      <c r="AD106" s="816"/>
    </row>
    <row r="107" spans="1:30" ht="9" customHeight="1">
      <c r="A107" s="829"/>
      <c r="B107" s="829"/>
      <c r="C107" s="827"/>
      <c r="D107" s="827"/>
      <c r="E107" s="827"/>
      <c r="F107" s="827"/>
      <c r="G107" s="827"/>
      <c r="H107" s="844"/>
      <c r="I107" s="844"/>
      <c r="J107" s="844"/>
      <c r="K107" s="844"/>
      <c r="L107" s="844"/>
      <c r="M107" s="827"/>
      <c r="N107" s="849"/>
      <c r="O107" s="842"/>
      <c r="P107" s="842"/>
      <c r="Q107" s="842"/>
      <c r="R107" s="842"/>
      <c r="S107" s="827"/>
      <c r="T107" s="827"/>
      <c r="U107" s="827"/>
      <c r="V107" s="827"/>
      <c r="W107" s="827"/>
      <c r="X107" s="827"/>
      <c r="Y107" s="831"/>
      <c r="Z107" s="816"/>
      <c r="AA107" s="823"/>
      <c r="AB107" s="816"/>
      <c r="AC107" s="816"/>
      <c r="AD107" s="816"/>
    </row>
    <row r="108" spans="1:30" ht="9" customHeight="1">
      <c r="A108" s="829"/>
      <c r="B108" s="829"/>
      <c r="C108" s="827"/>
      <c r="D108" s="827"/>
      <c r="E108" s="827"/>
      <c r="F108" s="827"/>
      <c r="G108" s="827"/>
      <c r="H108" s="844"/>
      <c r="I108" s="844"/>
      <c r="J108" s="844"/>
      <c r="K108" s="844"/>
      <c r="L108" s="844"/>
      <c r="M108" s="827"/>
      <c r="N108" s="849"/>
      <c r="O108" s="842"/>
      <c r="P108" s="842"/>
      <c r="Q108" s="842"/>
      <c r="R108" s="842"/>
      <c r="S108" s="827"/>
      <c r="T108" s="827"/>
      <c r="U108" s="827"/>
      <c r="V108" s="827"/>
      <c r="W108" s="827"/>
      <c r="X108" s="827"/>
      <c r="Y108" s="831"/>
      <c r="Z108" s="816"/>
      <c r="AA108" s="823"/>
      <c r="AB108" s="816"/>
      <c r="AC108" s="816"/>
      <c r="AD108" s="816"/>
    </row>
    <row r="109" spans="1:30" ht="9" customHeight="1">
      <c r="A109" s="829"/>
      <c r="B109" s="829"/>
      <c r="C109" s="827"/>
      <c r="D109" s="827"/>
      <c r="E109" s="827"/>
      <c r="F109" s="827"/>
      <c r="G109" s="827"/>
      <c r="H109" s="844"/>
      <c r="I109" s="844"/>
      <c r="J109" s="844"/>
      <c r="K109" s="844"/>
      <c r="L109" s="844"/>
      <c r="M109" s="827"/>
      <c r="N109" s="849"/>
      <c r="O109" s="842"/>
      <c r="P109" s="842"/>
      <c r="Q109" s="842"/>
      <c r="R109" s="842"/>
      <c r="S109" s="827"/>
      <c r="T109" s="827"/>
      <c r="U109" s="827"/>
      <c r="V109" s="827"/>
      <c r="W109" s="827"/>
      <c r="X109" s="827"/>
      <c r="Y109" s="831"/>
      <c r="Z109" s="816"/>
      <c r="AA109" s="823"/>
      <c r="AB109" s="816"/>
      <c r="AC109" s="816"/>
      <c r="AD109" s="816"/>
    </row>
    <row r="110" spans="1:30" ht="9" customHeight="1">
      <c r="A110" s="829"/>
      <c r="B110" s="829"/>
      <c r="C110" s="827"/>
      <c r="D110" s="827"/>
      <c r="E110" s="827"/>
      <c r="F110" s="827"/>
      <c r="G110" s="827"/>
      <c r="H110" s="844"/>
      <c r="I110" s="844"/>
      <c r="J110" s="844"/>
      <c r="K110" s="844"/>
      <c r="L110" s="844"/>
      <c r="M110" s="827"/>
      <c r="N110" s="849"/>
      <c r="O110" s="842"/>
      <c r="P110" s="842"/>
      <c r="Q110" s="842"/>
      <c r="R110" s="842"/>
      <c r="S110" s="827"/>
      <c r="T110" s="827"/>
      <c r="U110" s="827"/>
      <c r="V110" s="827"/>
      <c r="W110" s="827"/>
      <c r="X110" s="827"/>
      <c r="Y110" s="831"/>
      <c r="Z110" s="816"/>
      <c r="AA110" s="823"/>
      <c r="AB110" s="816"/>
      <c r="AC110" s="816"/>
      <c r="AD110" s="816"/>
    </row>
    <row r="111" spans="1:30" ht="9" customHeight="1">
      <c r="A111" s="829"/>
      <c r="B111" s="829"/>
      <c r="C111" s="827"/>
      <c r="D111" s="827"/>
      <c r="E111" s="827"/>
      <c r="F111" s="827"/>
      <c r="G111" s="827"/>
      <c r="H111" s="844"/>
      <c r="I111" s="844"/>
      <c r="J111" s="844"/>
      <c r="K111" s="844"/>
      <c r="L111" s="844"/>
      <c r="M111" s="827"/>
      <c r="N111" s="849"/>
      <c r="O111" s="842"/>
      <c r="P111" s="842"/>
      <c r="Q111" s="842"/>
      <c r="R111" s="842"/>
      <c r="S111" s="827"/>
      <c r="T111" s="827"/>
      <c r="U111" s="827"/>
      <c r="V111" s="827"/>
      <c r="W111" s="827"/>
      <c r="X111" s="827"/>
      <c r="Y111" s="831"/>
      <c r="Z111" s="816"/>
      <c r="AA111" s="823"/>
      <c r="AB111" s="816"/>
      <c r="AC111" s="816"/>
      <c r="AD111" s="816"/>
    </row>
    <row r="112" spans="1:30" ht="9" customHeight="1">
      <c r="A112" s="829"/>
      <c r="B112" s="829"/>
      <c r="C112" s="827"/>
      <c r="D112" s="827"/>
      <c r="E112" s="827"/>
      <c r="F112" s="827"/>
      <c r="G112" s="827"/>
      <c r="H112" s="844"/>
      <c r="I112" s="844"/>
      <c r="J112" s="844"/>
      <c r="K112" s="844"/>
      <c r="L112" s="844"/>
      <c r="M112" s="827"/>
      <c r="N112" s="849"/>
      <c r="O112" s="842"/>
      <c r="P112" s="842"/>
      <c r="Q112" s="842"/>
      <c r="R112" s="842"/>
      <c r="S112" s="827"/>
      <c r="T112" s="827"/>
      <c r="U112" s="827"/>
      <c r="V112" s="827"/>
      <c r="W112" s="827"/>
      <c r="X112" s="827"/>
      <c r="Y112" s="831"/>
      <c r="Z112" s="816"/>
      <c r="AA112" s="823"/>
      <c r="AB112" s="816"/>
      <c r="AC112" s="816"/>
      <c r="AD112" s="816"/>
    </row>
    <row r="113" spans="1:30" ht="9" customHeight="1">
      <c r="A113" s="829"/>
      <c r="B113" s="829"/>
      <c r="C113" s="827"/>
      <c r="D113" s="827"/>
      <c r="E113" s="827"/>
      <c r="F113" s="827"/>
      <c r="G113" s="827"/>
      <c r="H113" s="844"/>
      <c r="I113" s="844"/>
      <c r="J113" s="844"/>
      <c r="K113" s="844"/>
      <c r="L113" s="844"/>
      <c r="M113" s="827"/>
      <c r="N113" s="849"/>
      <c r="O113" s="842"/>
      <c r="P113" s="842"/>
      <c r="Q113" s="842"/>
      <c r="R113" s="842"/>
      <c r="S113" s="827"/>
      <c r="T113" s="827"/>
      <c r="U113" s="827"/>
      <c r="V113" s="827"/>
      <c r="W113" s="827"/>
      <c r="X113" s="827"/>
      <c r="Y113" s="831"/>
      <c r="Z113" s="816"/>
      <c r="AA113" s="823"/>
      <c r="AB113" s="816"/>
      <c r="AC113" s="816"/>
      <c r="AD113" s="816"/>
    </row>
    <row r="114" spans="1:30" ht="9" customHeight="1">
      <c r="A114" s="829"/>
      <c r="B114" s="829"/>
      <c r="C114" s="827"/>
      <c r="D114" s="827"/>
      <c r="E114" s="827"/>
      <c r="F114" s="827"/>
      <c r="G114" s="827"/>
      <c r="H114" s="844"/>
      <c r="I114" s="844"/>
      <c r="J114" s="844"/>
      <c r="K114" s="844"/>
      <c r="L114" s="844"/>
      <c r="M114" s="827"/>
      <c r="N114" s="849"/>
      <c r="O114" s="842"/>
      <c r="P114" s="842"/>
      <c r="Q114" s="842"/>
      <c r="R114" s="842"/>
      <c r="S114" s="827"/>
      <c r="T114" s="827"/>
      <c r="U114" s="827"/>
      <c r="V114" s="827"/>
      <c r="W114" s="827"/>
      <c r="X114" s="827"/>
      <c r="Y114" s="831"/>
      <c r="Z114" s="816"/>
      <c r="AA114" s="823"/>
      <c r="AB114" s="816"/>
      <c r="AC114" s="816"/>
      <c r="AD114" s="816"/>
    </row>
    <row r="115" spans="1:30" ht="9" customHeight="1">
      <c r="A115" s="829"/>
      <c r="B115" s="829"/>
      <c r="C115" s="827"/>
      <c r="D115" s="827"/>
      <c r="E115" s="827"/>
      <c r="F115" s="827"/>
      <c r="G115" s="827"/>
      <c r="H115" s="844"/>
      <c r="I115" s="844"/>
      <c r="J115" s="844"/>
      <c r="K115" s="844"/>
      <c r="L115" s="844"/>
      <c r="M115" s="827"/>
      <c r="N115" s="849"/>
      <c r="O115" s="842"/>
      <c r="P115" s="842"/>
      <c r="Q115" s="842"/>
      <c r="R115" s="842"/>
      <c r="S115" s="827"/>
      <c r="T115" s="827"/>
      <c r="U115" s="827"/>
      <c r="V115" s="827"/>
      <c r="W115" s="827"/>
      <c r="X115" s="827"/>
      <c r="Y115" s="831"/>
      <c r="Z115" s="816"/>
      <c r="AA115" s="823"/>
      <c r="AB115" s="816"/>
      <c r="AC115" s="816"/>
      <c r="AD115" s="816"/>
    </row>
    <row r="116" spans="1:30" ht="9" customHeight="1">
      <c r="A116" s="829"/>
      <c r="B116" s="829"/>
      <c r="C116" s="827"/>
      <c r="D116" s="827"/>
      <c r="E116" s="827"/>
      <c r="F116" s="827"/>
      <c r="G116" s="827"/>
      <c r="H116" s="844"/>
      <c r="I116" s="844"/>
      <c r="J116" s="844"/>
      <c r="K116" s="844"/>
      <c r="L116" s="844"/>
      <c r="M116" s="827"/>
      <c r="N116" s="849"/>
      <c r="O116" s="842"/>
      <c r="P116" s="842"/>
      <c r="Q116" s="842"/>
      <c r="R116" s="842"/>
      <c r="S116" s="827"/>
      <c r="T116" s="827"/>
      <c r="U116" s="827"/>
      <c r="V116" s="827"/>
      <c r="W116" s="827"/>
      <c r="X116" s="827"/>
      <c r="Y116" s="831"/>
      <c r="Z116" s="816"/>
      <c r="AA116" s="823"/>
      <c r="AB116" s="816"/>
      <c r="AC116" s="816"/>
      <c r="AD116" s="816"/>
    </row>
    <row r="117" spans="1:30" ht="9" customHeight="1">
      <c r="A117" s="829"/>
      <c r="B117" s="829"/>
      <c r="C117" s="827"/>
      <c r="D117" s="827"/>
      <c r="E117" s="827"/>
      <c r="F117" s="827"/>
      <c r="G117" s="827"/>
      <c r="H117" s="844"/>
      <c r="I117" s="844"/>
      <c r="J117" s="844"/>
      <c r="K117" s="844"/>
      <c r="L117" s="844"/>
      <c r="M117" s="827"/>
      <c r="N117" s="849"/>
      <c r="O117" s="842"/>
      <c r="P117" s="842"/>
      <c r="Q117" s="842"/>
      <c r="R117" s="842"/>
      <c r="S117" s="827"/>
      <c r="T117" s="827"/>
      <c r="U117" s="827"/>
      <c r="V117" s="827"/>
      <c r="W117" s="827"/>
      <c r="X117" s="827"/>
      <c r="Y117" s="831"/>
      <c r="Z117" s="816"/>
      <c r="AA117" s="823"/>
      <c r="AB117" s="816"/>
      <c r="AC117" s="816"/>
      <c r="AD117" s="816"/>
    </row>
    <row r="118" spans="1:30" ht="9" customHeight="1">
      <c r="A118" s="829"/>
      <c r="B118" s="829"/>
      <c r="C118" s="827"/>
      <c r="D118" s="827"/>
      <c r="E118" s="827"/>
      <c r="F118" s="827"/>
      <c r="G118" s="827"/>
      <c r="H118" s="844"/>
      <c r="I118" s="844"/>
      <c r="J118" s="844"/>
      <c r="K118" s="844"/>
      <c r="L118" s="844"/>
      <c r="M118" s="827"/>
      <c r="N118" s="849"/>
      <c r="O118" s="842"/>
      <c r="P118" s="842"/>
      <c r="Q118" s="842"/>
      <c r="R118" s="842"/>
      <c r="S118" s="827"/>
      <c r="T118" s="827"/>
      <c r="U118" s="827"/>
      <c r="V118" s="827"/>
      <c r="W118" s="827"/>
      <c r="X118" s="827"/>
      <c r="Y118" s="831"/>
      <c r="Z118" s="816"/>
      <c r="AA118" s="823"/>
      <c r="AB118" s="816"/>
      <c r="AC118" s="816"/>
      <c r="AD118" s="816"/>
    </row>
    <row r="119" spans="1:30" ht="9" customHeight="1">
      <c r="A119" s="829"/>
      <c r="B119" s="829"/>
      <c r="C119" s="827"/>
      <c r="D119" s="827"/>
      <c r="E119" s="827"/>
      <c r="F119" s="827"/>
      <c r="G119" s="827"/>
      <c r="H119" s="844"/>
      <c r="I119" s="844"/>
      <c r="J119" s="844"/>
      <c r="K119" s="844"/>
      <c r="L119" s="844"/>
      <c r="M119" s="827"/>
      <c r="N119" s="849"/>
      <c r="O119" s="842"/>
      <c r="P119" s="842"/>
      <c r="Q119" s="842"/>
      <c r="R119" s="842"/>
      <c r="S119" s="827"/>
      <c r="T119" s="827"/>
      <c r="U119" s="827"/>
      <c r="V119" s="827"/>
      <c r="W119" s="827"/>
      <c r="X119" s="827"/>
      <c r="Y119" s="831"/>
      <c r="Z119" s="816"/>
      <c r="AA119" s="823"/>
      <c r="AB119" s="816"/>
      <c r="AC119" s="816"/>
      <c r="AD119" s="816"/>
    </row>
    <row r="120" spans="1:30" ht="9" customHeight="1">
      <c r="A120" s="829"/>
      <c r="B120" s="829"/>
      <c r="C120" s="827"/>
      <c r="D120" s="827"/>
      <c r="E120" s="827"/>
      <c r="F120" s="827"/>
      <c r="G120" s="827"/>
      <c r="H120" s="844"/>
      <c r="I120" s="844"/>
      <c r="J120" s="844"/>
      <c r="K120" s="844"/>
      <c r="L120" s="844"/>
      <c r="M120" s="827"/>
      <c r="N120" s="849"/>
      <c r="O120" s="842"/>
      <c r="P120" s="842"/>
      <c r="Q120" s="842"/>
      <c r="R120" s="842"/>
      <c r="S120" s="827"/>
      <c r="T120" s="827"/>
      <c r="U120" s="827"/>
      <c r="V120" s="827"/>
      <c r="W120" s="827"/>
      <c r="X120" s="827"/>
      <c r="Y120" s="831"/>
      <c r="Z120" s="816"/>
      <c r="AA120" s="823"/>
      <c r="AB120" s="816"/>
      <c r="AC120" s="816"/>
      <c r="AD120" s="816"/>
    </row>
    <row r="121" spans="1:30" ht="9" customHeight="1">
      <c r="A121" s="829"/>
      <c r="B121" s="829"/>
      <c r="C121" s="827"/>
      <c r="D121" s="827"/>
      <c r="E121" s="827"/>
      <c r="F121" s="827"/>
      <c r="G121" s="827"/>
      <c r="H121" s="844"/>
      <c r="I121" s="844"/>
      <c r="J121" s="844"/>
      <c r="K121" s="844"/>
      <c r="L121" s="844"/>
      <c r="M121" s="827"/>
      <c r="N121" s="849"/>
      <c r="O121" s="842"/>
      <c r="P121" s="842"/>
      <c r="Q121" s="842"/>
      <c r="R121" s="842"/>
      <c r="S121" s="827"/>
      <c r="T121" s="827"/>
      <c r="U121" s="827"/>
      <c r="V121" s="827"/>
      <c r="W121" s="827"/>
      <c r="X121" s="827"/>
      <c r="Y121" s="831"/>
      <c r="Z121" s="816"/>
      <c r="AA121" s="823"/>
      <c r="AB121" s="816"/>
      <c r="AC121" s="816"/>
      <c r="AD121" s="816"/>
    </row>
    <row r="122" spans="1:30" ht="9" customHeight="1">
      <c r="A122" s="829"/>
      <c r="B122" s="829"/>
      <c r="C122" s="827"/>
      <c r="D122" s="827"/>
      <c r="E122" s="827"/>
      <c r="F122" s="827"/>
      <c r="G122" s="827"/>
      <c r="H122" s="844"/>
      <c r="I122" s="844"/>
      <c r="J122" s="844"/>
      <c r="K122" s="844"/>
      <c r="L122" s="844"/>
      <c r="M122" s="827"/>
      <c r="N122" s="849"/>
      <c r="O122" s="842"/>
      <c r="P122" s="842"/>
      <c r="Q122" s="842"/>
      <c r="R122" s="842"/>
      <c r="S122" s="827"/>
      <c r="T122" s="827"/>
      <c r="U122" s="827"/>
      <c r="V122" s="827"/>
      <c r="W122" s="827"/>
      <c r="X122" s="827"/>
      <c r="Y122" s="831"/>
      <c r="Z122" s="816"/>
      <c r="AA122" s="823"/>
      <c r="AB122" s="816"/>
      <c r="AC122" s="816"/>
      <c r="AD122" s="816"/>
    </row>
    <row r="123" spans="1:30" ht="9" customHeight="1">
      <c r="A123" s="829"/>
      <c r="B123" s="829"/>
      <c r="C123" s="827"/>
      <c r="D123" s="827"/>
      <c r="E123" s="827"/>
      <c r="F123" s="827"/>
      <c r="G123" s="827"/>
      <c r="H123" s="844"/>
      <c r="I123" s="844"/>
      <c r="J123" s="844"/>
      <c r="K123" s="844"/>
      <c r="L123" s="844"/>
      <c r="M123" s="827"/>
      <c r="N123" s="849"/>
      <c r="O123" s="842"/>
      <c r="P123" s="842"/>
      <c r="Q123" s="842"/>
      <c r="R123" s="842"/>
      <c r="S123" s="827"/>
      <c r="T123" s="827"/>
      <c r="U123" s="827"/>
      <c r="V123" s="827"/>
      <c r="W123" s="827"/>
      <c r="X123" s="827"/>
      <c r="Y123" s="831"/>
      <c r="Z123" s="816"/>
      <c r="AA123" s="823"/>
      <c r="AB123" s="816"/>
      <c r="AC123" s="816"/>
      <c r="AD123" s="816"/>
    </row>
    <row r="124" spans="1:30" ht="9" customHeight="1">
      <c r="A124" s="829"/>
      <c r="B124" s="829"/>
      <c r="C124" s="827"/>
      <c r="D124" s="827"/>
      <c r="E124" s="827"/>
      <c r="F124" s="827"/>
      <c r="G124" s="827"/>
      <c r="H124" s="844"/>
      <c r="I124" s="844"/>
      <c r="J124" s="844"/>
      <c r="K124" s="844"/>
      <c r="L124" s="844"/>
      <c r="M124" s="827"/>
      <c r="N124" s="849"/>
      <c r="O124" s="842"/>
      <c r="P124" s="842"/>
      <c r="Q124" s="842"/>
      <c r="R124" s="842"/>
      <c r="S124" s="827"/>
      <c r="T124" s="827"/>
      <c r="U124" s="827"/>
      <c r="V124" s="827"/>
      <c r="W124" s="827"/>
      <c r="X124" s="827"/>
      <c r="Y124" s="831"/>
      <c r="Z124" s="816"/>
      <c r="AA124" s="823"/>
      <c r="AB124" s="816"/>
      <c r="AC124" s="816"/>
      <c r="AD124" s="816"/>
    </row>
    <row r="125" spans="1:30" ht="9" customHeight="1">
      <c r="A125" s="829"/>
      <c r="B125" s="829"/>
      <c r="C125" s="827"/>
      <c r="D125" s="827"/>
      <c r="E125" s="827"/>
      <c r="F125" s="827"/>
      <c r="G125" s="827"/>
      <c r="H125" s="844"/>
      <c r="I125" s="844"/>
      <c r="J125" s="844"/>
      <c r="K125" s="844"/>
      <c r="L125" s="844"/>
      <c r="M125" s="827"/>
      <c r="N125" s="849"/>
      <c r="O125" s="842"/>
      <c r="P125" s="842"/>
      <c r="Q125" s="842"/>
      <c r="R125" s="842"/>
      <c r="S125" s="827"/>
      <c r="T125" s="827"/>
      <c r="U125" s="827"/>
      <c r="V125" s="827"/>
      <c r="W125" s="827"/>
      <c r="X125" s="827"/>
      <c r="Y125" s="831"/>
      <c r="Z125" s="816"/>
      <c r="AA125" s="823"/>
      <c r="AB125" s="816"/>
      <c r="AC125" s="816"/>
      <c r="AD125" s="816"/>
    </row>
    <row r="126" spans="1:30" ht="9" customHeight="1">
      <c r="A126" s="829"/>
      <c r="B126" s="829"/>
      <c r="C126" s="827"/>
      <c r="D126" s="827"/>
      <c r="E126" s="827"/>
      <c r="F126" s="827"/>
      <c r="G126" s="827"/>
      <c r="H126" s="844"/>
      <c r="I126" s="844"/>
      <c r="J126" s="844"/>
      <c r="K126" s="844"/>
      <c r="L126" s="844"/>
      <c r="M126" s="827"/>
      <c r="N126" s="849"/>
      <c r="O126" s="842"/>
      <c r="P126" s="842"/>
      <c r="Q126" s="842"/>
      <c r="R126" s="842"/>
      <c r="S126" s="827"/>
      <c r="T126" s="827"/>
      <c r="U126" s="827"/>
      <c r="V126" s="827"/>
      <c r="W126" s="827"/>
      <c r="X126" s="827"/>
      <c r="Y126" s="831"/>
      <c r="Z126" s="816"/>
      <c r="AA126" s="823"/>
      <c r="AB126" s="816"/>
      <c r="AC126" s="816"/>
      <c r="AD126" s="816"/>
    </row>
    <row r="127" spans="1:30" ht="9" customHeight="1">
      <c r="A127" s="829"/>
      <c r="B127" s="829"/>
      <c r="C127" s="827"/>
      <c r="D127" s="827"/>
      <c r="E127" s="827"/>
      <c r="F127" s="827"/>
      <c r="G127" s="827"/>
      <c r="H127" s="844"/>
      <c r="I127" s="844"/>
      <c r="J127" s="844"/>
      <c r="K127" s="844"/>
      <c r="L127" s="844"/>
      <c r="M127" s="827"/>
      <c r="N127" s="849"/>
      <c r="O127" s="842"/>
      <c r="P127" s="842"/>
      <c r="Q127" s="842"/>
      <c r="R127" s="842"/>
      <c r="S127" s="827"/>
      <c r="T127" s="827"/>
      <c r="U127" s="827"/>
      <c r="V127" s="827"/>
      <c r="W127" s="827"/>
      <c r="X127" s="827"/>
      <c r="Y127" s="831"/>
      <c r="Z127" s="816"/>
      <c r="AA127" s="823"/>
      <c r="AB127" s="816"/>
      <c r="AC127" s="816"/>
      <c r="AD127" s="816"/>
    </row>
    <row r="128" spans="1:30" ht="9" customHeight="1">
      <c r="A128" s="829"/>
      <c r="B128" s="829"/>
      <c r="C128" s="827"/>
      <c r="D128" s="827"/>
      <c r="E128" s="827"/>
      <c r="F128" s="827"/>
      <c r="G128" s="827"/>
      <c r="H128" s="844"/>
      <c r="I128" s="844"/>
      <c r="J128" s="844"/>
      <c r="K128" s="844"/>
      <c r="L128" s="844"/>
      <c r="M128" s="827"/>
      <c r="N128" s="849"/>
      <c r="O128" s="842"/>
      <c r="P128" s="842"/>
      <c r="Q128" s="842"/>
      <c r="R128" s="842"/>
      <c r="S128" s="827"/>
      <c r="T128" s="827"/>
      <c r="U128" s="827"/>
      <c r="V128" s="827"/>
      <c r="W128" s="827"/>
      <c r="X128" s="827"/>
      <c r="Y128" s="831"/>
      <c r="Z128" s="816"/>
      <c r="AA128" s="823"/>
      <c r="AB128" s="816"/>
      <c r="AC128" s="816"/>
      <c r="AD128" s="816"/>
    </row>
    <row r="129" spans="1:30" ht="9" customHeight="1">
      <c r="A129" s="829"/>
      <c r="B129" s="829"/>
      <c r="C129" s="827"/>
      <c r="D129" s="827"/>
      <c r="E129" s="827"/>
      <c r="F129" s="827"/>
      <c r="G129" s="827"/>
      <c r="H129" s="844"/>
      <c r="I129" s="844"/>
      <c r="J129" s="844"/>
      <c r="K129" s="844"/>
      <c r="L129" s="844"/>
      <c r="M129" s="827"/>
      <c r="N129" s="849"/>
      <c r="O129" s="842"/>
      <c r="P129" s="842"/>
      <c r="Q129" s="842"/>
      <c r="R129" s="842"/>
      <c r="S129" s="827"/>
      <c r="T129" s="827"/>
      <c r="U129" s="827"/>
      <c r="V129" s="827"/>
      <c r="W129" s="827"/>
      <c r="X129" s="827"/>
      <c r="Y129" s="831"/>
      <c r="Z129" s="816"/>
      <c r="AA129" s="823"/>
      <c r="AB129" s="816"/>
      <c r="AC129" s="816"/>
      <c r="AD129" s="816"/>
    </row>
    <row r="130" spans="1:30" ht="9" customHeight="1">
      <c r="A130" s="829"/>
      <c r="B130" s="829"/>
      <c r="C130" s="827"/>
      <c r="D130" s="827"/>
      <c r="E130" s="827"/>
      <c r="F130" s="827"/>
      <c r="G130" s="827"/>
      <c r="H130" s="844"/>
      <c r="I130" s="844"/>
      <c r="J130" s="844"/>
      <c r="K130" s="844"/>
      <c r="L130" s="844"/>
      <c r="M130" s="827"/>
      <c r="N130" s="849"/>
      <c r="O130" s="850"/>
      <c r="P130" s="850"/>
      <c r="Q130" s="850"/>
      <c r="R130" s="850"/>
      <c r="S130" s="827"/>
      <c r="T130" s="827"/>
      <c r="U130" s="827"/>
      <c r="V130" s="827"/>
      <c r="W130" s="827"/>
      <c r="X130" s="827"/>
      <c r="Y130" s="831"/>
      <c r="Z130" s="816"/>
      <c r="AA130" s="823"/>
      <c r="AB130" s="816"/>
      <c r="AC130" s="816"/>
      <c r="AD130" s="816"/>
    </row>
    <row r="131" spans="1:30" ht="9" customHeight="1">
      <c r="A131" s="829"/>
      <c r="B131" s="829"/>
      <c r="C131" s="827"/>
      <c r="D131" s="827"/>
      <c r="E131" s="827"/>
      <c r="F131" s="827"/>
      <c r="G131" s="827"/>
      <c r="H131" s="844"/>
      <c r="I131" s="844"/>
      <c r="J131" s="844"/>
      <c r="K131" s="844"/>
      <c r="L131" s="844"/>
      <c r="M131" s="827"/>
      <c r="N131" s="849"/>
      <c r="O131" s="851"/>
      <c r="P131" s="851"/>
      <c r="Q131" s="851"/>
      <c r="R131" s="851"/>
      <c r="S131" s="827"/>
      <c r="T131" s="827"/>
      <c r="U131" s="827"/>
      <c r="V131" s="827"/>
      <c r="W131" s="827"/>
      <c r="X131" s="827"/>
      <c r="Y131" s="831"/>
      <c r="Z131" s="816"/>
      <c r="AA131" s="823"/>
      <c r="AB131" s="816"/>
      <c r="AC131" s="816"/>
      <c r="AD131" s="816"/>
    </row>
    <row r="132" spans="1:30" ht="9" customHeight="1">
      <c r="A132" s="829"/>
      <c r="B132" s="829"/>
      <c r="C132" s="827"/>
      <c r="D132" s="827"/>
      <c r="E132" s="827"/>
      <c r="F132" s="827"/>
      <c r="G132" s="827"/>
      <c r="H132" s="844"/>
      <c r="I132" s="844"/>
      <c r="J132" s="844"/>
      <c r="K132" s="844"/>
      <c r="L132" s="844"/>
      <c r="M132" s="827"/>
      <c r="N132" s="849"/>
      <c r="O132" s="850"/>
      <c r="P132" s="850"/>
      <c r="Q132" s="850"/>
      <c r="R132" s="850"/>
      <c r="S132" s="827"/>
      <c r="T132" s="827"/>
      <c r="U132" s="827"/>
      <c r="V132" s="827"/>
      <c r="W132" s="827"/>
      <c r="X132" s="827"/>
      <c r="Y132" s="831"/>
      <c r="Z132" s="816"/>
      <c r="AA132" s="823"/>
      <c r="AB132" s="816"/>
      <c r="AC132" s="816"/>
      <c r="AD132" s="816"/>
    </row>
    <row r="133" spans="1:30" ht="9" customHeight="1">
      <c r="A133" s="829"/>
      <c r="B133" s="829"/>
      <c r="C133" s="827"/>
      <c r="D133" s="827"/>
      <c r="E133" s="827"/>
      <c r="F133" s="827"/>
      <c r="G133" s="827"/>
      <c r="H133" s="844"/>
      <c r="I133" s="844"/>
      <c r="J133" s="844"/>
      <c r="K133" s="844"/>
      <c r="L133" s="844"/>
      <c r="M133" s="827"/>
      <c r="N133" s="849"/>
      <c r="O133" s="851"/>
      <c r="P133" s="851"/>
      <c r="Q133" s="851"/>
      <c r="R133" s="851"/>
      <c r="S133" s="827"/>
      <c r="T133" s="827"/>
      <c r="U133" s="827"/>
      <c r="V133" s="827"/>
      <c r="W133" s="827"/>
      <c r="X133" s="827"/>
      <c r="Y133" s="831"/>
      <c r="Z133" s="816"/>
      <c r="AA133" s="823"/>
      <c r="AB133" s="816"/>
      <c r="AC133" s="816"/>
      <c r="AD133" s="816"/>
    </row>
    <row r="134" spans="1:30" ht="9" customHeight="1">
      <c r="A134" s="829"/>
      <c r="B134" s="829"/>
      <c r="C134" s="827"/>
      <c r="D134" s="827"/>
      <c r="E134" s="827"/>
      <c r="F134" s="827"/>
      <c r="G134" s="827"/>
      <c r="H134" s="844"/>
      <c r="I134" s="844"/>
      <c r="J134" s="844"/>
      <c r="K134" s="844"/>
      <c r="L134" s="844"/>
      <c r="M134" s="827"/>
      <c r="N134" s="849"/>
      <c r="O134" s="842"/>
      <c r="P134" s="842"/>
      <c r="Q134" s="842"/>
      <c r="R134" s="842"/>
      <c r="S134" s="827"/>
      <c r="T134" s="827"/>
      <c r="U134" s="827"/>
      <c r="V134" s="827"/>
      <c r="W134" s="827"/>
      <c r="X134" s="827"/>
      <c r="Y134" s="831"/>
      <c r="Z134" s="816"/>
      <c r="AA134" s="823"/>
      <c r="AB134" s="816"/>
      <c r="AC134" s="816"/>
      <c r="AD134" s="816"/>
    </row>
    <row r="135" spans="1:30" ht="9" customHeight="1">
      <c r="A135" s="829"/>
      <c r="B135" s="829"/>
      <c r="C135" s="827"/>
      <c r="D135" s="827"/>
      <c r="E135" s="827"/>
      <c r="F135" s="827"/>
      <c r="G135" s="827"/>
      <c r="H135" s="844"/>
      <c r="I135" s="844"/>
      <c r="J135" s="844"/>
      <c r="K135" s="844"/>
      <c r="L135" s="844"/>
      <c r="M135" s="827"/>
      <c r="N135" s="849"/>
      <c r="O135" s="842"/>
      <c r="P135" s="842"/>
      <c r="Q135" s="842"/>
      <c r="R135" s="842"/>
      <c r="S135" s="827"/>
      <c r="T135" s="827"/>
      <c r="U135" s="827"/>
      <c r="V135" s="827"/>
      <c r="W135" s="827"/>
      <c r="X135" s="827"/>
      <c r="Y135" s="831"/>
      <c r="Z135" s="816"/>
      <c r="AA135" s="823"/>
      <c r="AB135" s="816"/>
      <c r="AC135" s="816"/>
      <c r="AD135" s="816"/>
    </row>
    <row r="136" spans="1:30" ht="9" customHeight="1">
      <c r="A136" s="829"/>
      <c r="B136" s="829"/>
      <c r="C136" s="827"/>
      <c r="D136" s="827"/>
      <c r="E136" s="827"/>
      <c r="F136" s="827"/>
      <c r="G136" s="827"/>
      <c r="H136" s="844"/>
      <c r="I136" s="844"/>
      <c r="J136" s="844"/>
      <c r="K136" s="844"/>
      <c r="L136" s="844"/>
      <c r="M136" s="827"/>
      <c r="N136" s="849"/>
      <c r="O136" s="842"/>
      <c r="P136" s="842"/>
      <c r="Q136" s="842"/>
      <c r="R136" s="842"/>
      <c r="S136" s="827"/>
      <c r="T136" s="827"/>
      <c r="U136" s="827"/>
      <c r="V136" s="827"/>
      <c r="W136" s="827"/>
      <c r="X136" s="827"/>
      <c r="Y136" s="831"/>
      <c r="Z136" s="816"/>
      <c r="AA136" s="823"/>
      <c r="AB136" s="816"/>
      <c r="AC136" s="816"/>
      <c r="AD136" s="816"/>
    </row>
    <row r="137" spans="1:30" ht="9" customHeight="1">
      <c r="A137" s="829"/>
      <c r="B137" s="829"/>
      <c r="C137" s="827"/>
      <c r="D137" s="827"/>
      <c r="E137" s="827"/>
      <c r="F137" s="827"/>
      <c r="G137" s="827"/>
      <c r="H137" s="844"/>
      <c r="I137" s="844"/>
      <c r="J137" s="844"/>
      <c r="K137" s="844"/>
      <c r="L137" s="844"/>
      <c r="M137" s="827"/>
      <c r="N137" s="849"/>
      <c r="O137" s="852"/>
      <c r="P137" s="852"/>
      <c r="Q137" s="852"/>
      <c r="R137" s="852"/>
      <c r="S137" s="827"/>
      <c r="T137" s="827"/>
      <c r="U137" s="827"/>
      <c r="V137" s="827"/>
      <c r="W137" s="827"/>
      <c r="X137" s="827"/>
      <c r="Y137" s="831"/>
      <c r="Z137" s="816"/>
      <c r="AA137" s="823"/>
      <c r="AB137" s="816"/>
      <c r="AC137" s="816"/>
      <c r="AD137" s="816"/>
    </row>
    <row r="138" spans="1:30" ht="9" customHeight="1">
      <c r="A138" s="829"/>
      <c r="B138" s="829"/>
      <c r="C138" s="827"/>
      <c r="D138" s="827"/>
      <c r="E138" s="827"/>
      <c r="F138" s="827"/>
      <c r="G138" s="827"/>
      <c r="H138" s="844"/>
      <c r="I138" s="844"/>
      <c r="J138" s="844"/>
      <c r="K138" s="844"/>
      <c r="L138" s="844"/>
      <c r="M138" s="827"/>
      <c r="N138" s="849"/>
      <c r="O138" s="845"/>
      <c r="P138" s="845"/>
      <c r="Q138" s="845"/>
      <c r="R138" s="845"/>
      <c r="S138" s="827"/>
      <c r="T138" s="827"/>
      <c r="U138" s="827"/>
      <c r="V138" s="827"/>
      <c r="W138" s="827"/>
      <c r="X138" s="827"/>
      <c r="Y138" s="831"/>
      <c r="Z138" s="816"/>
      <c r="AA138" s="823"/>
      <c r="AB138" s="816"/>
      <c r="AC138" s="816"/>
      <c r="AD138" s="816"/>
    </row>
    <row r="139" spans="1:30" ht="9" customHeight="1">
      <c r="A139" s="829"/>
      <c r="B139" s="829"/>
      <c r="C139" s="827"/>
      <c r="D139" s="827"/>
      <c r="E139" s="827"/>
      <c r="F139" s="827"/>
      <c r="G139" s="827"/>
      <c r="H139" s="844"/>
      <c r="I139" s="844"/>
      <c r="J139" s="844"/>
      <c r="K139" s="844"/>
      <c r="L139" s="844"/>
      <c r="M139" s="827"/>
      <c r="N139" s="849"/>
      <c r="O139" s="827"/>
      <c r="P139" s="827"/>
      <c r="Q139" s="827"/>
      <c r="R139" s="827"/>
      <c r="S139" s="827"/>
      <c r="T139" s="827"/>
      <c r="U139" s="827"/>
      <c r="V139" s="827"/>
      <c r="W139" s="827"/>
      <c r="X139" s="827"/>
      <c r="Y139" s="831"/>
      <c r="Z139" s="816"/>
      <c r="AA139" s="823"/>
      <c r="AB139" s="816"/>
      <c r="AC139" s="816"/>
      <c r="AD139" s="816"/>
    </row>
    <row r="140" spans="1:30" ht="9" customHeight="1">
      <c r="A140" s="829"/>
      <c r="B140" s="829"/>
      <c r="C140" s="827"/>
      <c r="D140" s="827"/>
      <c r="E140" s="827"/>
      <c r="F140" s="827"/>
      <c r="G140" s="827"/>
      <c r="H140" s="844"/>
      <c r="I140" s="844"/>
      <c r="J140" s="844"/>
      <c r="K140" s="844"/>
      <c r="L140" s="844"/>
      <c r="M140" s="827"/>
      <c r="N140" s="849"/>
      <c r="O140" s="827"/>
      <c r="P140" s="827"/>
      <c r="Q140" s="827"/>
      <c r="R140" s="827"/>
      <c r="S140" s="827"/>
      <c r="T140" s="827"/>
      <c r="U140" s="827"/>
      <c r="V140" s="827"/>
      <c r="W140" s="827"/>
      <c r="X140" s="827"/>
      <c r="Y140" s="831"/>
      <c r="Z140" s="816"/>
      <c r="AA140" s="823"/>
      <c r="AB140" s="816"/>
      <c r="AC140" s="816"/>
      <c r="AD140" s="816"/>
    </row>
    <row r="141" spans="1:30" ht="9" customHeight="1">
      <c r="A141" s="829"/>
      <c r="B141" s="829"/>
      <c r="C141" s="827"/>
      <c r="D141" s="827"/>
      <c r="E141" s="827"/>
      <c r="F141" s="827"/>
      <c r="G141" s="827"/>
      <c r="H141" s="844"/>
      <c r="I141" s="844"/>
      <c r="J141" s="844"/>
      <c r="K141" s="844"/>
      <c r="L141" s="844"/>
      <c r="M141" s="827"/>
      <c r="N141" s="849"/>
      <c r="O141" s="827"/>
      <c r="P141" s="827"/>
      <c r="Q141" s="827"/>
      <c r="R141" s="827"/>
      <c r="S141" s="827"/>
      <c r="T141" s="827"/>
      <c r="U141" s="827"/>
      <c r="V141" s="827"/>
      <c r="W141" s="827"/>
      <c r="X141" s="827"/>
      <c r="Y141" s="831"/>
      <c r="Z141" s="816"/>
      <c r="AA141" s="823"/>
      <c r="AB141" s="816"/>
      <c r="AC141" s="816"/>
      <c r="AD141" s="816"/>
    </row>
    <row r="142" spans="1:30" ht="9" customHeight="1">
      <c r="A142" s="829"/>
      <c r="B142" s="829"/>
      <c r="C142" s="827"/>
      <c r="D142" s="827"/>
      <c r="E142" s="827"/>
      <c r="F142" s="827"/>
      <c r="G142" s="827"/>
      <c r="H142" s="844"/>
      <c r="I142" s="844"/>
      <c r="J142" s="844"/>
      <c r="K142" s="844"/>
      <c r="L142" s="844"/>
      <c r="M142" s="827"/>
      <c r="N142" s="849"/>
      <c r="O142" s="827"/>
      <c r="P142" s="827"/>
      <c r="Q142" s="827"/>
      <c r="R142" s="827"/>
      <c r="S142" s="827"/>
      <c r="T142" s="827"/>
      <c r="U142" s="827"/>
      <c r="V142" s="827"/>
      <c r="W142" s="827"/>
      <c r="X142" s="827"/>
      <c r="Y142" s="831"/>
      <c r="Z142" s="816"/>
      <c r="AA142" s="823"/>
      <c r="AB142" s="816"/>
      <c r="AC142" s="816"/>
      <c r="AD142" s="816"/>
    </row>
    <row r="143" spans="1:30" ht="9" customHeight="1">
      <c r="A143" s="829"/>
      <c r="B143" s="829"/>
      <c r="C143" s="827"/>
      <c r="D143" s="827"/>
      <c r="E143" s="827"/>
      <c r="F143" s="827"/>
      <c r="G143" s="827"/>
      <c r="H143" s="844"/>
      <c r="I143" s="844"/>
      <c r="J143" s="844"/>
      <c r="K143" s="844"/>
      <c r="L143" s="844"/>
      <c r="M143" s="827"/>
      <c r="N143" s="849"/>
      <c r="O143" s="827"/>
      <c r="P143" s="827"/>
      <c r="Q143" s="827"/>
      <c r="R143" s="827"/>
      <c r="S143" s="827"/>
      <c r="T143" s="827"/>
      <c r="U143" s="827"/>
      <c r="V143" s="827"/>
      <c r="W143" s="827"/>
      <c r="X143" s="827"/>
      <c r="Y143" s="831"/>
      <c r="Z143" s="816"/>
      <c r="AA143" s="823"/>
      <c r="AB143" s="816"/>
      <c r="AC143" s="816"/>
      <c r="AD143" s="816"/>
    </row>
    <row r="144" spans="1:30" ht="9" customHeight="1">
      <c r="A144" s="829"/>
      <c r="B144" s="829"/>
      <c r="C144" s="827"/>
      <c r="D144" s="827"/>
      <c r="E144" s="827"/>
      <c r="F144" s="827"/>
      <c r="G144" s="827"/>
      <c r="H144" s="844"/>
      <c r="I144" s="844"/>
      <c r="J144" s="844"/>
      <c r="K144" s="844"/>
      <c r="L144" s="844"/>
      <c r="M144" s="827"/>
      <c r="N144" s="849"/>
      <c r="O144" s="827"/>
      <c r="P144" s="827"/>
      <c r="Q144" s="827"/>
      <c r="R144" s="827"/>
      <c r="S144" s="827"/>
      <c r="T144" s="827"/>
      <c r="U144" s="827"/>
      <c r="V144" s="827"/>
      <c r="W144" s="827"/>
      <c r="X144" s="827"/>
      <c r="Y144" s="831"/>
      <c r="Z144" s="816"/>
      <c r="AA144" s="823"/>
      <c r="AB144" s="816"/>
      <c r="AC144" s="816"/>
      <c r="AD144" s="816"/>
    </row>
    <row r="145" spans="1:30" ht="9" customHeight="1">
      <c r="A145" s="829"/>
      <c r="B145" s="829"/>
      <c r="C145" s="827"/>
      <c r="D145" s="827"/>
      <c r="E145" s="827"/>
      <c r="F145" s="827"/>
      <c r="G145" s="827"/>
      <c r="H145" s="844"/>
      <c r="I145" s="844"/>
      <c r="J145" s="844"/>
      <c r="K145" s="844"/>
      <c r="L145" s="844"/>
      <c r="M145" s="827"/>
      <c r="N145" s="849"/>
      <c r="O145" s="827"/>
      <c r="P145" s="827"/>
      <c r="Q145" s="827"/>
      <c r="R145" s="827"/>
      <c r="S145" s="827"/>
      <c r="T145" s="827"/>
      <c r="U145" s="827"/>
      <c r="V145" s="827"/>
      <c r="W145" s="827"/>
      <c r="X145" s="827"/>
      <c r="Y145" s="831"/>
      <c r="Z145" s="816"/>
      <c r="AA145" s="823"/>
      <c r="AB145" s="816"/>
      <c r="AC145" s="816"/>
      <c r="AD145" s="816"/>
    </row>
    <row r="146" spans="1:30" ht="9" customHeight="1">
      <c r="A146" s="829"/>
      <c r="B146" s="829"/>
      <c r="C146" s="827"/>
      <c r="D146" s="827"/>
      <c r="E146" s="827"/>
      <c r="F146" s="827"/>
      <c r="G146" s="827"/>
      <c r="H146" s="844"/>
      <c r="I146" s="844"/>
      <c r="J146" s="844"/>
      <c r="K146" s="844"/>
      <c r="L146" s="844"/>
      <c r="M146" s="827"/>
      <c r="N146" s="849"/>
      <c r="O146" s="827"/>
      <c r="P146" s="827"/>
      <c r="Q146" s="827"/>
      <c r="R146" s="827"/>
      <c r="S146" s="827"/>
      <c r="T146" s="827"/>
      <c r="U146" s="827"/>
      <c r="V146" s="827"/>
      <c r="W146" s="827"/>
      <c r="X146" s="827"/>
      <c r="Y146" s="831"/>
      <c r="Z146" s="816"/>
      <c r="AA146" s="823"/>
      <c r="AB146" s="816"/>
      <c r="AC146" s="816"/>
      <c r="AD146" s="816"/>
    </row>
    <row r="147" spans="1:30" ht="9" customHeight="1">
      <c r="A147" s="829"/>
      <c r="B147" s="829"/>
      <c r="C147" s="829"/>
      <c r="D147" s="829"/>
      <c r="E147" s="829"/>
      <c r="F147" s="829"/>
      <c r="G147" s="829"/>
      <c r="H147" s="829"/>
      <c r="I147" s="829"/>
      <c r="J147" s="829"/>
      <c r="K147" s="829"/>
      <c r="L147" s="829"/>
      <c r="M147" s="829"/>
      <c r="N147" s="829"/>
      <c r="O147" s="829"/>
      <c r="P147" s="829"/>
      <c r="Q147" s="829"/>
      <c r="R147" s="829"/>
      <c r="S147" s="829"/>
      <c r="T147" s="829"/>
      <c r="U147" s="829"/>
      <c r="V147" s="829"/>
      <c r="W147" s="829"/>
      <c r="X147" s="829"/>
      <c r="Y147" s="829"/>
      <c r="Z147" s="829"/>
      <c r="AA147" s="829"/>
      <c r="AB147" s="829"/>
      <c r="AC147" s="829"/>
      <c r="AD147" s="829"/>
    </row>
    <row r="148" spans="1:30" ht="90" customHeight="1">
      <c r="A148" s="829" t="s">
        <v>1584</v>
      </c>
      <c r="B148" s="829"/>
      <c r="C148" s="827" t="s">
        <v>2146</v>
      </c>
      <c r="D148" s="827" t="s">
        <v>1486</v>
      </c>
      <c r="E148" s="827" t="s">
        <v>1586</v>
      </c>
      <c r="F148" s="827" t="s">
        <v>2147</v>
      </c>
      <c r="G148" s="827"/>
      <c r="H148" s="827"/>
      <c r="I148" s="853"/>
      <c r="J148" s="853"/>
      <c r="K148" s="853"/>
      <c r="L148" s="853"/>
      <c r="M148" s="85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36"/>
      <c r="O148" s="827"/>
      <c r="P148" s="830"/>
      <c r="Q148" s="830"/>
      <c r="R148" s="830"/>
      <c r="S148" s="827"/>
      <c r="T148" s="827" t="s">
        <v>2148</v>
      </c>
      <c r="U148" s="83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30"/>
      <c r="W148" s="830"/>
      <c r="X148" s="827" t="s">
        <v>2149</v>
      </c>
      <c r="Y148" s="831"/>
      <c r="Z148" s="816"/>
      <c r="AA148" s="823"/>
      <c r="AB148" s="816"/>
      <c r="AC148" s="816"/>
      <c r="AD148" s="816"/>
    </row>
    <row r="149" spans="1:30" ht="9" customHeight="1">
      <c r="A149" s="829"/>
      <c r="B149" s="829"/>
      <c r="C149" s="829"/>
      <c r="D149" s="829"/>
      <c r="E149" s="829"/>
      <c r="F149" s="829"/>
      <c r="G149" s="829"/>
      <c r="H149" s="829"/>
      <c r="I149" s="829"/>
      <c r="J149" s="829"/>
      <c r="K149" s="829"/>
      <c r="L149" s="829"/>
      <c r="M149" s="829"/>
      <c r="N149" s="829"/>
      <c r="O149" s="829"/>
      <c r="P149" s="829"/>
      <c r="Q149" s="829"/>
      <c r="R149" s="829"/>
      <c r="S149" s="829"/>
      <c r="T149" s="829"/>
      <c r="U149" s="829"/>
      <c r="V149" s="829"/>
      <c r="W149" s="829"/>
      <c r="X149" s="829"/>
      <c r="Y149" s="829"/>
      <c r="Z149" s="829"/>
      <c r="AA149" s="829"/>
      <c r="AB149" s="829"/>
      <c r="AC149" s="829"/>
      <c r="AD149" s="829"/>
    </row>
    <row r="150" spans="1:30" ht="9" customHeight="1">
      <c r="A150" s="829" t="s">
        <v>1588</v>
      </c>
      <c r="B150" s="829"/>
      <c r="C150" s="827"/>
      <c r="D150" s="827"/>
      <c r="E150" s="827"/>
      <c r="F150" s="827"/>
      <c r="G150" s="827"/>
      <c r="H150" s="827"/>
      <c r="I150" s="827"/>
      <c r="J150" s="827"/>
      <c r="K150" s="827"/>
      <c r="L150" s="827"/>
      <c r="M150" s="827"/>
      <c r="N150" s="827"/>
      <c r="O150" s="827"/>
      <c r="P150" s="827"/>
      <c r="Q150" s="827"/>
      <c r="R150" s="827"/>
      <c r="S150" s="827"/>
      <c r="T150" s="827"/>
      <c r="U150" s="827"/>
      <c r="V150" s="827"/>
      <c r="W150" s="827"/>
      <c r="X150" s="827"/>
      <c r="Y150" s="831"/>
      <c r="Z150" s="816"/>
      <c r="AA150" s="823"/>
      <c r="AB150" s="816"/>
      <c r="AC150" s="816"/>
      <c r="AD150" s="816"/>
    </row>
    <row r="151" spans="1:30" ht="9" customHeight="1">
      <c r="A151" s="829"/>
      <c r="B151" s="829"/>
      <c r="C151" s="829"/>
      <c r="D151" s="829"/>
      <c r="E151" s="829"/>
      <c r="F151" s="829"/>
      <c r="G151" s="829"/>
      <c r="H151" s="829"/>
      <c r="I151" s="829"/>
      <c r="J151" s="829"/>
      <c r="K151" s="829"/>
      <c r="L151" s="829"/>
      <c r="M151" s="829"/>
      <c r="N151" s="829"/>
      <c r="O151" s="829"/>
      <c r="P151" s="829"/>
      <c r="Q151" s="829"/>
      <c r="R151" s="829"/>
      <c r="S151" s="829"/>
      <c r="T151" s="829"/>
      <c r="U151" s="829"/>
      <c r="V151" s="829"/>
      <c r="W151" s="829"/>
      <c r="X151" s="829"/>
      <c r="Y151" s="829"/>
      <c r="Z151" s="829"/>
      <c r="AA151" s="829"/>
      <c r="AB151" s="829"/>
      <c r="AC151" s="829"/>
      <c r="AD151" s="829"/>
    </row>
    <row r="152" spans="1:30" ht="9" customHeight="1">
      <c r="A152" s="829" t="s">
        <v>1591</v>
      </c>
      <c r="B152" s="829"/>
      <c r="C152" s="827"/>
      <c r="D152" s="827"/>
      <c r="E152" s="827"/>
      <c r="F152" s="827"/>
      <c r="G152" s="827"/>
      <c r="H152" s="827"/>
      <c r="I152" s="827"/>
      <c r="J152" s="827"/>
      <c r="K152" s="827"/>
      <c r="L152" s="827"/>
      <c r="M152" s="827"/>
      <c r="N152" s="827"/>
      <c r="O152" s="827"/>
      <c r="P152" s="827"/>
      <c r="Q152" s="827"/>
      <c r="R152" s="827"/>
      <c r="S152" s="827"/>
      <c r="T152" s="827"/>
      <c r="U152" s="827"/>
      <c r="V152" s="827"/>
      <c r="W152" s="827"/>
      <c r="X152" s="827"/>
      <c r="Y152" s="831"/>
      <c r="Z152" s="816"/>
      <c r="AA152" s="823"/>
      <c r="AB152" s="816"/>
      <c r="AC152" s="816"/>
      <c r="AD152" s="816"/>
    </row>
    <row r="153" spans="1:30" ht="9" customHeight="1">
      <c r="A153" s="829"/>
      <c r="B153" s="829"/>
      <c r="C153" s="829"/>
      <c r="D153" s="829"/>
      <c r="E153" s="829"/>
      <c r="F153" s="829"/>
      <c r="G153" s="829"/>
      <c r="H153" s="829"/>
      <c r="I153" s="829"/>
      <c r="J153" s="829"/>
      <c r="K153" s="829"/>
      <c r="L153" s="829"/>
      <c r="M153" s="829"/>
      <c r="N153" s="829"/>
      <c r="O153" s="829"/>
      <c r="P153" s="829"/>
      <c r="Q153" s="829"/>
      <c r="R153" s="829"/>
      <c r="S153" s="829"/>
      <c r="T153" s="829"/>
      <c r="U153" s="829"/>
      <c r="V153" s="829"/>
      <c r="W153" s="829"/>
      <c r="X153" s="829"/>
      <c r="Y153" s="829"/>
      <c r="Z153" s="829"/>
      <c r="AA153" s="829"/>
      <c r="AB153" s="829"/>
      <c r="AC153" s="829"/>
      <c r="AD153" s="829"/>
    </row>
    <row r="154" spans="1:30" ht="9" customHeight="1">
      <c r="A154" s="829" t="s">
        <v>1596</v>
      </c>
      <c r="B154" s="829"/>
      <c r="C154" s="827"/>
      <c r="D154" s="827"/>
      <c r="E154" s="827"/>
      <c r="F154" s="827"/>
      <c r="G154" s="827"/>
      <c r="H154" s="827"/>
      <c r="I154" s="827"/>
      <c r="J154" s="827"/>
      <c r="K154" s="827"/>
      <c r="L154" s="827"/>
      <c r="M154" s="827"/>
      <c r="N154" s="827"/>
      <c r="O154" s="827"/>
      <c r="P154" s="827"/>
      <c r="Q154" s="827"/>
      <c r="R154" s="827"/>
      <c r="S154" s="827"/>
      <c r="T154" s="827"/>
      <c r="U154" s="827"/>
      <c r="V154" s="827"/>
      <c r="W154" s="827"/>
      <c r="X154" s="827"/>
      <c r="Y154" s="831"/>
      <c r="Z154" s="816"/>
      <c r="AA154" s="823"/>
      <c r="AB154" s="816"/>
      <c r="AC154" s="816"/>
      <c r="AD154" s="81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8" width="12.28515625" hidden="1" customWidth="1"/>
    <col min="9" max="11" width="3" customWidth="1"/>
    <col min="12" max="12" width="12" customWidth="1"/>
    <col min="13" max="13" width="31" customWidth="1"/>
    <col min="14" max="14" width="1" customWidth="1"/>
    <col min="15" max="18" width="24" customWidth="1"/>
    <col min="19" max="19" width="11" customWidth="1"/>
    <col min="20" max="20" width="3.7109375" customWidth="1"/>
    <col min="21" max="21" width="11" customWidth="1"/>
    <col min="22" max="22" width="8.5703125" customWidth="1"/>
    <col min="23" max="23" width="4" customWidth="1"/>
    <col min="24" max="24" width="115" customWidth="1"/>
    <col min="25" max="29" width="10" customWidth="1"/>
    <col min="30" max="30" width="10.5703125" hidden="1"/>
  </cols>
  <sheetData>
    <row r="1" spans="10:30" ht="22.5" hidden="1" customHeight="1">
      <c r="AD1" s="3" t="s">
        <v>1</v>
      </c>
    </row>
    <row r="2" spans="10:30" ht="14.25" hidden="1" customHeight="1">
      <c r="AD2" s="3">
        <v>0</v>
      </c>
    </row>
    <row r="3" spans="10:30" ht="14.25" hidden="1" customHeight="1">
      <c r="AD3" s="3">
        <v>0</v>
      </c>
    </row>
    <row r="4" spans="10:30" ht="14.65" customHeight="1">
      <c r="J4" s="264"/>
      <c r="K4" s="264"/>
      <c r="L4" s="265"/>
      <c r="M4" s="12"/>
      <c r="N4" s="12"/>
      <c r="AD4" s="3">
        <v>14</v>
      </c>
    </row>
    <row r="5" spans="10:30" ht="67.150000000000006" customHeight="1">
      <c r="J5" s="264"/>
      <c r="K5" s="264"/>
      <c r="L5" s="1274" t="s">
        <v>2150</v>
      </c>
      <c r="M5" s="1274"/>
      <c r="N5" s="1274"/>
      <c r="O5" s="1274"/>
      <c r="P5" s="1274"/>
      <c r="Q5" s="1274"/>
      <c r="R5" s="1274"/>
      <c r="S5" s="1274"/>
      <c r="T5" s="1274"/>
      <c r="U5" s="1274"/>
      <c r="AD5" s="3">
        <v>64</v>
      </c>
    </row>
    <row r="6" spans="10:30" ht="14.65" customHeight="1">
      <c r="J6" s="264"/>
      <c r="K6" s="264"/>
      <c r="L6" s="1275" t="e">
        <f>IF(org=0,"Не определено",org)</f>
        <v>#REF!</v>
      </c>
      <c r="M6" s="1275"/>
      <c r="N6" s="1275"/>
      <c r="O6" s="1275"/>
      <c r="P6" s="1275"/>
      <c r="Q6" s="1275"/>
      <c r="R6" s="1275"/>
      <c r="S6" s="1275"/>
      <c r="T6" s="1275"/>
      <c r="U6" s="1275"/>
      <c r="AD6" s="3">
        <v>14</v>
      </c>
    </row>
    <row r="7" spans="10:30" ht="14.65" customHeight="1">
      <c r="J7" s="264"/>
      <c r="K7" s="264"/>
      <c r="L7" s="265"/>
      <c r="M7" s="12"/>
      <c r="N7" s="12"/>
      <c r="O7" s="266"/>
      <c r="P7" s="266"/>
      <c r="Q7" s="266"/>
      <c r="R7" s="266"/>
      <c r="S7" s="266"/>
      <c r="T7" s="266"/>
      <c r="U7" s="266"/>
      <c r="V7" s="266"/>
      <c r="AD7" s="3">
        <v>14</v>
      </c>
    </row>
    <row r="8" spans="10:30" ht="48.2" customHeight="1">
      <c r="M8" s="267" t="s">
        <v>9</v>
      </c>
      <c r="N8" s="588"/>
      <c r="O8" s="994" t="e">
        <f>IF(TITLE_NAME_OR_PR_CHANGE="",IF(TITLE_NAME_OR_PR="","",TITLE_NAME_OR_PR),TITLE_NAME_OR_PR_CHANGE)</f>
        <v>#REF!</v>
      </c>
      <c r="P8" s="994"/>
      <c r="Q8" s="994"/>
      <c r="R8" s="994"/>
      <c r="S8" s="994"/>
      <c r="T8" s="994"/>
      <c r="U8" s="994"/>
      <c r="AD8" s="50">
        <v>46</v>
      </c>
    </row>
    <row r="9" spans="10:30" ht="24" customHeight="1">
      <c r="M9" s="267" t="s">
        <v>346</v>
      </c>
      <c r="N9" s="588"/>
      <c r="O9" s="994" t="e">
        <f>IF(TITLE_DATE_CHANGE_PERIOD="",IF(TITLE_DATE_PR="","",TITLE_DATE_PR),TITLE_DATE_CHANGE_PERIOD)</f>
        <v>#REF!</v>
      </c>
      <c r="P9" s="994"/>
      <c r="Q9" s="994"/>
      <c r="R9" s="994"/>
      <c r="S9" s="994"/>
      <c r="T9" s="994"/>
      <c r="U9" s="994"/>
      <c r="AD9" s="50">
        <v>23</v>
      </c>
    </row>
    <row r="10" spans="10:30" ht="24" customHeight="1">
      <c r="M10" s="267" t="s">
        <v>347</v>
      </c>
      <c r="N10" s="588"/>
      <c r="O10" s="994" t="e">
        <f>IF(TITLE_NUMBER_PR_CHANGE="",IF(TITLE_NUMBER_PR="","",TITLE_NUMBER_PR),TITLE_NUMBER_PR_CHANGE)</f>
        <v>#REF!</v>
      </c>
      <c r="P10" s="994"/>
      <c r="Q10" s="994"/>
      <c r="R10" s="994"/>
      <c r="S10" s="994"/>
      <c r="T10" s="994"/>
      <c r="U10" s="994"/>
      <c r="AD10" s="50">
        <v>23</v>
      </c>
    </row>
    <row r="11" spans="10:30" ht="24" customHeight="1">
      <c r="M11" s="267" t="s">
        <v>10</v>
      </c>
      <c r="N11" s="588"/>
      <c r="O11" s="994" t="e">
        <f>IF(TITLE_IST_PUB_CHANGE="",IF(TITLE_IST_PUB="","",TITLE_IST_PUB),TITLE_IST_PUB_CHANGE)</f>
        <v>#REF!</v>
      </c>
      <c r="P11" s="994"/>
      <c r="Q11" s="994"/>
      <c r="R11" s="994"/>
      <c r="S11" s="994"/>
      <c r="T11" s="994"/>
      <c r="U11" s="994"/>
      <c r="AD11" s="50">
        <v>23</v>
      </c>
    </row>
    <row r="12" spans="10:30" ht="11.25" hidden="1" customHeight="1">
      <c r="L12" s="885"/>
      <c r="M12" s="885"/>
      <c r="V12" s="24" t="s">
        <v>350</v>
      </c>
      <c r="AD12" s="50">
        <v>0</v>
      </c>
    </row>
    <row r="13" spans="10:30" ht="14.65" customHeight="1">
      <c r="J13" s="264"/>
      <c r="K13" s="264"/>
      <c r="L13" s="265"/>
      <c r="M13" s="12"/>
      <c r="N13" s="270"/>
      <c r="O13" s="1012"/>
      <c r="P13" s="1012"/>
      <c r="Q13" s="1012"/>
      <c r="R13" s="1012"/>
      <c r="S13" s="1012"/>
      <c r="T13" s="1012"/>
      <c r="U13" s="1012"/>
      <c r="V13" s="1012"/>
      <c r="AD13" s="3">
        <v>14</v>
      </c>
    </row>
    <row r="14" spans="10:30" ht="14.65" customHeight="1">
      <c r="J14" s="264"/>
      <c r="K14" s="264"/>
      <c r="L14" s="894" t="s">
        <v>223</v>
      </c>
      <c r="M14" s="894"/>
      <c r="N14" s="894"/>
      <c r="O14" s="894"/>
      <c r="P14" s="894"/>
      <c r="Q14" s="894"/>
      <c r="R14" s="894"/>
      <c r="S14" s="894"/>
      <c r="T14" s="894"/>
      <c r="U14" s="894"/>
      <c r="V14" s="894"/>
      <c r="W14" s="894"/>
      <c r="X14" s="894" t="s">
        <v>224</v>
      </c>
      <c r="AD14" s="3">
        <v>14</v>
      </c>
    </row>
    <row r="15" spans="10:30" ht="14.65" customHeight="1">
      <c r="J15" s="264"/>
      <c r="K15" s="264"/>
      <c r="L15" s="1013" t="s">
        <v>24</v>
      </c>
      <c r="M15" s="962" t="s">
        <v>351</v>
      </c>
      <c r="N15" s="272"/>
      <c r="O15" s="1014" t="s">
        <v>2151</v>
      </c>
      <c r="P15" s="1015"/>
      <c r="Q15" s="1015"/>
      <c r="R15" s="1015"/>
      <c r="S15" s="1015"/>
      <c r="T15" s="1015"/>
      <c r="U15" s="1016"/>
      <c r="V15" s="1017" t="s">
        <v>353</v>
      </c>
      <c r="W15" s="1020" t="s">
        <v>1070</v>
      </c>
      <c r="X15" s="894"/>
      <c r="AD15" s="3">
        <v>14</v>
      </c>
    </row>
    <row r="16" spans="10:30" ht="35.65" customHeight="1">
      <c r="J16" s="264"/>
      <c r="K16" s="264"/>
      <c r="L16" s="1013"/>
      <c r="M16" s="962"/>
      <c r="N16" s="274"/>
      <c r="O16" s="935" t="s">
        <v>356</v>
      </c>
      <c r="P16" s="935" t="s">
        <v>357</v>
      </c>
      <c r="Q16" s="887" t="s">
        <v>358</v>
      </c>
      <c r="R16" s="886"/>
      <c r="S16" s="887" t="s">
        <v>372</v>
      </c>
      <c r="T16" s="890"/>
      <c r="U16" s="886"/>
      <c r="V16" s="1018"/>
      <c r="W16" s="1021"/>
      <c r="X16" s="894"/>
      <c r="AD16" s="3">
        <v>34</v>
      </c>
    </row>
    <row r="17" spans="1:30" ht="35.65" customHeight="1">
      <c r="A17" s="60" t="s">
        <v>59</v>
      </c>
      <c r="B17" s="60" t="s">
        <v>60</v>
      </c>
      <c r="C17" s="60" t="s">
        <v>61</v>
      </c>
      <c r="D17" s="60" t="s">
        <v>62</v>
      </c>
      <c r="J17" s="264"/>
      <c r="K17" s="264"/>
      <c r="L17" s="1013"/>
      <c r="M17" s="962"/>
      <c r="N17" s="275"/>
      <c r="O17" s="987"/>
      <c r="P17" s="987"/>
      <c r="Q17" s="65" t="s">
        <v>367</v>
      </c>
      <c r="R17" s="65" t="s">
        <v>368</v>
      </c>
      <c r="S17" s="65" t="s">
        <v>369</v>
      </c>
      <c r="T17" s="967" t="s">
        <v>370</v>
      </c>
      <c r="U17" s="981"/>
      <c r="V17" s="1019"/>
      <c r="W17" s="1022"/>
      <c r="X17" s="894"/>
      <c r="AD17" s="3">
        <v>34</v>
      </c>
    </row>
    <row r="18" spans="1:30" ht="11.45" customHeight="1">
      <c r="J18" s="278"/>
      <c r="K18" s="279">
        <v>1</v>
      </c>
      <c r="L18" s="280" t="s">
        <v>31</v>
      </c>
      <c r="M18" s="281" t="s">
        <v>39</v>
      </c>
      <c r="N18" s="282" t="str">
        <f ca="1">OFFSET(N18,0,-1)</f>
        <v>2</v>
      </c>
      <c r="O18" s="283">
        <f ca="1">OFFSET(O18,0,-1)+1</f>
        <v>3</v>
      </c>
      <c r="P18" s="283"/>
      <c r="Q18" s="283">
        <f ca="1">OFFSET(Q18,0,-1)+1</f>
        <v>1</v>
      </c>
      <c r="R18" s="283">
        <f ca="1">OFFSET(R18,0,-1)+1</f>
        <v>2</v>
      </c>
      <c r="S18" s="283">
        <f ca="1">OFFSET(S18,0,-1)+1</f>
        <v>3</v>
      </c>
      <c r="T18" s="1011">
        <f ca="1">OFFSET(T18,0,-1)+1</f>
        <v>4</v>
      </c>
      <c r="U18" s="1011"/>
      <c r="V18" s="283">
        <f ca="1">OFFSET(V18,0,-2)+1</f>
        <v>5</v>
      </c>
      <c r="W18" s="282">
        <f ca="1">OFFSET(W18,0,-1)</f>
        <v>5</v>
      </c>
      <c r="X18" s="283">
        <f ca="1">OFFSET(X18,0,-1)+1</f>
        <v>6</v>
      </c>
      <c r="AD18" s="189">
        <v>11</v>
      </c>
    </row>
    <row r="19" spans="1:30" ht="21" customHeight="1">
      <c r="A19" s="284" t="s">
        <v>93</v>
      </c>
      <c r="B19" s="284" t="s">
        <v>94</v>
      </c>
      <c r="C19" s="284" t="s">
        <v>95</v>
      </c>
      <c r="D19" s="284" t="s">
        <v>96</v>
      </c>
      <c r="K19" s="225"/>
      <c r="L19" s="226">
        <f>INDEX(PT_DIFFERENTIATION_NUM_NTAR,MATCH(A19,PT_DIFFERENTIATION_NTAR_ID,0))</f>
        <v>0</v>
      </c>
      <c r="M19" s="227" t="s">
        <v>48</v>
      </c>
      <c r="N19" s="228"/>
      <c r="O19" s="1273" t="str">
        <f>INDEX(PT_DIFFERENTIATION_NTAR,MATCH(A19,PT_DIFFERENTIATION_NTAR_ID,0))</f>
        <v/>
      </c>
      <c r="P19" s="1273"/>
      <c r="Q19" s="1273"/>
      <c r="R19" s="1273"/>
      <c r="S19" s="1273"/>
      <c r="T19" s="1273"/>
      <c r="U19" s="1273"/>
      <c r="V19" s="1273"/>
      <c r="W19" s="1273"/>
      <c r="X19" s="230" t="s">
        <v>319</v>
      </c>
      <c r="AA19" s="29" t="str">
        <f t="shared" ref="AA19:AA32" si="0">IF(M19="","",M19)</f>
        <v>Наименование тарифа</v>
      </c>
      <c r="AD19" s="3">
        <v>20</v>
      </c>
    </row>
    <row r="20" spans="1:30" ht="21" customHeight="1">
      <c r="A20" s="284" t="s">
        <v>93</v>
      </c>
      <c r="B20" s="284" t="s">
        <v>94</v>
      </c>
      <c r="C20" s="284" t="s">
        <v>95</v>
      </c>
      <c r="D20" s="284" t="s">
        <v>96</v>
      </c>
      <c r="J20" s="231"/>
      <c r="K20" s="232"/>
      <c r="L20" s="226" t="str">
        <f>INDEX(PT_DIFFERENTIATION_NUM_TER,MATCH(B19,PT_DIFFERENTIATION_TER_ID,0))</f>
        <v>.</v>
      </c>
      <c r="M20" s="233" t="s">
        <v>320</v>
      </c>
      <c r="N20" s="228"/>
      <c r="O20" s="1273" t="str">
        <f>INDEX(PT_DIFFERENTIATION_TER,MATCH(B19,PT_DIFFERENTIATION_TER_ID,0))</f>
        <v/>
      </c>
      <c r="P20" s="1273"/>
      <c r="Q20" s="1273"/>
      <c r="R20" s="1273"/>
      <c r="S20" s="1273"/>
      <c r="T20" s="1273"/>
      <c r="U20" s="1273"/>
      <c r="V20" s="1273"/>
      <c r="W20" s="1273"/>
      <c r="X20" s="230" t="s">
        <v>321</v>
      </c>
      <c r="AA20" s="29" t="str">
        <f t="shared" si="0"/>
        <v>Территория действия тарифа</v>
      </c>
      <c r="AD20" s="3">
        <v>20</v>
      </c>
    </row>
    <row r="21" spans="1:30" ht="24" customHeight="1">
      <c r="A21" s="284" t="s">
        <v>93</v>
      </c>
      <c r="B21" s="284" t="s">
        <v>94</v>
      </c>
      <c r="C21" s="284" t="s">
        <v>95</v>
      </c>
      <c r="D21" s="284" t="s">
        <v>96</v>
      </c>
      <c r="J21" s="231"/>
      <c r="K21" s="232"/>
      <c r="L21" s="226" t="str">
        <f>INDEX(PT_DIFFERENTIATION_NUM_CS,MATCH(C19,PT_DIFFERENTIATION_CS_ID,0))</f>
        <v>..</v>
      </c>
      <c r="M21" s="234" t="s">
        <v>322</v>
      </c>
      <c r="N21" s="228"/>
      <c r="O21" s="1273" t="str">
        <f>INDEX(PT_DIFFERENTIATION_CS,MATCH(C19,PT_DIFFERENTIATION_CS_ID,0))</f>
        <v/>
      </c>
      <c r="P21" s="1273"/>
      <c r="Q21" s="1273"/>
      <c r="R21" s="1273"/>
      <c r="S21" s="1273"/>
      <c r="T21" s="1273"/>
      <c r="U21" s="1273"/>
      <c r="V21" s="1273"/>
      <c r="W21" s="1273"/>
      <c r="X21" s="230" t="s">
        <v>323</v>
      </c>
      <c r="AA21" s="29" t="str">
        <f t="shared" si="0"/>
        <v xml:space="preserve">Наименование системы теплоснабжения </v>
      </c>
      <c r="AD21" s="3">
        <v>23</v>
      </c>
    </row>
    <row r="22" spans="1:30" ht="21" customHeight="1">
      <c r="A22" s="284" t="s">
        <v>93</v>
      </c>
      <c r="B22" s="284" t="s">
        <v>94</v>
      </c>
      <c r="C22" s="284" t="s">
        <v>95</v>
      </c>
      <c r="D22" s="284" t="s">
        <v>96</v>
      </c>
      <c r="J22" s="231"/>
      <c r="K22" s="232"/>
      <c r="L22" s="226" t="str">
        <f>INDEX(PT_DIFFERENTIATION_NUM_IST_TE,MATCH(D19,PT_DIFFERENTIATION_IST_TE_ID,0))</f>
        <v>...</v>
      </c>
      <c r="M22" s="235" t="s">
        <v>324</v>
      </c>
      <c r="N22" s="228"/>
      <c r="O22" s="1273" t="str">
        <f>INDEX(PT_DIFFERENTIATION_IST_TE,MATCH(D19,PT_DIFFERENTIATION_IST_TE_ID,0))</f>
        <v/>
      </c>
      <c r="P22" s="1273"/>
      <c r="Q22" s="1273"/>
      <c r="R22" s="1273"/>
      <c r="S22" s="1273"/>
      <c r="T22" s="1273"/>
      <c r="U22" s="1273"/>
      <c r="V22" s="1273"/>
      <c r="W22" s="1273"/>
      <c r="X22" s="230" t="s">
        <v>325</v>
      </c>
      <c r="AA22" s="29" t="str">
        <f t="shared" si="0"/>
        <v xml:space="preserve">Источник тепловой энергии  </v>
      </c>
      <c r="AD22" s="3">
        <v>20</v>
      </c>
    </row>
    <row r="23" spans="1:30" ht="96.75" customHeight="1">
      <c r="A23" s="284" t="s">
        <v>93</v>
      </c>
      <c r="B23" s="284" t="s">
        <v>94</v>
      </c>
      <c r="C23" s="284" t="s">
        <v>95</v>
      </c>
      <c r="D23" s="284" t="s">
        <v>96</v>
      </c>
      <c r="F23" s="979" t="str">
        <f>L22&amp;".1"</f>
        <v>....1</v>
      </c>
      <c r="I23" s="1004">
        <v>1</v>
      </c>
      <c r="K23" s="238"/>
      <c r="L23" s="226" t="str">
        <f>$F$23</f>
        <v>....1</v>
      </c>
      <c r="M23" s="239" t="s">
        <v>327</v>
      </c>
      <c r="N23" s="228"/>
      <c r="O23" s="1034"/>
      <c r="P23" s="1034"/>
      <c r="Q23" s="1034"/>
      <c r="R23" s="1034"/>
      <c r="S23" s="1034"/>
      <c r="T23" s="1034"/>
      <c r="U23" s="1034"/>
      <c r="V23" s="1034"/>
      <c r="W23" s="1034"/>
      <c r="X23" s="230" t="s">
        <v>328</v>
      </c>
      <c r="AA23" s="29" t="str">
        <f t="shared" si="0"/>
        <v>Схема подключения теплопотребляющей установки к коллектору источника тепловой энергии</v>
      </c>
      <c r="AD23" s="3">
        <v>92</v>
      </c>
    </row>
    <row r="24" spans="1:30" ht="86.25" customHeight="1">
      <c r="A24" s="284" t="s">
        <v>93</v>
      </c>
      <c r="B24" s="284" t="s">
        <v>94</v>
      </c>
      <c r="C24" s="284" t="s">
        <v>95</v>
      </c>
      <c r="D24" s="284" t="s">
        <v>96</v>
      </c>
      <c r="F24" s="885"/>
      <c r="G24" s="979" t="str">
        <f>F23&amp;".1"</f>
        <v>....1.1</v>
      </c>
      <c r="I24" s="885"/>
      <c r="J24" s="1004">
        <v>1</v>
      </c>
      <c r="K24" s="240"/>
      <c r="L24" s="226" t="str">
        <f>$G$24</f>
        <v>....1.1</v>
      </c>
      <c r="M24" s="241" t="s">
        <v>330</v>
      </c>
      <c r="N24" s="228"/>
      <c r="O24" s="989"/>
      <c r="P24" s="990"/>
      <c r="Q24" s="990"/>
      <c r="R24" s="990"/>
      <c r="S24" s="990"/>
      <c r="T24" s="990"/>
      <c r="U24" s="990"/>
      <c r="V24" s="990"/>
      <c r="W24" s="991"/>
      <c r="X24" s="230" t="s">
        <v>331</v>
      </c>
      <c r="AA24" s="29" t="str">
        <f t="shared" si="0"/>
        <v>Группа потребителей</v>
      </c>
      <c r="AD24" s="3">
        <v>82</v>
      </c>
    </row>
    <row r="25" spans="1:30" ht="11.45" customHeight="1">
      <c r="A25" s="284" t="s">
        <v>93</v>
      </c>
      <c r="B25" s="284" t="s">
        <v>94</v>
      </c>
      <c r="C25" s="284" t="s">
        <v>95</v>
      </c>
      <c r="D25" s="284" t="s">
        <v>96</v>
      </c>
      <c r="F25" s="885"/>
      <c r="G25" s="885"/>
      <c r="H25" s="979" t="str">
        <f>G24&amp;".1"</f>
        <v>....1.1.1</v>
      </c>
      <c r="I25" s="885"/>
      <c r="J25" s="885"/>
      <c r="K25" s="240">
        <v>1</v>
      </c>
      <c r="L25" s="226" t="str">
        <f>$H$25</f>
        <v>....1.1.1</v>
      </c>
      <c r="M25" s="242"/>
      <c r="N25" s="228"/>
      <c r="O25" s="243"/>
      <c r="P25" s="244"/>
      <c r="Q25" s="243"/>
      <c r="R25" s="245"/>
      <c r="S25" s="1005"/>
      <c r="T25" s="895" t="s">
        <v>17</v>
      </c>
      <c r="U25" s="1005"/>
      <c r="V25" s="895" t="s">
        <v>3</v>
      </c>
      <c r="W25" s="244"/>
      <c r="X25" s="1023" t="s">
        <v>333</v>
      </c>
      <c r="Y25" s="24" t="e">
        <f ca="1">STRCHECKDATE(O26:W26)</f>
        <v>#NAME?</v>
      </c>
      <c r="AA25" s="29" t="str">
        <f t="shared" si="0"/>
        <v/>
      </c>
      <c r="AD25" s="3">
        <v>11</v>
      </c>
    </row>
    <row r="26" spans="1:30" ht="11.45" customHeight="1">
      <c r="A26" s="284" t="s">
        <v>93</v>
      </c>
      <c r="B26" s="284" t="s">
        <v>94</v>
      </c>
      <c r="C26" s="284" t="s">
        <v>95</v>
      </c>
      <c r="D26" s="284" t="s">
        <v>96</v>
      </c>
      <c r="F26" s="885"/>
      <c r="G26" s="885"/>
      <c r="H26" s="885"/>
      <c r="I26" s="885"/>
      <c r="J26" s="885"/>
      <c r="K26" s="240"/>
      <c r="L26" s="209"/>
      <c r="M26" s="228"/>
      <c r="N26" s="228"/>
      <c r="O26" s="244"/>
      <c r="P26" s="244"/>
      <c r="Q26" s="244"/>
      <c r="R26" s="247" t="str">
        <f>S25&amp;"-"&amp;U25</f>
        <v>-</v>
      </c>
      <c r="S26" s="1006"/>
      <c r="T26" s="895"/>
      <c r="U26" s="1006"/>
      <c r="V26" s="895"/>
      <c r="W26" s="244"/>
      <c r="X26" s="1024"/>
      <c r="AA26" s="29" t="str">
        <f t="shared" si="0"/>
        <v/>
      </c>
      <c r="AD26" s="3">
        <v>11</v>
      </c>
    </row>
    <row r="27" spans="1:30" ht="15.75" customHeight="1">
      <c r="A27" s="284" t="s">
        <v>93</v>
      </c>
      <c r="B27" s="284" t="s">
        <v>94</v>
      </c>
      <c r="C27" s="284" t="s">
        <v>95</v>
      </c>
      <c r="D27" s="284" t="s">
        <v>96</v>
      </c>
      <c r="F27" s="885"/>
      <c r="G27" s="885"/>
      <c r="I27" s="885"/>
      <c r="J27" s="885"/>
      <c r="K27" s="238"/>
      <c r="L27" s="249"/>
      <c r="M27" s="250" t="s">
        <v>334</v>
      </c>
      <c r="N27" s="54"/>
      <c r="O27" s="54"/>
      <c r="P27" s="54"/>
      <c r="Q27" s="54"/>
      <c r="R27" s="54"/>
      <c r="S27" s="54"/>
      <c r="T27" s="54"/>
      <c r="U27" s="54"/>
      <c r="V27" s="54"/>
      <c r="W27" s="251"/>
      <c r="X27" s="1025"/>
      <c r="AA27" s="29" t="str">
        <f t="shared" si="0"/>
        <v>Добавить вид теплоносителя (параметры теплоносителя)</v>
      </c>
      <c r="AD27" s="3">
        <v>15</v>
      </c>
    </row>
    <row r="28" spans="1:30" ht="15.75" customHeight="1">
      <c r="A28" s="284" t="s">
        <v>93</v>
      </c>
      <c r="B28" s="284" t="s">
        <v>94</v>
      </c>
      <c r="C28" s="284" t="s">
        <v>95</v>
      </c>
      <c r="D28" s="284" t="s">
        <v>96</v>
      </c>
      <c r="F28" s="885"/>
      <c r="I28" s="885"/>
      <c r="K28" s="238"/>
      <c r="L28" s="249"/>
      <c r="M28" s="252" t="s">
        <v>335</v>
      </c>
      <c r="N28" s="54"/>
      <c r="O28" s="54"/>
      <c r="P28" s="54"/>
      <c r="Q28" s="54"/>
      <c r="R28" s="54"/>
      <c r="S28" s="54"/>
      <c r="T28" s="54"/>
      <c r="U28" s="54"/>
      <c r="V28" s="253"/>
      <c r="W28" s="54"/>
      <c r="X28" s="254"/>
      <c r="AA28" s="29" t="str">
        <f t="shared" si="0"/>
        <v>Добавить группу потребителей</v>
      </c>
      <c r="AD28" s="3">
        <v>15</v>
      </c>
    </row>
    <row r="29" spans="1:30" ht="14.65" customHeight="1">
      <c r="A29" s="284" t="s">
        <v>93</v>
      </c>
      <c r="B29" s="284" t="s">
        <v>94</v>
      </c>
      <c r="C29" s="284" t="s">
        <v>95</v>
      </c>
      <c r="D29" s="284" t="s">
        <v>96</v>
      </c>
      <c r="K29" s="225"/>
      <c r="L29" s="249"/>
      <c r="M29" s="255" t="s">
        <v>336</v>
      </c>
      <c r="N29" s="54"/>
      <c r="O29" s="54"/>
      <c r="P29" s="54"/>
      <c r="Q29" s="54"/>
      <c r="R29" s="54"/>
      <c r="S29" s="54"/>
      <c r="T29" s="54"/>
      <c r="U29" s="54"/>
      <c r="V29" s="253"/>
      <c r="W29" s="54"/>
      <c r="X29" s="254"/>
      <c r="AA29" s="29" t="str">
        <f t="shared" si="0"/>
        <v>Добавить схему подключения</v>
      </c>
      <c r="AD29" s="3">
        <v>14</v>
      </c>
    </row>
    <row r="30" spans="1:30" ht="14.65" customHeight="1">
      <c r="A30" s="284" t="s">
        <v>93</v>
      </c>
      <c r="B30" s="284" t="s">
        <v>94</v>
      </c>
      <c r="C30" s="284" t="s">
        <v>95</v>
      </c>
      <c r="E30" s="284" t="s">
        <v>509</v>
      </c>
      <c r="K30" s="225"/>
      <c r="L30" s="855"/>
      <c r="M30" s="856"/>
      <c r="N30" s="857"/>
      <c r="O30" s="857"/>
      <c r="P30" s="857"/>
      <c r="Q30" s="857"/>
      <c r="R30" s="857"/>
      <c r="S30" s="857"/>
      <c r="T30" s="857"/>
      <c r="U30" s="857"/>
      <c r="V30" s="858"/>
      <c r="W30" s="857"/>
      <c r="X30" s="859"/>
      <c r="AA30" s="29" t="str">
        <f t="shared" si="0"/>
        <v/>
      </c>
      <c r="AD30" s="3">
        <v>14</v>
      </c>
    </row>
    <row r="31" spans="1:30" ht="14.65" customHeight="1">
      <c r="A31" s="284" t="s">
        <v>93</v>
      </c>
      <c r="B31" s="284" t="s">
        <v>94</v>
      </c>
      <c r="E31" s="284" t="s">
        <v>2152</v>
      </c>
      <c r="K31" s="788"/>
      <c r="L31" s="855"/>
      <c r="M31" s="860"/>
      <c r="N31" s="857"/>
      <c r="O31" s="857"/>
      <c r="P31" s="857"/>
      <c r="Q31" s="857"/>
      <c r="R31" s="857"/>
      <c r="S31" s="857"/>
      <c r="T31" s="857"/>
      <c r="U31" s="857"/>
      <c r="V31" s="858"/>
      <c r="W31" s="857"/>
      <c r="X31" s="859"/>
      <c r="AA31" s="29" t="str">
        <f t="shared" si="0"/>
        <v/>
      </c>
      <c r="AD31" s="3">
        <v>14</v>
      </c>
    </row>
    <row r="32" spans="1:30" ht="14.65" customHeight="1">
      <c r="A32" s="284" t="s">
        <v>2153</v>
      </c>
      <c r="E32" s="284" t="s">
        <v>36</v>
      </c>
      <c r="K32" s="225"/>
      <c r="L32" s="855"/>
      <c r="M32" s="861"/>
      <c r="N32" s="857"/>
      <c r="O32" s="857"/>
      <c r="P32" s="857"/>
      <c r="Q32" s="857"/>
      <c r="R32" s="857"/>
      <c r="S32" s="857"/>
      <c r="T32" s="857"/>
      <c r="U32" s="857"/>
      <c r="V32" s="858"/>
      <c r="W32" s="857"/>
      <c r="X32" s="859"/>
      <c r="AA32" s="29" t="str">
        <f t="shared" si="0"/>
        <v/>
      </c>
      <c r="AD32" s="3">
        <v>14</v>
      </c>
    </row>
    <row r="33" spans="1:30" ht="11.45" customHeight="1">
      <c r="E33" s="284" t="s">
        <v>371</v>
      </c>
      <c r="L33" s="862"/>
      <c r="M33" s="863"/>
      <c r="N33" s="857"/>
      <c r="O33" s="857"/>
      <c r="P33" s="857"/>
      <c r="Q33" s="857"/>
      <c r="R33" s="857"/>
      <c r="S33" s="857"/>
      <c r="T33" s="857"/>
      <c r="U33" s="857"/>
      <c r="V33" s="858"/>
      <c r="W33" s="857"/>
      <c r="X33" s="859"/>
      <c r="AD33" s="39">
        <v>11</v>
      </c>
    </row>
    <row r="34" spans="1:30" ht="11.45" customHeight="1">
      <c r="AD34" s="3">
        <v>11</v>
      </c>
    </row>
    <row r="35" spans="1:30" ht="28.5" customHeight="1">
      <c r="L35" s="475" t="s">
        <v>727</v>
      </c>
      <c r="M35" s="1104" t="s">
        <v>2154</v>
      </c>
      <c r="N35" s="885"/>
      <c r="O35" s="885"/>
      <c r="P35" s="885"/>
      <c r="Q35" s="885"/>
      <c r="R35" s="885"/>
      <c r="S35" s="885"/>
      <c r="T35" s="885"/>
      <c r="U35" s="885"/>
      <c r="V35" s="885"/>
      <c r="W35" s="885"/>
      <c r="X35" s="885"/>
      <c r="AD35" s="3">
        <v>27</v>
      </c>
    </row>
    <row r="36" spans="1:30" ht="109.15" customHeight="1">
      <c r="M36" s="1104" t="s">
        <v>2155</v>
      </c>
      <c r="N36" s="885"/>
      <c r="O36" s="885"/>
      <c r="P36" s="885"/>
      <c r="Q36" s="885"/>
      <c r="R36" s="885"/>
      <c r="S36" s="885"/>
      <c r="T36" s="885"/>
      <c r="U36" s="885"/>
      <c r="V36" s="885"/>
      <c r="W36" s="885"/>
      <c r="X36" s="885"/>
      <c r="AD36" s="3">
        <v>104</v>
      </c>
    </row>
    <row r="37" spans="1:30" ht="14.65" customHeight="1">
      <c r="AD37" s="3">
        <v>14</v>
      </c>
    </row>
    <row r="38" spans="1:30" ht="14.65" customHeight="1">
      <c r="AD38" s="3">
        <v>14</v>
      </c>
    </row>
    <row r="39" spans="1:30" ht="14.65" customHeight="1">
      <c r="AD39" s="3">
        <v>14</v>
      </c>
    </row>
    <row r="40" spans="1:30" ht="14.65" customHeight="1">
      <c r="AD40" s="3">
        <v>14</v>
      </c>
    </row>
    <row r="41" spans="1:30" ht="22.5" hidden="1" customHeight="1">
      <c r="A41" s="11" t="s">
        <v>18</v>
      </c>
      <c r="B41" s="11">
        <v>0</v>
      </c>
      <c r="C41" s="11">
        <v>0</v>
      </c>
      <c r="D41" s="11">
        <v>0</v>
      </c>
      <c r="E41" s="11">
        <v>0</v>
      </c>
      <c r="F41" s="13">
        <v>0</v>
      </c>
      <c r="G41" s="13">
        <v>0</v>
      </c>
      <c r="H41" s="13">
        <v>0</v>
      </c>
      <c r="I41" s="287">
        <v>3</v>
      </c>
      <c r="J41" s="288">
        <v>3</v>
      </c>
      <c r="K41" s="288">
        <v>3</v>
      </c>
      <c r="L41" s="9">
        <v>12</v>
      </c>
      <c r="M41" s="3">
        <v>31</v>
      </c>
      <c r="N41" s="3">
        <v>1</v>
      </c>
      <c r="O41" s="3">
        <v>24</v>
      </c>
      <c r="P41" s="3">
        <v>24</v>
      </c>
      <c r="Q41" s="3">
        <v>24</v>
      </c>
      <c r="R41" s="3">
        <v>24</v>
      </c>
      <c r="S41" s="3">
        <v>11</v>
      </c>
      <c r="T41" s="3">
        <v>3</v>
      </c>
      <c r="U41" s="3">
        <v>11</v>
      </c>
      <c r="V41" s="3">
        <v>8</v>
      </c>
      <c r="W41" s="3">
        <v>4</v>
      </c>
      <c r="X41" s="3">
        <v>115</v>
      </c>
      <c r="Y41" s="24">
        <v>10</v>
      </c>
      <c r="Z41" s="24">
        <v>10</v>
      </c>
      <c r="AA41" s="24">
        <v>10</v>
      </c>
      <c r="AB41" s="24">
        <v>10</v>
      </c>
      <c r="AC41" s="24">
        <v>10</v>
      </c>
      <c r="AD41" s="3">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3" width="9.140625" hidden="1" customWidth="1"/>
    <col min="4" max="4" width="3" customWidth="1"/>
    <col min="5" max="5" width="6" customWidth="1"/>
    <col min="6" max="6" width="1.7109375" hidden="1" customWidth="1"/>
    <col min="7" max="8" width="30" customWidth="1"/>
    <col min="9" max="9" width="8" customWidth="1"/>
    <col min="10" max="10" width="12.140625" customWidth="1"/>
    <col min="11" max="11" width="46" customWidth="1"/>
    <col min="12" max="12" width="100" customWidth="1"/>
    <col min="13" max="13" width="7" customWidth="1"/>
    <col min="14" max="22" width="10" customWidth="1"/>
    <col min="23" max="23" width="10.5703125" hidden="1"/>
  </cols>
  <sheetData>
    <row r="1" spans="1:23" ht="5.25" hidden="1" customHeight="1">
      <c r="G1" s="24" t="s">
        <v>19</v>
      </c>
      <c r="H1" s="24" t="s">
        <v>20</v>
      </c>
      <c r="I1" s="24" t="s">
        <v>21</v>
      </c>
      <c r="P1" s="24" t="s">
        <v>19</v>
      </c>
      <c r="Q1" s="24" t="s">
        <v>20</v>
      </c>
      <c r="R1" s="24" t="s">
        <v>21</v>
      </c>
      <c r="W1" s="24" t="s">
        <v>1</v>
      </c>
    </row>
    <row r="2" spans="1:23" ht="5.25" hidden="1" customHeight="1">
      <c r="W2" s="24">
        <v>0</v>
      </c>
    </row>
    <row r="3" spans="1:23" ht="5.25" customHeight="1">
      <c r="D3" s="176"/>
      <c r="E3" s="4"/>
      <c r="F3" s="4"/>
      <c r="G3" s="4"/>
      <c r="H3" s="4"/>
      <c r="I3" s="206"/>
      <c r="J3" s="207"/>
      <c r="K3" s="207"/>
      <c r="L3" s="207"/>
      <c r="W3" s="5">
        <v>5</v>
      </c>
    </row>
    <row r="4" spans="1:23" ht="23.25" customHeight="1">
      <c r="D4" s="151"/>
      <c r="E4" s="891" t="s">
        <v>311</v>
      </c>
      <c r="F4" s="891"/>
      <c r="G4" s="892"/>
      <c r="H4" s="892"/>
      <c r="I4" s="893"/>
      <c r="W4" s="3">
        <v>22</v>
      </c>
    </row>
    <row r="5" spans="1:23" ht="18" customHeight="1">
      <c r="D5" s="151"/>
      <c r="E5" s="976" t="e">
        <f>IF(org=0,"Не определено",org)</f>
        <v>#REF!</v>
      </c>
      <c r="F5" s="976"/>
      <c r="G5" s="977"/>
      <c r="H5" s="977"/>
      <c r="I5" s="978"/>
      <c r="W5" s="3">
        <v>17</v>
      </c>
    </row>
    <row r="6" spans="1:23" ht="11.45" customHeight="1">
      <c r="D6" s="176"/>
      <c r="E6" s="4"/>
      <c r="F6" s="4"/>
      <c r="K6" s="115"/>
      <c r="W6" s="5">
        <v>11</v>
      </c>
    </row>
    <row r="7" spans="1:23" ht="14.65" customHeight="1">
      <c r="D7" s="151"/>
      <c r="E7" s="961" t="s">
        <v>223</v>
      </c>
      <c r="F7" s="961"/>
      <c r="G7" s="962"/>
      <c r="H7" s="962"/>
      <c r="I7" s="962"/>
      <c r="J7" s="962"/>
      <c r="K7" s="962"/>
      <c r="L7" s="933" t="s">
        <v>224</v>
      </c>
      <c r="W7" s="3">
        <v>14</v>
      </c>
    </row>
    <row r="8" spans="1:23" ht="48.2" customHeight="1">
      <c r="D8" s="151"/>
      <c r="E8" s="120" t="s">
        <v>24</v>
      </c>
      <c r="F8" s="120"/>
      <c r="G8" s="30" t="s">
        <v>22</v>
      </c>
      <c r="H8" s="30" t="s">
        <v>23</v>
      </c>
      <c r="I8" s="65" t="s">
        <v>21</v>
      </c>
      <c r="J8" s="65" t="s">
        <v>312</v>
      </c>
      <c r="K8" s="65" t="s">
        <v>313</v>
      </c>
      <c r="L8" s="933"/>
      <c r="W8" s="3">
        <v>46</v>
      </c>
    </row>
    <row r="9" spans="1:23" ht="12" hidden="1" customHeight="1">
      <c r="D9" s="183"/>
      <c r="E9" s="208"/>
      <c r="F9" s="208"/>
      <c r="G9" s="208"/>
      <c r="H9" s="208"/>
      <c r="I9" s="208"/>
      <c r="J9" s="208"/>
      <c r="K9" s="208"/>
      <c r="L9" s="208"/>
      <c r="W9" s="3">
        <v>0</v>
      </c>
    </row>
    <row r="10" spans="1:23" ht="14.25" hidden="1" customHeight="1">
      <c r="D10" s="151"/>
      <c r="E10" s="30">
        <v>0</v>
      </c>
      <c r="F10" s="30"/>
      <c r="G10" s="209"/>
      <c r="H10" s="209"/>
      <c r="I10" s="209"/>
      <c r="J10" s="209"/>
      <c r="K10" s="209"/>
      <c r="L10" s="974" t="s">
        <v>314</v>
      </c>
      <c r="W10" s="3">
        <v>0</v>
      </c>
    </row>
    <row r="11" spans="1:23" ht="15" hidden="1" customHeight="1">
      <c r="A11" s="885"/>
      <c r="D11" s="210"/>
      <c r="E11" s="211"/>
      <c r="F11" s="211"/>
      <c r="G11" s="211"/>
      <c r="H11" s="211"/>
      <c r="I11" s="54"/>
      <c r="J11" s="212"/>
      <c r="K11" s="213"/>
      <c r="L11" s="988"/>
      <c r="W11" s="3">
        <v>0</v>
      </c>
    </row>
    <row r="12" spans="1:23" ht="15" customHeight="1">
      <c r="A12" s="885"/>
      <c r="D12" s="214"/>
      <c r="E12" s="120">
        <v>1</v>
      </c>
      <c r="F12" s="215">
        <v>23</v>
      </c>
      <c r="G12" s="216"/>
      <c r="H12" s="37"/>
      <c r="I12" s="38"/>
      <c r="J12" s="217" t="s">
        <v>17</v>
      </c>
      <c r="K12" s="218" t="s">
        <v>4</v>
      </c>
      <c r="L12" s="988"/>
      <c r="P12" s="219" t="s">
        <v>315</v>
      </c>
      <c r="Q12" s="219" t="s">
        <v>316</v>
      </c>
      <c r="R12" s="220" t="s">
        <v>317</v>
      </c>
      <c r="S12" s="24" t="s">
        <v>318</v>
      </c>
      <c r="W12" s="5">
        <v>14</v>
      </c>
    </row>
    <row r="13" spans="1:23" ht="15.75" customHeight="1">
      <c r="A13" s="885"/>
      <c r="D13" s="151"/>
      <c r="E13" s="198"/>
      <c r="F13" s="221"/>
      <c r="G13" s="45" t="s">
        <v>34</v>
      </c>
      <c r="H13" s="222"/>
      <c r="I13" s="222"/>
      <c r="J13" s="222"/>
      <c r="K13" s="223"/>
      <c r="L13" s="975"/>
      <c r="W13" s="3">
        <v>15</v>
      </c>
    </row>
    <row r="14" spans="1:23" ht="11.45" customHeight="1">
      <c r="W14" s="3">
        <v>11</v>
      </c>
    </row>
    <row r="15" spans="1:23" ht="14.65" customHeight="1">
      <c r="G15" s="22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W15" s="3">
        <v>14</v>
      </c>
    </row>
    <row r="16" spans="1:23" ht="14.65" customHeight="1">
      <c r="W16" s="3">
        <v>14</v>
      </c>
    </row>
    <row r="17" spans="1:23" ht="14.65" customHeight="1">
      <c r="W17" s="3">
        <v>14</v>
      </c>
    </row>
    <row r="18" spans="1:23" ht="14.65" customHeight="1">
      <c r="W18" s="3">
        <v>14</v>
      </c>
    </row>
    <row r="19" spans="1:23" ht="22.5" hidden="1" customHeight="1">
      <c r="A19" s="2" t="s">
        <v>18</v>
      </c>
      <c r="B19" s="3">
        <v>0</v>
      </c>
      <c r="C19" s="3">
        <v>0</v>
      </c>
      <c r="D19" s="48">
        <v>3</v>
      </c>
      <c r="E19" s="3">
        <v>6</v>
      </c>
      <c r="F19" s="3">
        <v>0</v>
      </c>
      <c r="G19" s="3">
        <v>30</v>
      </c>
      <c r="H19" s="3">
        <v>30</v>
      </c>
      <c r="I19" s="3">
        <v>8</v>
      </c>
      <c r="J19" s="3">
        <v>12</v>
      </c>
      <c r="K19" s="3">
        <v>46</v>
      </c>
      <c r="L19" s="3">
        <v>100</v>
      </c>
      <c r="M19" s="25">
        <v>7</v>
      </c>
      <c r="N19" s="3">
        <v>10</v>
      </c>
      <c r="O19" s="3">
        <v>10</v>
      </c>
      <c r="P19" s="3">
        <v>10</v>
      </c>
      <c r="Q19" s="3">
        <v>10</v>
      </c>
      <c r="R19" s="3">
        <v>10</v>
      </c>
      <c r="S19" s="3">
        <v>10</v>
      </c>
      <c r="T19" s="3">
        <v>10</v>
      </c>
      <c r="U19" s="3">
        <v>10</v>
      </c>
      <c r="V19" s="3">
        <v>10</v>
      </c>
      <c r="W19" s="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customWidth="1"/>
    <col min="2" max="2" width="8.7109375" customWidth="1"/>
    <col min="3" max="3" width="18.140625" customWidth="1"/>
    <col min="4" max="4" width="12.5703125" customWidth="1"/>
  </cols>
  <sheetData>
    <row r="1" spans="1:5" ht="11.25" customHeight="1">
      <c r="A1" s="79" t="s">
        <v>2156</v>
      </c>
      <c r="B1" s="604" t="s">
        <v>2157</v>
      </c>
      <c r="C1" s="1276" t="s">
        <v>2158</v>
      </c>
      <c r="D1" s="1277"/>
      <c r="E1" s="79" t="s">
        <v>2159</v>
      </c>
    </row>
    <row r="2" spans="1:5" ht="11.25" customHeight="1">
      <c r="A2" s="865"/>
      <c r="B2" s="864" t="s">
        <v>5</v>
      </c>
      <c r="C2" s="79"/>
      <c r="D2" s="604"/>
      <c r="E2" s="79"/>
    </row>
    <row r="3" spans="1:5" ht="11.25" customHeight="1">
      <c r="A3" s="866"/>
      <c r="B3" s="867" t="s">
        <v>6</v>
      </c>
      <c r="C3" s="79"/>
      <c r="D3" s="604"/>
      <c r="E3" s="79"/>
    </row>
    <row r="4" spans="1:5" ht="11.25" customHeight="1">
      <c r="A4" s="868"/>
      <c r="B4" s="867" t="s">
        <v>1584</v>
      </c>
      <c r="C4" s="79"/>
      <c r="D4" s="604"/>
      <c r="E4" s="79"/>
    </row>
    <row r="5" spans="1:5" ht="11.25" customHeight="1">
      <c r="A5" s="869"/>
      <c r="B5" s="867" t="s">
        <v>1578</v>
      </c>
      <c r="C5" s="870" t="s">
        <v>1923</v>
      </c>
      <c r="D5" s="871" t="s">
        <v>2160</v>
      </c>
      <c r="E5" s="79"/>
    </row>
    <row r="6" spans="1:5" ht="11.25" customHeight="1">
      <c r="A6" s="872"/>
      <c r="B6" s="867" t="s">
        <v>1588</v>
      </c>
      <c r="C6" s="79"/>
      <c r="D6" s="604"/>
      <c r="E6" s="79"/>
    </row>
    <row r="7" spans="1:5" ht="11.25" customHeight="1">
      <c r="A7" s="873"/>
      <c r="B7" s="867" t="s">
        <v>1596</v>
      </c>
      <c r="C7" s="79"/>
      <c r="D7" s="604"/>
      <c r="E7" s="79"/>
    </row>
    <row r="8" spans="1:5" ht="11.25" customHeight="1">
      <c r="A8" s="870"/>
      <c r="B8" s="867" t="s">
        <v>1591</v>
      </c>
      <c r="C8" s="79"/>
      <c r="D8" s="604"/>
      <c r="E8" s="79"/>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2" width="24.7109375" hidden="1" customWidth="1"/>
    <col min="23" max="23" width="0.140625" hidden="1" customWidth="1"/>
    <col min="24" max="25" width="24.7109375" hidden="1" customWidth="1"/>
    <col min="26" max="26" width="11.7109375" hidden="1" customWidth="1"/>
    <col min="27" max="27" width="3.7109375" hidden="1" customWidth="1"/>
    <col min="28" max="28" width="11.7109375" hidden="1" customWidth="1"/>
    <col min="29" max="29" width="8.5703125" hidden="1" customWidth="1"/>
    <col min="30" max="30" width="24.7109375" customWidth="1"/>
    <col min="31" max="31" width="0.140625" customWidth="1"/>
    <col min="32" max="33" width="24" customWidth="1"/>
    <col min="34" max="34" width="11" customWidth="1"/>
    <col min="35" max="35" width="3.7109375" customWidth="1"/>
    <col min="36" max="36" width="11" customWidth="1"/>
    <col min="37" max="37" width="8.5703125" hidden="1" customWidth="1"/>
    <col min="38" max="38" width="4" customWidth="1"/>
    <col min="39" max="39" width="115" customWidth="1"/>
    <col min="40" max="44" width="10" customWidth="1"/>
    <col min="45" max="45" width="10.5703125" hidden="1"/>
  </cols>
  <sheetData>
    <row r="1" spans="5:45" ht="22.5" hidden="1" customHeight="1">
      <c r="AS1" s="3" t="s">
        <v>1</v>
      </c>
    </row>
    <row r="2" spans="5:45" ht="21" hidden="1" customHeight="1">
      <c r="E2" s="1000">
        <v>1</v>
      </c>
      <c r="R2" s="225"/>
      <c r="S2" s="226" t="e">
        <f>INDEX(PT_DIFFERENTIATION_NUM_NTAR,MATCH(A2,PT_DIFFERENTIATION_NTAR_ID,0))</f>
        <v>#N/A</v>
      </c>
      <c r="T2" s="227" t="s">
        <v>48</v>
      </c>
      <c r="U2" s="228"/>
      <c r="V2" s="995"/>
      <c r="W2" s="996"/>
      <c r="X2" s="996"/>
      <c r="Y2" s="996"/>
      <c r="Z2" s="996"/>
      <c r="AA2" s="996"/>
      <c r="AB2" s="996"/>
      <c r="AC2" s="997"/>
      <c r="AD2" s="995" t="e">
        <f>INDEX(PT_DIFFERENTIATION_NTAR,MATCH(A2,PT_DIFFERENTIATION_NTAR_ID,0))</f>
        <v>#N/A</v>
      </c>
      <c r="AE2" s="996"/>
      <c r="AF2" s="996"/>
      <c r="AG2" s="996"/>
      <c r="AH2" s="996"/>
      <c r="AI2" s="996"/>
      <c r="AJ2" s="996"/>
      <c r="AK2" s="996"/>
      <c r="AL2" s="997"/>
      <c r="AM2" s="230" t="s">
        <v>319</v>
      </c>
      <c r="AP2" s="29" t="str">
        <f t="shared" ref="AP2:AP15" si="0">IF(T2="","",T2)</f>
        <v>Наименование тарифа</v>
      </c>
      <c r="AS2" s="3">
        <v>0</v>
      </c>
    </row>
    <row r="3" spans="5:45" ht="21" hidden="1" customHeight="1">
      <c r="E3" s="1001"/>
      <c r="F3" s="1000">
        <v>1</v>
      </c>
      <c r="Q3" s="231"/>
      <c r="R3" s="232"/>
      <c r="S3" s="226" t="e">
        <f>INDEX(PT_DIFFERENTIATION_NUM_TER,MATCH(B3,PT_DIFFERENTIATION_TER_ID,0))</f>
        <v>#N/A</v>
      </c>
      <c r="T3" s="233" t="s">
        <v>320</v>
      </c>
      <c r="U3" s="228"/>
      <c r="V3" s="995"/>
      <c r="W3" s="996"/>
      <c r="X3" s="996"/>
      <c r="Y3" s="996"/>
      <c r="Z3" s="996"/>
      <c r="AA3" s="996"/>
      <c r="AB3" s="996"/>
      <c r="AC3" s="997"/>
      <c r="AD3" s="995" t="e">
        <f>INDEX(PT_DIFFERENTIATION_TER,MATCH(B3,PT_DIFFERENTIATION_TER_ID,0))</f>
        <v>#N/A</v>
      </c>
      <c r="AE3" s="996"/>
      <c r="AF3" s="996"/>
      <c r="AG3" s="996"/>
      <c r="AH3" s="996"/>
      <c r="AI3" s="996"/>
      <c r="AJ3" s="996"/>
      <c r="AK3" s="996"/>
      <c r="AL3" s="997"/>
      <c r="AM3" s="230" t="s">
        <v>321</v>
      </c>
      <c r="AP3" s="29" t="str">
        <f t="shared" si="0"/>
        <v>Территория действия тарифа</v>
      </c>
      <c r="AS3" s="3">
        <v>0</v>
      </c>
    </row>
    <row r="4" spans="5:45" ht="23.25" hidden="1" customHeight="1">
      <c r="E4" s="1001"/>
      <c r="F4" s="1001"/>
      <c r="G4" s="1000">
        <v>1</v>
      </c>
      <c r="Q4" s="231"/>
      <c r="R4" s="232"/>
      <c r="S4" s="226" t="e">
        <f>INDEX(PT_DIFFERENTIATION_NUM_CS,MATCH(C4,PT_DIFFERENTIATION_CS_ID,0))</f>
        <v>#N/A</v>
      </c>
      <c r="T4" s="234" t="s">
        <v>322</v>
      </c>
      <c r="U4" s="228"/>
      <c r="V4" s="995"/>
      <c r="W4" s="996"/>
      <c r="X4" s="996"/>
      <c r="Y4" s="996"/>
      <c r="Z4" s="996"/>
      <c r="AA4" s="996"/>
      <c r="AB4" s="996"/>
      <c r="AC4" s="997"/>
      <c r="AD4" s="995" t="e">
        <f>INDEX(PT_DIFFERENTIATION_CS,MATCH(C4,PT_DIFFERENTIATION_CS_ID,0))</f>
        <v>#N/A</v>
      </c>
      <c r="AE4" s="996"/>
      <c r="AF4" s="996"/>
      <c r="AG4" s="996"/>
      <c r="AH4" s="996"/>
      <c r="AI4" s="996"/>
      <c r="AJ4" s="996"/>
      <c r="AK4" s="996"/>
      <c r="AL4" s="997"/>
      <c r="AM4" s="230" t="s">
        <v>323</v>
      </c>
      <c r="AP4" s="29" t="str">
        <f t="shared" si="0"/>
        <v xml:space="preserve">Наименование системы теплоснабжения </v>
      </c>
      <c r="AS4" s="3">
        <v>0</v>
      </c>
    </row>
    <row r="5" spans="5:45" ht="21" hidden="1" customHeight="1">
      <c r="E5" s="1001"/>
      <c r="F5" s="1001"/>
      <c r="G5" s="1001"/>
      <c r="H5" s="1000">
        <v>1</v>
      </c>
      <c r="Q5" s="231"/>
      <c r="R5" s="232"/>
      <c r="S5" s="226" t="e">
        <f>INDEX(PT_DIFFERENTIATION_NUM_IST_TE,MATCH(D5,PT_DIFFERENTIATION_IST_TE_ID,0))</f>
        <v>#N/A</v>
      </c>
      <c r="T5" s="235" t="s">
        <v>324</v>
      </c>
      <c r="U5" s="228"/>
      <c r="V5" s="995"/>
      <c r="W5" s="996"/>
      <c r="X5" s="996"/>
      <c r="Y5" s="996"/>
      <c r="Z5" s="996"/>
      <c r="AA5" s="996"/>
      <c r="AB5" s="996"/>
      <c r="AC5" s="997"/>
      <c r="AD5" s="995" t="e">
        <f>INDEX(PT_DIFFERENTIATION_IST_TE,MATCH(D5,PT_DIFFERENTIATION_IST_TE_ID,0))</f>
        <v>#N/A</v>
      </c>
      <c r="AE5" s="996"/>
      <c r="AF5" s="996"/>
      <c r="AG5" s="996"/>
      <c r="AH5" s="996"/>
      <c r="AI5" s="996"/>
      <c r="AJ5" s="996"/>
      <c r="AK5" s="996"/>
      <c r="AL5" s="997"/>
      <c r="AM5" s="230" t="s">
        <v>325</v>
      </c>
      <c r="AP5" s="29" t="str">
        <f t="shared" si="0"/>
        <v xml:space="preserve">Источник тепловой энергии  </v>
      </c>
      <c r="AS5" s="3">
        <v>0</v>
      </c>
    </row>
    <row r="6" spans="5:45" ht="47.25" hidden="1" customHeight="1">
      <c r="E6" s="1001"/>
      <c r="F6" s="1001"/>
      <c r="G6" s="1001"/>
      <c r="H6" s="1001"/>
      <c r="I6" s="1002" t="e">
        <f>S5&amp;".1"</f>
        <v>#N/A</v>
      </c>
      <c r="L6" s="237" t="s">
        <v>326</v>
      </c>
      <c r="P6" s="1004">
        <v>1</v>
      </c>
      <c r="R6" s="238"/>
      <c r="S6" s="226" t="e">
        <f>$I6</f>
        <v>#N/A</v>
      </c>
      <c r="T6" s="239" t="s">
        <v>327</v>
      </c>
      <c r="U6" s="228"/>
      <c r="V6" s="989"/>
      <c r="W6" s="990"/>
      <c r="X6" s="990"/>
      <c r="Y6" s="990"/>
      <c r="Z6" s="990"/>
      <c r="AA6" s="990"/>
      <c r="AB6" s="990"/>
      <c r="AC6" s="991"/>
      <c r="AD6" s="989"/>
      <c r="AE6" s="990"/>
      <c r="AF6" s="990"/>
      <c r="AG6" s="990"/>
      <c r="AH6" s="990"/>
      <c r="AI6" s="990"/>
      <c r="AJ6" s="990"/>
      <c r="AK6" s="990"/>
      <c r="AL6" s="991"/>
      <c r="AM6" s="230" t="s">
        <v>328</v>
      </c>
      <c r="AP6" s="29" t="str">
        <f t="shared" si="0"/>
        <v>Схема подключения теплопотребляющей установки к коллектору источника тепловой энергии</v>
      </c>
      <c r="AS6" s="3">
        <v>0</v>
      </c>
    </row>
    <row r="7" spans="5:45" ht="21" hidden="1" customHeight="1">
      <c r="E7" s="1001"/>
      <c r="F7" s="1001"/>
      <c r="G7" s="1001"/>
      <c r="H7" s="1001"/>
      <c r="I7" s="1003"/>
      <c r="J7" s="1002" t="e">
        <f>I6&amp;".1"</f>
        <v>#N/A</v>
      </c>
      <c r="L7" s="237" t="s">
        <v>329</v>
      </c>
      <c r="P7" s="885"/>
      <c r="Q7" s="1004">
        <v>1</v>
      </c>
      <c r="R7" s="240"/>
      <c r="S7" s="226" t="e">
        <f>$J7</f>
        <v>#N/A</v>
      </c>
      <c r="T7" s="241" t="s">
        <v>330</v>
      </c>
      <c r="U7" s="228"/>
      <c r="V7" s="989"/>
      <c r="W7" s="990"/>
      <c r="X7" s="990"/>
      <c r="Y7" s="990"/>
      <c r="Z7" s="990"/>
      <c r="AA7" s="990"/>
      <c r="AB7" s="990"/>
      <c r="AC7" s="991"/>
      <c r="AD7" s="989"/>
      <c r="AE7" s="990"/>
      <c r="AF7" s="990"/>
      <c r="AG7" s="990"/>
      <c r="AH7" s="990"/>
      <c r="AI7" s="990"/>
      <c r="AJ7" s="990"/>
      <c r="AK7" s="990"/>
      <c r="AL7" s="991"/>
      <c r="AM7" s="230" t="s">
        <v>331</v>
      </c>
      <c r="AP7" s="29" t="str">
        <f t="shared" si="0"/>
        <v>Группа потребителей</v>
      </c>
      <c r="AS7" s="3">
        <v>0</v>
      </c>
    </row>
    <row r="8" spans="5:45" ht="21" hidden="1" customHeight="1">
      <c r="E8" s="1001"/>
      <c r="F8" s="1001"/>
      <c r="G8" s="1001"/>
      <c r="H8" s="1001"/>
      <c r="I8" s="1003"/>
      <c r="J8" s="1003"/>
      <c r="K8" s="1002" t="e">
        <f>J7&amp;".1"</f>
        <v>#N/A</v>
      </c>
      <c r="L8" s="237" t="s">
        <v>332</v>
      </c>
      <c r="P8" s="885"/>
      <c r="Q8" s="885"/>
      <c r="R8" s="240">
        <v>1</v>
      </c>
      <c r="S8" s="226" t="e">
        <f>$K8</f>
        <v>#N/A</v>
      </c>
      <c r="T8" s="242"/>
      <c r="U8" s="228"/>
      <c r="V8" s="243"/>
      <c r="W8" s="244"/>
      <c r="X8" s="243"/>
      <c r="Y8" s="245"/>
      <c r="Z8" s="1005"/>
      <c r="AA8" s="895" t="s">
        <v>17</v>
      </c>
      <c r="AB8" s="1005"/>
      <c r="AC8" s="895" t="s">
        <v>17</v>
      </c>
      <c r="AD8" s="243"/>
      <c r="AE8" s="244"/>
      <c r="AF8" s="243"/>
      <c r="AG8" s="245"/>
      <c r="AH8" s="1005"/>
      <c r="AI8" s="895" t="s">
        <v>17</v>
      </c>
      <c r="AJ8" s="1005"/>
      <c r="AK8" s="895" t="s">
        <v>17</v>
      </c>
      <c r="AL8" s="244"/>
      <c r="AM8" s="1023" t="s">
        <v>333</v>
      </c>
      <c r="AN8" s="24" t="e">
        <f ca="1">STRCHECKDATE(V9:AL9)</f>
        <v>#NAME?</v>
      </c>
      <c r="AP8" s="29" t="str">
        <f t="shared" si="0"/>
        <v/>
      </c>
      <c r="AS8" s="3">
        <v>0</v>
      </c>
    </row>
    <row r="9" spans="5:45" ht="0.75" hidden="1" customHeight="1">
      <c r="E9" s="1001"/>
      <c r="F9" s="1001"/>
      <c r="G9" s="1001"/>
      <c r="H9" s="1001"/>
      <c r="I9" s="1003"/>
      <c r="J9" s="1003"/>
      <c r="K9" s="1002"/>
      <c r="P9" s="885"/>
      <c r="Q9" s="885"/>
      <c r="R9" s="240"/>
      <c r="S9" s="209"/>
      <c r="T9" s="228"/>
      <c r="U9" s="228"/>
      <c r="V9" s="244"/>
      <c r="W9" s="244"/>
      <c r="X9" s="244"/>
      <c r="Y9" s="247" t="str">
        <f>Z8&amp;"-"&amp;AB8</f>
        <v>-</v>
      </c>
      <c r="Z9" s="1006"/>
      <c r="AA9" s="895"/>
      <c r="AB9" s="1006"/>
      <c r="AC9" s="895"/>
      <c r="AD9" s="244"/>
      <c r="AE9" s="244"/>
      <c r="AF9" s="244"/>
      <c r="AG9" s="247" t="str">
        <f>AH8&amp;"-"&amp;AJ8</f>
        <v>-</v>
      </c>
      <c r="AH9" s="1006"/>
      <c r="AI9" s="895"/>
      <c r="AJ9" s="1006"/>
      <c r="AK9" s="895"/>
      <c r="AL9" s="244"/>
      <c r="AM9" s="1024"/>
      <c r="AP9" s="29" t="str">
        <f t="shared" si="0"/>
        <v/>
      </c>
      <c r="AS9" s="3">
        <v>0</v>
      </c>
    </row>
    <row r="10" spans="5:45" ht="15" hidden="1" customHeight="1">
      <c r="E10" s="1001"/>
      <c r="F10" s="1001"/>
      <c r="G10" s="1001"/>
      <c r="H10" s="1001"/>
      <c r="I10" s="1003"/>
      <c r="J10" s="1002"/>
      <c r="P10" s="885"/>
      <c r="Q10" s="885"/>
      <c r="R10" s="238"/>
      <c r="S10" s="249"/>
      <c r="T10" s="250" t="s">
        <v>334</v>
      </c>
      <c r="U10" s="54"/>
      <c r="V10" s="54"/>
      <c r="W10" s="54"/>
      <c r="X10" s="54"/>
      <c r="Y10" s="54"/>
      <c r="Z10" s="54"/>
      <c r="AA10" s="54"/>
      <c r="AB10" s="54"/>
      <c r="AC10" s="54"/>
      <c r="AD10" s="54"/>
      <c r="AE10" s="54"/>
      <c r="AF10" s="54"/>
      <c r="AG10" s="54"/>
      <c r="AH10" s="54"/>
      <c r="AI10" s="54"/>
      <c r="AJ10" s="54"/>
      <c r="AK10" s="54"/>
      <c r="AL10" s="251"/>
      <c r="AM10" s="1025"/>
      <c r="AP10" s="29" t="str">
        <f t="shared" si="0"/>
        <v>Добавить вид теплоносителя (параметры теплоносителя)</v>
      </c>
      <c r="AS10" s="3">
        <v>0</v>
      </c>
    </row>
    <row r="11" spans="5:45" ht="15" hidden="1" customHeight="1">
      <c r="E11" s="1001"/>
      <c r="F11" s="1001"/>
      <c r="G11" s="1001"/>
      <c r="H11" s="1001"/>
      <c r="I11" s="1002"/>
      <c r="P11" s="885"/>
      <c r="R11" s="238"/>
      <c r="S11" s="249"/>
      <c r="T11" s="252" t="s">
        <v>335</v>
      </c>
      <c r="U11" s="54"/>
      <c r="V11" s="54"/>
      <c r="W11" s="54"/>
      <c r="X11" s="54"/>
      <c r="Y11" s="54"/>
      <c r="Z11" s="54"/>
      <c r="AA11" s="54"/>
      <c r="AB11" s="54"/>
      <c r="AC11" s="253"/>
      <c r="AD11" s="54"/>
      <c r="AE11" s="54"/>
      <c r="AF11" s="54"/>
      <c r="AG11" s="54"/>
      <c r="AH11" s="54"/>
      <c r="AI11" s="54"/>
      <c r="AJ11" s="54"/>
      <c r="AK11" s="253"/>
      <c r="AL11" s="54"/>
      <c r="AM11" s="254"/>
      <c r="AP11" s="29" t="str">
        <f t="shared" si="0"/>
        <v>Добавить группу потребителей</v>
      </c>
      <c r="AS11" s="3">
        <v>0</v>
      </c>
    </row>
    <row r="12" spans="5:45" ht="14.25" hidden="1" customHeight="1">
      <c r="E12" s="1001"/>
      <c r="F12" s="1001"/>
      <c r="G12" s="1001"/>
      <c r="H12" s="1000"/>
      <c r="R12" s="225"/>
      <c r="S12" s="249"/>
      <c r="T12" s="255" t="s">
        <v>336</v>
      </c>
      <c r="U12" s="54"/>
      <c r="V12" s="54"/>
      <c r="W12" s="54"/>
      <c r="X12" s="54"/>
      <c r="Y12" s="54"/>
      <c r="Z12" s="54"/>
      <c r="AA12" s="54"/>
      <c r="AB12" s="54"/>
      <c r="AC12" s="253"/>
      <c r="AD12" s="54"/>
      <c r="AE12" s="54"/>
      <c r="AF12" s="54"/>
      <c r="AG12" s="54"/>
      <c r="AH12" s="54"/>
      <c r="AI12" s="54"/>
      <c r="AJ12" s="54"/>
      <c r="AK12" s="253"/>
      <c r="AL12" s="54"/>
      <c r="AM12" s="254"/>
      <c r="AP12" s="29" t="str">
        <f t="shared" si="0"/>
        <v>Добавить схему подключения</v>
      </c>
      <c r="AS12" s="3">
        <v>0</v>
      </c>
    </row>
    <row r="13" spans="5:45" ht="0.75" hidden="1" customHeight="1">
      <c r="E13" s="1001"/>
      <c r="F13" s="1001"/>
      <c r="G13" s="1000"/>
      <c r="S13" s="256"/>
      <c r="T13" s="257" t="s">
        <v>337</v>
      </c>
      <c r="U13" s="258"/>
      <c r="V13" s="258"/>
      <c r="W13" s="258"/>
      <c r="X13" s="258"/>
      <c r="Y13" s="258"/>
      <c r="Z13" s="258"/>
      <c r="AA13" s="258"/>
      <c r="AB13" s="258"/>
      <c r="AC13" s="258"/>
      <c r="AD13" s="258"/>
      <c r="AE13" s="258"/>
      <c r="AF13" s="258"/>
      <c r="AG13" s="258"/>
      <c r="AH13" s="258"/>
      <c r="AI13" s="258"/>
      <c r="AJ13" s="258"/>
      <c r="AK13" s="258"/>
      <c r="AL13" s="258"/>
      <c r="AM13" s="258"/>
      <c r="AP13" s="29" t="str">
        <f t="shared" si="0"/>
        <v>Добавить источник для дифференциации</v>
      </c>
      <c r="AS13" s="24">
        <v>0</v>
      </c>
    </row>
    <row r="14" spans="5:45" ht="0.75" hidden="1" customHeight="1">
      <c r="E14" s="1001"/>
      <c r="F14" s="1000"/>
      <c r="T14" s="259" t="s">
        <v>338</v>
      </c>
      <c r="AP14" s="29" t="str">
        <f t="shared" si="0"/>
        <v>Добавить централизованную систему для дифференциации</v>
      </c>
      <c r="AS14" s="24">
        <v>0</v>
      </c>
    </row>
    <row r="15" spans="5:45" ht="0.75" hidden="1" customHeight="1">
      <c r="E15" s="1000"/>
      <c r="T15" s="260" t="s">
        <v>339</v>
      </c>
      <c r="AP15" s="29" t="str">
        <f t="shared" si="0"/>
        <v>Добавить территорию для дифференциации</v>
      </c>
      <c r="AS15" s="24">
        <v>0</v>
      </c>
    </row>
    <row r="16" spans="5:45" ht="14.25" hidden="1" customHeight="1">
      <c r="AS16" s="3">
        <v>0</v>
      </c>
    </row>
    <row r="17" spans="15:45" ht="14.25" hidden="1" customHeight="1">
      <c r="AD17" s="261"/>
      <c r="AE17" s="261"/>
      <c r="AF17" s="261"/>
      <c r="AG17" s="262"/>
      <c r="AH17" s="999"/>
      <c r="AI17" s="998" t="s">
        <v>17</v>
      </c>
      <c r="AJ17" s="999"/>
      <c r="AK17" s="998" t="s">
        <v>17</v>
      </c>
      <c r="AS17" s="3">
        <v>0</v>
      </c>
    </row>
    <row r="18" spans="15:45" ht="14.25" hidden="1" customHeight="1">
      <c r="AD18" s="261"/>
      <c r="AE18" s="261"/>
      <c r="AF18" s="261"/>
      <c r="AG18" s="247" t="str">
        <f>AH17&amp;"-"&amp;AJ17</f>
        <v>-</v>
      </c>
      <c r="AH18" s="998"/>
      <c r="AI18" s="998"/>
      <c r="AJ18" s="998"/>
      <c r="AK18" s="998"/>
      <c r="AS18" s="3">
        <v>0</v>
      </c>
    </row>
    <row r="19" spans="15:45" ht="14.25" hidden="1" customHeight="1">
      <c r="AS19" s="3">
        <v>0</v>
      </c>
    </row>
    <row r="20" spans="15:45" ht="22.5" hidden="1" customHeight="1">
      <c r="O20" s="263" t="s">
        <v>340</v>
      </c>
      <c r="Z20" s="263"/>
      <c r="AB20" s="263"/>
      <c r="AH20" s="263"/>
      <c r="AJ20" s="263"/>
      <c r="AS20" s="11">
        <v>0</v>
      </c>
    </row>
    <row r="21" spans="15:45" ht="14.25" hidden="1" customHeight="1">
      <c r="AS21" s="11">
        <v>0</v>
      </c>
    </row>
    <row r="22" spans="15:45" ht="14.25" hidden="1" customHeight="1">
      <c r="O22" s="237" t="s">
        <v>341</v>
      </c>
      <c r="T22" s="11" t="s">
        <v>342</v>
      </c>
      <c r="AA22" s="60" t="s">
        <v>343</v>
      </c>
      <c r="AC22" s="60" t="s">
        <v>344</v>
      </c>
      <c r="AD22" s="11" t="s">
        <v>342</v>
      </c>
      <c r="AI22" s="60" t="s">
        <v>345</v>
      </c>
      <c r="AK22" s="60" t="s">
        <v>344</v>
      </c>
      <c r="AS22" s="11">
        <v>0</v>
      </c>
    </row>
    <row r="23" spans="15:45" ht="14.25" hidden="1" customHeight="1">
      <c r="AS23" s="3">
        <v>0</v>
      </c>
    </row>
    <row r="24" spans="15:45" ht="14.25" hidden="1" customHeight="1">
      <c r="AS24" s="3">
        <v>0</v>
      </c>
    </row>
    <row r="25" spans="15:45" ht="14.65" customHeight="1">
      <c r="Q25" s="264"/>
      <c r="R25" s="264"/>
      <c r="S25" s="265"/>
      <c r="T25" s="12"/>
      <c r="U25" s="12"/>
      <c r="AS25" s="3">
        <v>14</v>
      </c>
    </row>
    <row r="26" spans="15:45" ht="14.65" customHeight="1">
      <c r="Q26" s="264"/>
      <c r="R26" s="264"/>
      <c r="S26" s="98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982"/>
      <c r="U26" s="982"/>
      <c r="V26" s="982"/>
      <c r="W26" s="982"/>
      <c r="X26" s="982"/>
      <c r="Y26" s="982"/>
      <c r="Z26" s="982"/>
      <c r="AA26" s="982"/>
      <c r="AB26" s="982"/>
      <c r="AC26" s="982"/>
      <c r="AD26" s="982"/>
      <c r="AE26" s="982"/>
      <c r="AF26" s="982"/>
      <c r="AG26" s="982"/>
      <c r="AH26" s="982"/>
      <c r="AI26" s="982"/>
      <c r="AJ26" s="982"/>
      <c r="AS26" s="3">
        <v>14</v>
      </c>
    </row>
    <row r="27" spans="15:45" ht="14.65" customHeight="1">
      <c r="Q27" s="264"/>
      <c r="R27" s="264"/>
      <c r="S27" s="955" t="e">
        <f>IF(org=0,"Не определено",org)</f>
        <v>#REF!</v>
      </c>
      <c r="T27" s="955"/>
      <c r="U27" s="955"/>
      <c r="V27" s="955"/>
      <c r="W27" s="955"/>
      <c r="X27" s="955"/>
      <c r="Y27" s="955"/>
      <c r="Z27" s="955"/>
      <c r="AA27" s="955"/>
      <c r="AB27" s="955"/>
      <c r="AC27" s="955"/>
      <c r="AD27" s="955"/>
      <c r="AE27" s="955"/>
      <c r="AF27" s="955"/>
      <c r="AG27" s="955"/>
      <c r="AH27" s="955"/>
      <c r="AI27" s="955"/>
      <c r="AJ27" s="955"/>
      <c r="AS27" s="3">
        <v>14</v>
      </c>
    </row>
    <row r="28" spans="15:45" ht="14.25" hidden="1" customHeight="1">
      <c r="Q28" s="264"/>
      <c r="R28" s="264"/>
      <c r="S28" s="265"/>
      <c r="T28" s="12"/>
      <c r="U28" s="12"/>
      <c r="V28" s="266"/>
      <c r="W28" s="266"/>
      <c r="X28" s="266"/>
      <c r="Y28" s="266"/>
      <c r="Z28" s="266"/>
      <c r="AA28" s="266"/>
      <c r="AB28" s="266"/>
      <c r="AC28" s="266"/>
      <c r="AD28" s="266"/>
      <c r="AE28" s="266"/>
      <c r="AF28" s="266"/>
      <c r="AG28" s="266"/>
      <c r="AH28" s="266"/>
      <c r="AI28" s="266"/>
      <c r="AJ28" s="266"/>
      <c r="AK28" s="266"/>
      <c r="AS28" s="3">
        <v>0</v>
      </c>
    </row>
    <row r="29" spans="15:45" ht="25.5" hidden="1" customHeight="1">
      <c r="S29" s="992" t="s">
        <v>9</v>
      </c>
      <c r="T29" s="992"/>
      <c r="U29" s="268"/>
      <c r="V29" s="994" t="e">
        <f>IF(TITLE_NAME_OR_PR_CHANGE="",IF(TITLE_NAME_OR_PR="","",TITLE_NAME_OR_PR),TITLE_NAME_OR_PR_CHANGE)</f>
        <v>#REF!</v>
      </c>
      <c r="W29" s="994"/>
      <c r="X29" s="994"/>
      <c r="Y29" s="994"/>
      <c r="Z29" s="994"/>
      <c r="AA29" s="994"/>
      <c r="AB29" s="994"/>
      <c r="AD29" s="994" t="e">
        <f>IF(TITLE_NAME_OR_PR_CHANGE="",IF(TITLE_NAME_OR_PR="","",TITLE_NAME_OR_PR),TITLE_NAME_OR_PR_CHANGE)</f>
        <v>#REF!</v>
      </c>
      <c r="AE29" s="994"/>
      <c r="AF29" s="994"/>
      <c r="AG29" s="994"/>
      <c r="AH29" s="994"/>
      <c r="AI29" s="994"/>
      <c r="AJ29" s="994"/>
      <c r="AS29" s="50">
        <v>0</v>
      </c>
    </row>
    <row r="30" spans="15:45" ht="18.75" hidden="1" customHeight="1">
      <c r="S30" s="992" t="s">
        <v>346</v>
      </c>
      <c r="T30" s="992"/>
      <c r="U30" s="268"/>
      <c r="V30" s="993" t="e">
        <f>IF(TITLE_DATE_PR_CHANGE="",IF(TITLE_DATE_PR="","",TITLE_DATE_PR),TITLE_DATE_PR_CHANGE)</f>
        <v>#REF!</v>
      </c>
      <c r="W30" s="993"/>
      <c r="X30" s="993"/>
      <c r="Y30" s="993"/>
      <c r="Z30" s="993"/>
      <c r="AA30" s="993"/>
      <c r="AB30" s="993"/>
      <c r="AD30" s="993" t="e">
        <f>IF(TITLE_DATE_PR_CHANGE="",IF(TITLE_DATE_PR="","",TITLE_DATE_PR),TITLE_DATE_PR_CHANGE)</f>
        <v>#REF!</v>
      </c>
      <c r="AE30" s="993"/>
      <c r="AF30" s="993"/>
      <c r="AG30" s="993"/>
      <c r="AH30" s="993"/>
      <c r="AI30" s="993"/>
      <c r="AJ30" s="993"/>
      <c r="AS30" s="50">
        <v>0</v>
      </c>
    </row>
    <row r="31" spans="15:45" ht="18.75" hidden="1" customHeight="1">
      <c r="S31" s="992" t="s">
        <v>347</v>
      </c>
      <c r="T31" s="992"/>
      <c r="U31" s="268"/>
      <c r="V31" s="994" t="e">
        <f>IF(TITLE_NUMBER_PR_CHANGE="",IF(TITLE_NUMBER_PR="","",TITLE_NUMBER_PR),TITLE_NUMBER_PR_CHANGE)</f>
        <v>#REF!</v>
      </c>
      <c r="W31" s="994"/>
      <c r="X31" s="994"/>
      <c r="Y31" s="994"/>
      <c r="Z31" s="994"/>
      <c r="AA31" s="994"/>
      <c r="AB31" s="994"/>
      <c r="AD31" s="994" t="e">
        <f>IF(TITLE_NUMBER_PR_CHANGE="",IF(TITLE_NUMBER_PR="","",TITLE_NUMBER_PR),TITLE_NUMBER_PR_CHANGE)</f>
        <v>#REF!</v>
      </c>
      <c r="AE31" s="994"/>
      <c r="AF31" s="994"/>
      <c r="AG31" s="994"/>
      <c r="AH31" s="994"/>
      <c r="AI31" s="994"/>
      <c r="AJ31" s="994"/>
      <c r="AS31" s="50">
        <v>0</v>
      </c>
    </row>
    <row r="32" spans="15:45" ht="18.75" hidden="1" customHeight="1">
      <c r="S32" s="992" t="s">
        <v>10</v>
      </c>
      <c r="T32" s="992"/>
      <c r="U32" s="268"/>
      <c r="V32" s="994" t="e">
        <f>IF(TITLE_IST_PUB_CHANGE="",IF(TITLE_IST_PUB="","",TITLE_IST_PUB),TITLE_IST_PUB_CHANGE)</f>
        <v>#REF!</v>
      </c>
      <c r="W32" s="994"/>
      <c r="X32" s="994"/>
      <c r="Y32" s="994"/>
      <c r="Z32" s="994"/>
      <c r="AA32" s="994"/>
      <c r="AB32" s="994"/>
      <c r="AD32" s="994" t="e">
        <f>IF(TITLE_IST_PUB_CHANGE="",IF(TITLE_IST_PUB="","",TITLE_IST_PUB),TITLE_IST_PUB_CHANGE)</f>
        <v>#REF!</v>
      </c>
      <c r="AE32" s="994"/>
      <c r="AF32" s="994"/>
      <c r="AG32" s="994"/>
      <c r="AH32" s="994"/>
      <c r="AI32" s="994"/>
      <c r="AJ32" s="994"/>
      <c r="AS32" s="50">
        <v>0</v>
      </c>
    </row>
    <row r="33" spans="1:45" ht="14.25" hidden="1" customHeight="1">
      <c r="Q33" s="264"/>
      <c r="R33" s="264"/>
      <c r="S33" s="265"/>
      <c r="T33" s="12"/>
      <c r="U33" s="12"/>
      <c r="V33" s="266"/>
      <c r="W33" s="266"/>
      <c r="X33" s="266"/>
      <c r="Y33" s="266"/>
      <c r="Z33" s="266"/>
      <c r="AA33" s="266"/>
      <c r="AB33" s="266"/>
      <c r="AC33" s="266"/>
      <c r="AD33" s="266"/>
      <c r="AE33" s="266"/>
      <c r="AF33" s="266"/>
      <c r="AG33" s="266"/>
      <c r="AH33" s="266"/>
      <c r="AI33" s="266"/>
      <c r="AJ33" s="266"/>
      <c r="AK33" s="266"/>
      <c r="AS33" s="3">
        <v>0</v>
      </c>
    </row>
    <row r="34" spans="1:45" ht="18.75" hidden="1" customHeight="1">
      <c r="S34" s="992" t="s">
        <v>348</v>
      </c>
      <c r="T34" s="992"/>
      <c r="U34" s="268"/>
      <c r="V34" s="993" t="e">
        <f>IF(TITLE_DATE_PR_CHANGE="",IF(TITLE_DATE_PR="","",TITLE_DATE_PR),TITLE_DATE_PR_CHANGE)</f>
        <v>#REF!</v>
      </c>
      <c r="W34" s="993"/>
      <c r="X34" s="993"/>
      <c r="Y34" s="993"/>
      <c r="Z34" s="993"/>
      <c r="AA34" s="993"/>
      <c r="AB34" s="993"/>
      <c r="AD34" s="993" t="e">
        <f>IF(TITLE_DATE_PR_CHANGE="",IF(TITLE_DATE_PR="","",TITLE_DATE_PR),TITLE_DATE_PR_CHANGE)</f>
        <v>#REF!</v>
      </c>
      <c r="AE34" s="993"/>
      <c r="AF34" s="993"/>
      <c r="AG34" s="993"/>
      <c r="AH34" s="993"/>
      <c r="AI34" s="993"/>
      <c r="AJ34" s="993"/>
      <c r="AS34" s="50">
        <v>0</v>
      </c>
    </row>
    <row r="35" spans="1:45" ht="18.75" hidden="1" customHeight="1">
      <c r="S35" s="992" t="s">
        <v>349</v>
      </c>
      <c r="T35" s="992"/>
      <c r="U35" s="268"/>
      <c r="V35" s="994" t="e">
        <f>IF(TITLE_NUMBER_PR_CHANGE="",IF(TITLE_NUMBER_PR="","",TITLE_NUMBER_PR),TITLE_NUMBER_PR_CHANGE)</f>
        <v>#REF!</v>
      </c>
      <c r="W35" s="994"/>
      <c r="X35" s="994"/>
      <c r="Y35" s="994"/>
      <c r="Z35" s="994"/>
      <c r="AA35" s="994"/>
      <c r="AB35" s="994"/>
      <c r="AD35" s="994" t="e">
        <f>IF(TITLE_NUMBER_PR_CHANGE="",IF(TITLE_NUMBER_PR="","",TITLE_NUMBER_PR),TITLE_NUMBER_PR_CHANGE)</f>
        <v>#REF!</v>
      </c>
      <c r="AE35" s="994"/>
      <c r="AF35" s="994"/>
      <c r="AG35" s="994"/>
      <c r="AH35" s="994"/>
      <c r="AI35" s="994"/>
      <c r="AJ35" s="994"/>
      <c r="AS35" s="50">
        <v>0</v>
      </c>
    </row>
    <row r="36" spans="1:45" ht="0" hidden="1" customHeight="1">
      <c r="AC36" s="24" t="s">
        <v>350</v>
      </c>
      <c r="AK36" s="24" t="s">
        <v>350</v>
      </c>
      <c r="AS36" s="50">
        <v>0</v>
      </c>
    </row>
    <row r="37" spans="1:45" ht="14.65" customHeight="1">
      <c r="Q37" s="264"/>
      <c r="R37" s="264"/>
      <c r="S37" s="265"/>
      <c r="T37" s="12"/>
      <c r="U37" s="270"/>
      <c r="V37" s="1012"/>
      <c r="W37" s="1012"/>
      <c r="X37" s="1012"/>
      <c r="Y37" s="1012"/>
      <c r="Z37" s="1012"/>
      <c r="AA37" s="1012"/>
      <c r="AB37" s="1012"/>
      <c r="AC37" s="1012"/>
      <c r="AD37" s="1012"/>
      <c r="AE37" s="1012"/>
      <c r="AF37" s="1012"/>
      <c r="AG37" s="1012"/>
      <c r="AH37" s="1012"/>
      <c r="AI37" s="1012"/>
      <c r="AJ37" s="1012"/>
      <c r="AK37" s="1012"/>
      <c r="AS37" s="3">
        <v>14</v>
      </c>
    </row>
    <row r="38" spans="1:45" ht="14.65" customHeight="1">
      <c r="Q38" s="264"/>
      <c r="R38" s="264"/>
      <c r="S38" s="894" t="s">
        <v>223</v>
      </c>
      <c r="T38" s="894"/>
      <c r="U38" s="894"/>
      <c r="V38" s="894"/>
      <c r="W38" s="894"/>
      <c r="X38" s="894"/>
      <c r="Y38" s="894"/>
      <c r="Z38" s="894"/>
      <c r="AA38" s="894"/>
      <c r="AB38" s="894"/>
      <c r="AC38" s="894"/>
      <c r="AD38" s="894"/>
      <c r="AE38" s="894"/>
      <c r="AF38" s="894"/>
      <c r="AG38" s="894"/>
      <c r="AH38" s="894"/>
      <c r="AI38" s="894"/>
      <c r="AJ38" s="894"/>
      <c r="AK38" s="894"/>
      <c r="AL38" s="894"/>
      <c r="AM38" s="894" t="s">
        <v>224</v>
      </c>
      <c r="AS38" s="3">
        <v>14</v>
      </c>
    </row>
    <row r="39" spans="1:45" ht="14.65" customHeight="1">
      <c r="Q39" s="264"/>
      <c r="R39" s="264"/>
      <c r="S39" s="1013" t="s">
        <v>24</v>
      </c>
      <c r="T39" s="962" t="s">
        <v>351</v>
      </c>
      <c r="U39" s="272"/>
      <c r="V39" s="1014" t="s">
        <v>352</v>
      </c>
      <c r="W39" s="1015"/>
      <c r="X39" s="1015"/>
      <c r="Y39" s="1015"/>
      <c r="Z39" s="1015"/>
      <c r="AA39" s="1015"/>
      <c r="AB39" s="1016"/>
      <c r="AC39" s="1017" t="s">
        <v>353</v>
      </c>
      <c r="AD39" s="1014" t="s">
        <v>352</v>
      </c>
      <c r="AE39" s="1015"/>
      <c r="AF39" s="1015"/>
      <c r="AG39" s="1015"/>
      <c r="AH39" s="1015"/>
      <c r="AI39" s="1015"/>
      <c r="AJ39" s="1016"/>
      <c r="AK39" s="1017" t="s">
        <v>354</v>
      </c>
      <c r="AL39" s="1020" t="s">
        <v>355</v>
      </c>
      <c r="AM39" s="894"/>
      <c r="AS39" s="3">
        <v>14</v>
      </c>
    </row>
    <row r="40" spans="1:45" ht="35.65" customHeight="1">
      <c r="Q40" s="264"/>
      <c r="R40" s="264"/>
      <c r="S40" s="1013"/>
      <c r="T40" s="962"/>
      <c r="U40" s="274"/>
      <c r="V40" s="935" t="s">
        <v>356</v>
      </c>
      <c r="W40" s="1009" t="s">
        <v>357</v>
      </c>
      <c r="X40" s="887" t="s">
        <v>358</v>
      </c>
      <c r="Y40" s="886"/>
      <c r="Z40" s="887" t="s">
        <v>359</v>
      </c>
      <c r="AA40" s="890"/>
      <c r="AB40" s="886"/>
      <c r="AC40" s="1018"/>
      <c r="AD40" s="935" t="s">
        <v>356</v>
      </c>
      <c r="AE40" s="1009" t="s">
        <v>357</v>
      </c>
      <c r="AF40" s="887" t="s">
        <v>358</v>
      </c>
      <c r="AG40" s="886"/>
      <c r="AH40" s="887" t="s">
        <v>359</v>
      </c>
      <c r="AI40" s="890"/>
      <c r="AJ40" s="886"/>
      <c r="AK40" s="1018"/>
      <c r="AL40" s="1021"/>
      <c r="AM40" s="894"/>
      <c r="AS40" s="3">
        <v>34</v>
      </c>
    </row>
    <row r="41" spans="1:45" ht="35.65" customHeight="1">
      <c r="B41" s="60" t="s">
        <v>60</v>
      </c>
      <c r="C41" s="60" t="s">
        <v>61</v>
      </c>
      <c r="D41" s="60" t="s">
        <v>62</v>
      </c>
      <c r="E41" s="237" t="s">
        <v>360</v>
      </c>
      <c r="F41" s="237" t="s">
        <v>361</v>
      </c>
      <c r="G41" s="237" t="s">
        <v>362</v>
      </c>
      <c r="H41" s="237" t="s">
        <v>363</v>
      </c>
      <c r="I41" s="237" t="s">
        <v>364</v>
      </c>
      <c r="J41" s="237" t="s">
        <v>365</v>
      </c>
      <c r="K41" s="237" t="s">
        <v>366</v>
      </c>
      <c r="L41" s="237" t="s">
        <v>341</v>
      </c>
      <c r="Q41" s="264"/>
      <c r="R41" s="264"/>
      <c r="S41" s="1013"/>
      <c r="T41" s="962"/>
      <c r="U41" s="275"/>
      <c r="V41" s="987"/>
      <c r="W41" s="1010"/>
      <c r="X41" s="65" t="s">
        <v>367</v>
      </c>
      <c r="Y41" s="65" t="s">
        <v>368</v>
      </c>
      <c r="Z41" s="65" t="s">
        <v>369</v>
      </c>
      <c r="AA41" s="967" t="s">
        <v>370</v>
      </c>
      <c r="AB41" s="981"/>
      <c r="AC41" s="1019"/>
      <c r="AD41" s="987"/>
      <c r="AE41" s="1010"/>
      <c r="AF41" s="65" t="s">
        <v>367</v>
      </c>
      <c r="AG41" s="65" t="s">
        <v>368</v>
      </c>
      <c r="AH41" s="65" t="s">
        <v>369</v>
      </c>
      <c r="AI41" s="967" t="s">
        <v>370</v>
      </c>
      <c r="AJ41" s="981"/>
      <c r="AK41" s="1019"/>
      <c r="AL41" s="1022"/>
      <c r="AM41" s="894"/>
      <c r="AS41" s="3">
        <v>34</v>
      </c>
    </row>
    <row r="42" spans="1:45" ht="11.25" hidden="1" customHeight="1">
      <c r="Q42" s="278"/>
      <c r="R42" s="279">
        <v>1</v>
      </c>
      <c r="S42" s="280" t="s">
        <v>31</v>
      </c>
      <c r="T42" s="281" t="s">
        <v>39</v>
      </c>
      <c r="U42" s="282" t="str">
        <f ca="1">OFFSET(U42,0,-1)</f>
        <v>2</v>
      </c>
      <c r="V42" s="283">
        <f ca="1">OFFSET(V42,0,-1)+1</f>
        <v>3</v>
      </c>
      <c r="W42" s="283"/>
      <c r="X42" s="283">
        <f ca="1">OFFSET(X42,0,-1)+1</f>
        <v>1</v>
      </c>
      <c r="Y42" s="283">
        <f ca="1">OFFSET(Y42,0,-1)+1</f>
        <v>2</v>
      </c>
      <c r="Z42" s="283">
        <f ca="1">OFFSET(Z42,0,-1)+1</f>
        <v>3</v>
      </c>
      <c r="AA42" s="1011">
        <f ca="1">OFFSET(AA42,0,-1)+1</f>
        <v>4</v>
      </c>
      <c r="AB42" s="1011"/>
      <c r="AC42" s="283">
        <f ca="1">OFFSET(AC42,0,-2)+1</f>
        <v>5</v>
      </c>
      <c r="AD42" s="283">
        <f ca="1">OFFSET(AD42,0,-1)+1</f>
        <v>6</v>
      </c>
      <c r="AE42" s="283"/>
      <c r="AF42" s="283">
        <f ca="1">OFFSET(AF42,0,-1)+1</f>
        <v>1</v>
      </c>
      <c r="AG42" s="283">
        <f ca="1">OFFSET(AG42,0,-1)+1</f>
        <v>2</v>
      </c>
      <c r="AH42" s="283">
        <f ca="1">OFFSET(AH42,0,-1)+1</f>
        <v>3</v>
      </c>
      <c r="AI42" s="1011">
        <f ca="1">OFFSET(AI42,0,-1)+1</f>
        <v>4</v>
      </c>
      <c r="AJ42" s="1011"/>
      <c r="AK42" s="283">
        <f ca="1">OFFSET(AK42,0,-2)+1</f>
        <v>5</v>
      </c>
      <c r="AL42" s="282">
        <f ca="1">OFFSET(AL42,0,-1)</f>
        <v>5</v>
      </c>
      <c r="AM42" s="283">
        <f ca="1">OFFSET(AM42,0,-1)+1</f>
        <v>6</v>
      </c>
      <c r="AS42" s="189">
        <v>0</v>
      </c>
    </row>
    <row r="43" spans="1:45" ht="24" customHeight="1">
      <c r="A43" s="284" t="s">
        <v>81</v>
      </c>
      <c r="E43" s="1000">
        <v>1</v>
      </c>
      <c r="R43" s="225"/>
      <c r="S43" s="226">
        <f>INDEX(PT_DIFFERENTIATION_NUM_NTAR,MATCH(A43,PT_DIFFERENTIATION_NTAR_ID,0))</f>
        <v>0</v>
      </c>
      <c r="T43" s="227" t="s">
        <v>48</v>
      </c>
      <c r="U43" s="228"/>
      <c r="V43" s="995"/>
      <c r="W43" s="996"/>
      <c r="X43" s="996"/>
      <c r="Y43" s="996"/>
      <c r="Z43" s="996"/>
      <c r="AA43" s="996"/>
      <c r="AB43" s="996"/>
      <c r="AC43" s="997"/>
      <c r="AD43" s="995" t="str">
        <f>INDEX(PT_DIFFERENTIATION_NTAR,MATCH(A43,PT_DIFFERENTIATION_NTAR_ID,0))</f>
        <v/>
      </c>
      <c r="AE43" s="996"/>
      <c r="AF43" s="996"/>
      <c r="AG43" s="996"/>
      <c r="AH43" s="996"/>
      <c r="AI43" s="996"/>
      <c r="AJ43" s="996"/>
      <c r="AK43" s="996"/>
      <c r="AL43" s="997"/>
      <c r="AM43" s="2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P43" s="29" t="str">
        <f t="shared" ref="AP43:AP57" si="1">IF(T43="","",T43)</f>
        <v>Наименование тарифа</v>
      </c>
      <c r="AS43" s="3">
        <v>23</v>
      </c>
    </row>
    <row r="44" spans="1:45" ht="24" customHeight="1">
      <c r="A44" s="284" t="s">
        <v>81</v>
      </c>
      <c r="B44" s="284" t="s">
        <v>82</v>
      </c>
      <c r="E44" s="1001"/>
      <c r="F44" s="1000">
        <v>1</v>
      </c>
      <c r="Q44" s="231"/>
      <c r="R44" s="232"/>
      <c r="S44" s="226" t="str">
        <f>INDEX(PT_DIFFERENTIATION_NUM_TER,MATCH(B44,PT_DIFFERENTIATION_TER_ID,0))</f>
        <v>.</v>
      </c>
      <c r="T44" s="233" t="s">
        <v>320</v>
      </c>
      <c r="U44" s="228"/>
      <c r="V44" s="995"/>
      <c r="W44" s="996"/>
      <c r="X44" s="996"/>
      <c r="Y44" s="996"/>
      <c r="Z44" s="996"/>
      <c r="AA44" s="996"/>
      <c r="AB44" s="996"/>
      <c r="AC44" s="997"/>
      <c r="AD44" s="995" t="str">
        <f>INDEX(PT_DIFFERENTIATION_TER,MATCH(B44,PT_DIFFERENTIATION_TER_ID,0))</f>
        <v/>
      </c>
      <c r="AE44" s="996"/>
      <c r="AF44" s="996"/>
      <c r="AG44" s="996"/>
      <c r="AH44" s="996"/>
      <c r="AI44" s="996"/>
      <c r="AJ44" s="996"/>
      <c r="AK44" s="996"/>
      <c r="AL44" s="997"/>
      <c r="AM44" s="230" t="s">
        <v>321</v>
      </c>
      <c r="AP44" s="29" t="str">
        <f t="shared" si="1"/>
        <v>Территория действия тарифа</v>
      </c>
      <c r="AS44" s="3">
        <v>23</v>
      </c>
    </row>
    <row r="45" spans="1:45" ht="24" customHeight="1">
      <c r="A45" s="284" t="s">
        <v>81</v>
      </c>
      <c r="B45" s="284" t="s">
        <v>82</v>
      </c>
      <c r="C45" s="284" t="s">
        <v>83</v>
      </c>
      <c r="E45" s="1001"/>
      <c r="F45" s="1001"/>
      <c r="G45" s="1000">
        <v>1</v>
      </c>
      <c r="Q45" s="231"/>
      <c r="R45" s="232"/>
      <c r="S45" s="226" t="str">
        <f>INDEX(PT_DIFFERENTIATION_NUM_CS,MATCH(C45,PT_DIFFERENTIATION_CS_ID,0))</f>
        <v>..</v>
      </c>
      <c r="T45" s="234" t="s">
        <v>322</v>
      </c>
      <c r="U45" s="228"/>
      <c r="V45" s="995"/>
      <c r="W45" s="996"/>
      <c r="X45" s="996"/>
      <c r="Y45" s="996"/>
      <c r="Z45" s="996"/>
      <c r="AA45" s="996"/>
      <c r="AB45" s="996"/>
      <c r="AC45" s="997"/>
      <c r="AD45" s="995" t="str">
        <f>INDEX(PT_DIFFERENTIATION_CS,MATCH(C45,PT_DIFFERENTIATION_CS_ID,0))</f>
        <v/>
      </c>
      <c r="AE45" s="996"/>
      <c r="AF45" s="996"/>
      <c r="AG45" s="996"/>
      <c r="AH45" s="996"/>
      <c r="AI45" s="996"/>
      <c r="AJ45" s="996"/>
      <c r="AK45" s="996"/>
      <c r="AL45" s="997"/>
      <c r="AM45" s="230" t="s">
        <v>323</v>
      </c>
      <c r="AP45" s="29" t="str">
        <f t="shared" si="1"/>
        <v xml:space="preserve">Наименование системы теплоснабжения </v>
      </c>
      <c r="AS45" s="3">
        <v>23</v>
      </c>
    </row>
    <row r="46" spans="1:45" ht="24" customHeight="1">
      <c r="A46" s="284" t="s">
        <v>81</v>
      </c>
      <c r="B46" s="284" t="s">
        <v>82</v>
      </c>
      <c r="C46" s="284" t="s">
        <v>83</v>
      </c>
      <c r="D46" s="284" t="s">
        <v>84</v>
      </c>
      <c r="E46" s="1001"/>
      <c r="F46" s="1001"/>
      <c r="G46" s="1001"/>
      <c r="H46" s="1000">
        <v>1</v>
      </c>
      <c r="Q46" s="231"/>
      <c r="R46" s="232"/>
      <c r="S46" s="226" t="str">
        <f>INDEX(PT_DIFFERENTIATION_NUM_IST_TE,MATCH(D46,PT_DIFFERENTIATION_IST_TE_ID,0))</f>
        <v>...</v>
      </c>
      <c r="T46" s="235" t="s">
        <v>324</v>
      </c>
      <c r="U46" s="228"/>
      <c r="V46" s="995"/>
      <c r="W46" s="996"/>
      <c r="X46" s="996"/>
      <c r="Y46" s="996"/>
      <c r="Z46" s="996"/>
      <c r="AA46" s="996"/>
      <c r="AB46" s="996"/>
      <c r="AC46" s="997"/>
      <c r="AD46" s="995" t="str">
        <f>INDEX(PT_DIFFERENTIATION_IST_TE,MATCH(D46,PT_DIFFERENTIATION_IST_TE_ID,0))</f>
        <v/>
      </c>
      <c r="AE46" s="996"/>
      <c r="AF46" s="996"/>
      <c r="AG46" s="996"/>
      <c r="AH46" s="996"/>
      <c r="AI46" s="996"/>
      <c r="AJ46" s="996"/>
      <c r="AK46" s="996"/>
      <c r="AL46" s="997"/>
      <c r="AM46" s="230" t="s">
        <v>325</v>
      </c>
      <c r="AP46" s="29" t="str">
        <f t="shared" si="1"/>
        <v xml:space="preserve">Источник тепловой энергии  </v>
      </c>
      <c r="AS46" s="3">
        <v>23</v>
      </c>
    </row>
    <row r="47" spans="1:45" ht="49.5" customHeight="1">
      <c r="A47" s="284" t="s">
        <v>81</v>
      </c>
      <c r="B47" s="284" t="s">
        <v>82</v>
      </c>
      <c r="C47" s="284" t="s">
        <v>83</v>
      </c>
      <c r="D47" s="284" t="s">
        <v>84</v>
      </c>
      <c r="E47" s="1001"/>
      <c r="F47" s="1001"/>
      <c r="G47" s="1001"/>
      <c r="H47" s="1001"/>
      <c r="I47" s="1002" t="str">
        <f>S46&amp;".1"</f>
        <v>....1</v>
      </c>
      <c r="L47" s="237" t="s">
        <v>326</v>
      </c>
      <c r="P47" s="1004">
        <v>1</v>
      </c>
      <c r="R47" s="238"/>
      <c r="S47" s="226" t="str">
        <f>$I47</f>
        <v>....1</v>
      </c>
      <c r="T47" s="239" t="s">
        <v>327</v>
      </c>
      <c r="U47" s="228"/>
      <c r="V47" s="989"/>
      <c r="W47" s="990"/>
      <c r="X47" s="990"/>
      <c r="Y47" s="990"/>
      <c r="Z47" s="990"/>
      <c r="AA47" s="990"/>
      <c r="AB47" s="990"/>
      <c r="AC47" s="991"/>
      <c r="AD47" s="989"/>
      <c r="AE47" s="990"/>
      <c r="AF47" s="990"/>
      <c r="AG47" s="990"/>
      <c r="AH47" s="990"/>
      <c r="AI47" s="990"/>
      <c r="AJ47" s="990"/>
      <c r="AK47" s="990"/>
      <c r="AL47" s="991"/>
      <c r="AM47" s="230" t="s">
        <v>328</v>
      </c>
      <c r="AP47" s="29" t="str">
        <f t="shared" si="1"/>
        <v>Схема подключения теплопотребляющей установки к коллектору источника тепловой энергии</v>
      </c>
      <c r="AS47" s="3">
        <v>47</v>
      </c>
    </row>
    <row r="48" spans="1:45" ht="24" customHeight="1">
      <c r="A48" s="284" t="s">
        <v>81</v>
      </c>
      <c r="B48" s="284" t="s">
        <v>82</v>
      </c>
      <c r="C48" s="284" t="s">
        <v>83</v>
      </c>
      <c r="D48" s="284" t="s">
        <v>84</v>
      </c>
      <c r="E48" s="1001"/>
      <c r="F48" s="1001"/>
      <c r="G48" s="1001"/>
      <c r="H48" s="1001"/>
      <c r="I48" s="1003"/>
      <c r="J48" s="1002" t="str">
        <f>I47&amp;".1"</f>
        <v>....1.1</v>
      </c>
      <c r="L48" s="237" t="s">
        <v>329</v>
      </c>
      <c r="P48" s="885"/>
      <c r="Q48" s="1004">
        <v>1</v>
      </c>
      <c r="R48" s="240"/>
      <c r="S48" s="226" t="str">
        <f>$J48</f>
        <v>....1.1</v>
      </c>
      <c r="T48" s="241" t="s">
        <v>330</v>
      </c>
      <c r="U48" s="228"/>
      <c r="V48" s="989"/>
      <c r="W48" s="990"/>
      <c r="X48" s="990"/>
      <c r="Y48" s="990"/>
      <c r="Z48" s="990"/>
      <c r="AA48" s="990"/>
      <c r="AB48" s="990"/>
      <c r="AC48" s="991"/>
      <c r="AD48" s="989"/>
      <c r="AE48" s="990"/>
      <c r="AF48" s="990"/>
      <c r="AG48" s="990"/>
      <c r="AH48" s="990"/>
      <c r="AI48" s="990"/>
      <c r="AJ48" s="990"/>
      <c r="AK48" s="990"/>
      <c r="AL48" s="991"/>
      <c r="AM48" s="230" t="s">
        <v>331</v>
      </c>
      <c r="AP48" s="29" t="str">
        <f t="shared" si="1"/>
        <v>Группа потребителей</v>
      </c>
      <c r="AS48" s="3">
        <v>23</v>
      </c>
    </row>
    <row r="49" spans="1:45" ht="24" customHeight="1">
      <c r="A49" s="284" t="s">
        <v>81</v>
      </c>
      <c r="B49" s="284" t="s">
        <v>82</v>
      </c>
      <c r="C49" s="284" t="s">
        <v>83</v>
      </c>
      <c r="D49" s="284" t="s">
        <v>84</v>
      </c>
      <c r="E49" s="1001"/>
      <c r="F49" s="1001"/>
      <c r="G49" s="1001"/>
      <c r="H49" s="1001"/>
      <c r="I49" s="1003"/>
      <c r="J49" s="1003"/>
      <c r="K49" s="1002" t="str">
        <f>J48&amp;".1"</f>
        <v>....1.1.1</v>
      </c>
      <c r="L49" s="237" t="s">
        <v>332</v>
      </c>
      <c r="P49" s="885"/>
      <c r="Q49" s="885"/>
      <c r="R49" s="240">
        <v>1</v>
      </c>
      <c r="S49" s="226" t="str">
        <f>$K49</f>
        <v>....1.1.1</v>
      </c>
      <c r="T49" s="242"/>
      <c r="U49" s="228"/>
      <c r="V49" s="243"/>
      <c r="W49" s="244"/>
      <c r="X49" s="243"/>
      <c r="Y49" s="245"/>
      <c r="Z49" s="1005"/>
      <c r="AA49" s="895" t="s">
        <v>17</v>
      </c>
      <c r="AB49" s="1005"/>
      <c r="AC49" s="895" t="s">
        <v>17</v>
      </c>
      <c r="AD49" s="243"/>
      <c r="AE49" s="244"/>
      <c r="AF49" s="243"/>
      <c r="AG49" s="245"/>
      <c r="AH49" s="1005"/>
      <c r="AI49" s="895" t="s">
        <v>17</v>
      </c>
      <c r="AJ49" s="1007"/>
      <c r="AK49" s="895" t="s">
        <v>17</v>
      </c>
      <c r="AL49" s="285"/>
      <c r="AM49" s="1023" t="s">
        <v>333</v>
      </c>
      <c r="AN49" s="24" t="e">
        <f ca="1">STRCHECKDATE(V50:AL50)</f>
        <v>#NAME?</v>
      </c>
      <c r="AP49" s="29" t="str">
        <f t="shared" si="1"/>
        <v/>
      </c>
      <c r="AS49" s="3">
        <v>23</v>
      </c>
    </row>
    <row r="50" spans="1:45" ht="1.1499999999999999" customHeight="1">
      <c r="A50" s="284" t="s">
        <v>81</v>
      </c>
      <c r="B50" s="284" t="s">
        <v>82</v>
      </c>
      <c r="C50" s="284" t="s">
        <v>83</v>
      </c>
      <c r="D50" s="284" t="s">
        <v>84</v>
      </c>
      <c r="E50" s="1001"/>
      <c r="F50" s="1001"/>
      <c r="G50" s="1001"/>
      <c r="H50" s="1001"/>
      <c r="I50" s="1003"/>
      <c r="J50" s="1003"/>
      <c r="K50" s="1002"/>
      <c r="P50" s="885"/>
      <c r="Q50" s="885"/>
      <c r="R50" s="240"/>
      <c r="S50" s="209"/>
      <c r="T50" s="228"/>
      <c r="U50" s="228"/>
      <c r="V50" s="244"/>
      <c r="W50" s="244"/>
      <c r="X50" s="244"/>
      <c r="Y50" s="247" t="str">
        <f>Z49&amp;"-"&amp;AB49</f>
        <v>-</v>
      </c>
      <c r="Z50" s="1006"/>
      <c r="AA50" s="895"/>
      <c r="AB50" s="1006"/>
      <c r="AC50" s="895"/>
      <c r="AD50" s="244"/>
      <c r="AE50" s="244"/>
      <c r="AF50" s="244"/>
      <c r="AG50" s="247" t="str">
        <f>AH49&amp;"-"&amp;AJ49</f>
        <v>-</v>
      </c>
      <c r="AH50" s="1006"/>
      <c r="AI50" s="895"/>
      <c r="AJ50" s="1008"/>
      <c r="AK50" s="895"/>
      <c r="AL50" s="286"/>
      <c r="AM50" s="1024"/>
      <c r="AP50" s="29" t="str">
        <f t="shared" si="1"/>
        <v/>
      </c>
      <c r="AS50" s="3">
        <v>1</v>
      </c>
    </row>
    <row r="51" spans="1:45" ht="11.45" customHeight="1">
      <c r="A51" s="284" t="s">
        <v>81</v>
      </c>
      <c r="B51" s="284" t="s">
        <v>82</v>
      </c>
      <c r="C51" s="284" t="s">
        <v>83</v>
      </c>
      <c r="D51" s="284" t="s">
        <v>84</v>
      </c>
      <c r="E51" s="1001"/>
      <c r="F51" s="1001"/>
      <c r="G51" s="1001"/>
      <c r="H51" s="1001"/>
      <c r="I51" s="1003"/>
      <c r="J51" s="1002"/>
      <c r="P51" s="885"/>
      <c r="Q51" s="885"/>
      <c r="R51" s="238"/>
      <c r="S51" s="249"/>
      <c r="T51" s="250" t="s">
        <v>334</v>
      </c>
      <c r="U51" s="54"/>
      <c r="V51" s="54"/>
      <c r="W51" s="54"/>
      <c r="X51" s="54"/>
      <c r="Y51" s="54"/>
      <c r="Z51" s="54"/>
      <c r="AA51" s="54"/>
      <c r="AB51" s="54"/>
      <c r="AC51" s="54"/>
      <c r="AD51" s="54"/>
      <c r="AE51" s="54"/>
      <c r="AF51" s="54"/>
      <c r="AG51" s="54"/>
      <c r="AH51" s="54"/>
      <c r="AI51" s="54"/>
      <c r="AJ51" s="54"/>
      <c r="AK51" s="54"/>
      <c r="AL51" s="251"/>
      <c r="AM51" s="1025"/>
      <c r="AP51" s="29" t="str">
        <f t="shared" si="1"/>
        <v>Добавить вид теплоносителя (параметры теплоносителя)</v>
      </c>
      <c r="AS51" s="3">
        <v>11</v>
      </c>
    </row>
    <row r="52" spans="1:45" ht="11.45" customHeight="1">
      <c r="A52" s="284" t="s">
        <v>81</v>
      </c>
      <c r="B52" s="284" t="s">
        <v>82</v>
      </c>
      <c r="C52" s="284" t="s">
        <v>83</v>
      </c>
      <c r="D52" s="284" t="s">
        <v>84</v>
      </c>
      <c r="E52" s="1001"/>
      <c r="F52" s="1001"/>
      <c r="G52" s="1001"/>
      <c r="H52" s="1001"/>
      <c r="I52" s="1002"/>
      <c r="P52" s="885"/>
      <c r="R52" s="238"/>
      <c r="S52" s="249"/>
      <c r="T52" s="252" t="s">
        <v>335</v>
      </c>
      <c r="U52" s="54"/>
      <c r="V52" s="54"/>
      <c r="W52" s="54"/>
      <c r="X52" s="54"/>
      <c r="Y52" s="54"/>
      <c r="Z52" s="54"/>
      <c r="AA52" s="54"/>
      <c r="AB52" s="54"/>
      <c r="AC52" s="253"/>
      <c r="AD52" s="54"/>
      <c r="AE52" s="54"/>
      <c r="AF52" s="54"/>
      <c r="AG52" s="54"/>
      <c r="AH52" s="54"/>
      <c r="AI52" s="54"/>
      <c r="AJ52" s="54"/>
      <c r="AK52" s="253"/>
      <c r="AL52" s="54"/>
      <c r="AM52" s="254"/>
      <c r="AP52" s="29" t="str">
        <f t="shared" si="1"/>
        <v>Добавить группу потребителей</v>
      </c>
      <c r="AS52" s="3">
        <v>11</v>
      </c>
    </row>
    <row r="53" spans="1:45" ht="14.65" customHeight="1">
      <c r="A53" s="284" t="s">
        <v>81</v>
      </c>
      <c r="B53" s="284" t="s">
        <v>82</v>
      </c>
      <c r="C53" s="284" t="s">
        <v>83</v>
      </c>
      <c r="D53" s="284" t="s">
        <v>84</v>
      </c>
      <c r="E53" s="1001"/>
      <c r="F53" s="1001"/>
      <c r="G53" s="1001"/>
      <c r="H53" s="1000"/>
      <c r="R53" s="225"/>
      <c r="S53" s="249"/>
      <c r="T53" s="255" t="s">
        <v>336</v>
      </c>
      <c r="U53" s="54"/>
      <c r="V53" s="54"/>
      <c r="W53" s="54"/>
      <c r="X53" s="54"/>
      <c r="Y53" s="54"/>
      <c r="Z53" s="54"/>
      <c r="AA53" s="54"/>
      <c r="AB53" s="54"/>
      <c r="AC53" s="253"/>
      <c r="AD53" s="54"/>
      <c r="AE53" s="54"/>
      <c r="AF53" s="54"/>
      <c r="AG53" s="54"/>
      <c r="AH53" s="54"/>
      <c r="AI53" s="54"/>
      <c r="AJ53" s="54"/>
      <c r="AK53" s="253"/>
      <c r="AL53" s="54"/>
      <c r="AM53" s="254"/>
      <c r="AP53" s="29" t="str">
        <f t="shared" si="1"/>
        <v>Добавить схему подключения</v>
      </c>
      <c r="AS53" s="3">
        <v>14</v>
      </c>
    </row>
    <row r="54" spans="1:45" ht="1.1499999999999999" customHeight="1">
      <c r="A54" s="21" t="s">
        <v>81</v>
      </c>
      <c r="B54" s="21" t="s">
        <v>82</v>
      </c>
      <c r="C54" s="21" t="s">
        <v>83</v>
      </c>
      <c r="E54" s="1001"/>
      <c r="F54" s="1001"/>
      <c r="G54" s="1000"/>
      <c r="T54" s="260" t="s">
        <v>337</v>
      </c>
      <c r="AP54" s="29" t="str">
        <f t="shared" si="1"/>
        <v>Добавить источник для дифференциации</v>
      </c>
      <c r="AS54" s="24">
        <v>1</v>
      </c>
    </row>
    <row r="55" spans="1:45" ht="1.1499999999999999" customHeight="1">
      <c r="A55" s="21" t="s">
        <v>81</v>
      </c>
      <c r="B55" s="21" t="s">
        <v>82</v>
      </c>
      <c r="E55" s="1001"/>
      <c r="F55" s="1000"/>
      <c r="T55" s="260" t="s">
        <v>338</v>
      </c>
      <c r="AP55" s="29" t="str">
        <f t="shared" si="1"/>
        <v>Добавить централизованную систему для дифференциации</v>
      </c>
      <c r="AS55" s="24">
        <v>1</v>
      </c>
    </row>
    <row r="56" spans="1:45" ht="1.1499999999999999" customHeight="1">
      <c r="A56" s="21" t="s">
        <v>81</v>
      </c>
      <c r="E56" s="1000"/>
      <c r="T56" s="260" t="s">
        <v>339</v>
      </c>
      <c r="AP56" s="29" t="str">
        <f t="shared" si="1"/>
        <v>Добавить территорию для дифференциации</v>
      </c>
      <c r="AS56" s="24">
        <v>1</v>
      </c>
    </row>
    <row r="57" spans="1:45" ht="1.1499999999999999" customHeight="1">
      <c r="T57" s="260" t="s">
        <v>371</v>
      </c>
      <c r="AP57" s="29" t="str">
        <f t="shared" si="1"/>
        <v>Добавить наименование тарифа</v>
      </c>
      <c r="AS57" s="24">
        <v>1</v>
      </c>
    </row>
    <row r="58" spans="1:45" ht="11.45" customHeight="1">
      <c r="AS58" s="3">
        <v>11</v>
      </c>
    </row>
    <row r="59" spans="1:45" ht="28.5" customHeight="1">
      <c r="T59" s="885"/>
      <c r="U59" s="885"/>
      <c r="V59" s="885"/>
      <c r="W59" s="885"/>
      <c r="X59" s="885"/>
      <c r="Y59" s="885"/>
      <c r="Z59" s="885"/>
      <c r="AA59" s="885"/>
      <c r="AB59" s="885"/>
      <c r="AC59" s="885"/>
      <c r="AD59" s="885"/>
      <c r="AE59" s="885"/>
      <c r="AF59" s="885"/>
      <c r="AG59" s="885"/>
      <c r="AH59" s="885"/>
      <c r="AI59" s="885"/>
      <c r="AJ59" s="885"/>
      <c r="AK59" s="885"/>
      <c r="AL59" s="885"/>
      <c r="AM59" s="885"/>
      <c r="AS59" s="3">
        <v>27</v>
      </c>
    </row>
    <row r="60" spans="1:45" ht="67.150000000000006" customHeight="1">
      <c r="T60" s="885"/>
      <c r="U60" s="885"/>
      <c r="V60" s="885"/>
      <c r="W60" s="885"/>
      <c r="X60" s="885"/>
      <c r="Y60" s="885"/>
      <c r="Z60" s="885"/>
      <c r="AA60" s="885"/>
      <c r="AB60" s="885"/>
      <c r="AC60" s="885"/>
      <c r="AD60" s="885"/>
      <c r="AE60" s="885"/>
      <c r="AF60" s="885"/>
      <c r="AG60" s="885"/>
      <c r="AH60" s="885"/>
      <c r="AI60" s="885"/>
      <c r="AJ60" s="885"/>
      <c r="AK60" s="885"/>
      <c r="AL60" s="885"/>
      <c r="AM60" s="885"/>
      <c r="AS60" s="3">
        <v>64</v>
      </c>
    </row>
    <row r="61" spans="1:45" ht="14.65" customHeight="1">
      <c r="AS61" s="3">
        <v>14</v>
      </c>
    </row>
    <row r="62" spans="1:45" ht="18.75" customHeight="1">
      <c r="T62" s="885"/>
      <c r="U62" s="885"/>
      <c r="V62" s="885"/>
      <c r="W62" s="885"/>
      <c r="X62" s="885"/>
      <c r="Y62" s="885"/>
      <c r="Z62" s="885"/>
      <c r="AA62" s="885"/>
      <c r="AB62" s="885"/>
      <c r="AC62" s="885"/>
      <c r="AD62" s="885"/>
      <c r="AE62" s="885"/>
      <c r="AF62" s="885"/>
      <c r="AG62" s="885"/>
      <c r="AH62" s="885"/>
      <c r="AI62" s="885"/>
      <c r="AJ62" s="885"/>
      <c r="AK62" s="885"/>
      <c r="AL62" s="885"/>
      <c r="AM62" s="885"/>
      <c r="AS62" s="3">
        <v>18</v>
      </c>
    </row>
    <row r="63" spans="1:45" ht="18.75" customHeight="1">
      <c r="T63" s="885"/>
      <c r="U63" s="885"/>
      <c r="V63" s="885"/>
      <c r="W63" s="885"/>
      <c r="X63" s="885"/>
      <c r="Y63" s="885"/>
      <c r="Z63" s="885"/>
      <c r="AA63" s="885"/>
      <c r="AB63" s="885"/>
      <c r="AC63" s="885"/>
      <c r="AD63" s="885"/>
      <c r="AE63" s="885"/>
      <c r="AF63" s="885"/>
      <c r="AG63" s="885"/>
      <c r="AH63" s="885"/>
      <c r="AI63" s="885"/>
      <c r="AJ63" s="885"/>
      <c r="AK63" s="885"/>
      <c r="AL63" s="885"/>
      <c r="AM63" s="885"/>
      <c r="AS63" s="3">
        <v>18</v>
      </c>
    </row>
    <row r="64" spans="1:45" ht="29.25" customHeight="1">
      <c r="T64" s="885"/>
      <c r="U64" s="885"/>
      <c r="V64" s="885"/>
      <c r="W64" s="885"/>
      <c r="X64" s="885"/>
      <c r="Y64" s="885"/>
      <c r="Z64" s="885"/>
      <c r="AA64" s="885"/>
      <c r="AB64" s="885"/>
      <c r="AC64" s="885"/>
      <c r="AD64" s="885"/>
      <c r="AE64" s="885"/>
      <c r="AF64" s="885"/>
      <c r="AG64" s="885"/>
      <c r="AH64" s="885"/>
      <c r="AI64" s="885"/>
      <c r="AJ64" s="885"/>
      <c r="AK64" s="885"/>
      <c r="AL64" s="885"/>
      <c r="AM64" s="885"/>
      <c r="AS64" s="3">
        <v>28</v>
      </c>
    </row>
    <row r="65" spans="1:45" ht="22.5" hidden="1" customHeight="1">
      <c r="A65" s="11" t="s">
        <v>18</v>
      </c>
      <c r="B65" s="11">
        <v>0</v>
      </c>
      <c r="C65" s="11">
        <v>0</v>
      </c>
      <c r="D65" s="11">
        <v>0</v>
      </c>
      <c r="E65" s="11">
        <v>0</v>
      </c>
      <c r="F65" s="11">
        <v>0</v>
      </c>
      <c r="G65" s="11">
        <v>0</v>
      </c>
      <c r="H65" s="11">
        <v>0</v>
      </c>
      <c r="I65" s="11">
        <v>0</v>
      </c>
      <c r="J65" s="11">
        <v>0</v>
      </c>
      <c r="K65" s="11">
        <v>0</v>
      </c>
      <c r="L65" s="171">
        <v>0</v>
      </c>
      <c r="M65" s="13">
        <v>0</v>
      </c>
      <c r="N65" s="13">
        <v>0</v>
      </c>
      <c r="O65" s="13">
        <v>0</v>
      </c>
      <c r="P65" s="287">
        <v>3</v>
      </c>
      <c r="Q65" s="288">
        <v>3</v>
      </c>
      <c r="R65" s="288">
        <v>3</v>
      </c>
      <c r="S65" s="9">
        <v>12</v>
      </c>
      <c r="T65" s="3">
        <v>35</v>
      </c>
      <c r="U65" s="3">
        <v>0</v>
      </c>
      <c r="V65" s="3">
        <v>0</v>
      </c>
      <c r="W65" s="3">
        <v>0</v>
      </c>
      <c r="X65" s="3">
        <v>0</v>
      </c>
      <c r="Y65" s="3">
        <v>0</v>
      </c>
      <c r="Z65" s="3">
        <v>0</v>
      </c>
      <c r="AA65" s="3">
        <v>0</v>
      </c>
      <c r="AB65" s="3">
        <v>0</v>
      </c>
      <c r="AC65" s="3">
        <v>0</v>
      </c>
      <c r="AD65" s="3">
        <v>24</v>
      </c>
      <c r="AE65" s="3">
        <v>0</v>
      </c>
      <c r="AF65" s="3">
        <v>24</v>
      </c>
      <c r="AG65" s="3">
        <v>24</v>
      </c>
      <c r="AH65" s="3">
        <v>11</v>
      </c>
      <c r="AI65" s="3">
        <v>3</v>
      </c>
      <c r="AJ65" s="3">
        <v>11</v>
      </c>
      <c r="AK65" s="3">
        <v>0</v>
      </c>
      <c r="AL65" s="3">
        <v>4</v>
      </c>
      <c r="AM65" s="3">
        <v>115</v>
      </c>
      <c r="AN65" s="24">
        <v>10</v>
      </c>
      <c r="AO65" s="24">
        <v>10</v>
      </c>
      <c r="AP65" s="24">
        <v>10</v>
      </c>
      <c r="AQ65" s="24">
        <v>10</v>
      </c>
      <c r="AR65" s="24">
        <v>10</v>
      </c>
      <c r="AS65" s="3">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435"/>
  <sheetViews>
    <sheetView showGridLines="0" workbookViewId="0"/>
  </sheetViews>
  <sheetFormatPr defaultColWidth="9.140625" defaultRowHeight="11.25" customHeight="1"/>
  <cols>
    <col min="3" max="3" width="20.7109375" customWidth="1"/>
    <col min="4" max="4" width="25.140625" customWidth="1"/>
  </cols>
  <sheetData>
    <row r="1" spans="1:9" ht="11.25" customHeight="1">
      <c r="A1" s="39" t="s">
        <v>2161</v>
      </c>
      <c r="B1" s="39" t="s">
        <v>2162</v>
      </c>
      <c r="C1" s="39" t="s">
        <v>2163</v>
      </c>
      <c r="D1" s="39" t="s">
        <v>2164</v>
      </c>
      <c r="E1" s="39" t="s">
        <v>2165</v>
      </c>
      <c r="F1" s="39" t="s">
        <v>2166</v>
      </c>
      <c r="G1" s="39" t="s">
        <v>2167</v>
      </c>
      <c r="H1" s="39" t="s">
        <v>2168</v>
      </c>
      <c r="I1" s="39" t="s">
        <v>2169</v>
      </c>
    </row>
    <row r="2" spans="1:9" ht="11.25" customHeight="1">
      <c r="A2" s="39" t="s">
        <v>2170</v>
      </c>
      <c r="B2" s="39" t="s">
        <v>2</v>
      </c>
      <c r="C2" s="39" t="s">
        <v>2171</v>
      </c>
      <c r="D2" s="39" t="s">
        <v>2172</v>
      </c>
      <c r="E2" s="39" t="s">
        <v>2173</v>
      </c>
      <c r="F2" s="39" t="s">
        <v>2174</v>
      </c>
      <c r="G2" t="s">
        <v>4</v>
      </c>
      <c r="H2" t="s">
        <v>4</v>
      </c>
      <c r="I2" s="39" t="s">
        <v>731</v>
      </c>
    </row>
    <row r="3" spans="1:9" ht="11.25" customHeight="1">
      <c r="A3" s="39" t="s">
        <v>2170</v>
      </c>
      <c r="B3" s="39" t="s">
        <v>2</v>
      </c>
      <c r="C3" s="39" t="s">
        <v>2175</v>
      </c>
      <c r="D3" s="39" t="s">
        <v>2172</v>
      </c>
      <c r="E3" s="39" t="s">
        <v>2173</v>
      </c>
      <c r="F3" s="39" t="s">
        <v>2176</v>
      </c>
      <c r="G3" t="s">
        <v>4</v>
      </c>
      <c r="H3" t="s">
        <v>4</v>
      </c>
      <c r="I3" s="39" t="s">
        <v>731</v>
      </c>
    </row>
    <row r="4" spans="1:9" ht="11.25" customHeight="1">
      <c r="A4" s="39" t="s">
        <v>2170</v>
      </c>
      <c r="B4" s="39" t="s">
        <v>2</v>
      </c>
      <c r="C4" s="39" t="s">
        <v>2177</v>
      </c>
      <c r="D4" s="39" t="s">
        <v>2178</v>
      </c>
      <c r="E4" s="39" t="s">
        <v>2179</v>
      </c>
      <c r="F4" s="39" t="s">
        <v>2180</v>
      </c>
      <c r="G4" t="s">
        <v>4</v>
      </c>
      <c r="H4" t="s">
        <v>4</v>
      </c>
      <c r="I4" s="39" t="s">
        <v>731</v>
      </c>
    </row>
    <row r="5" spans="1:9" ht="11.25" customHeight="1">
      <c r="A5" s="39" t="s">
        <v>2170</v>
      </c>
      <c r="B5" s="39" t="s">
        <v>2</v>
      </c>
      <c r="C5" s="39" t="s">
        <v>2181</v>
      </c>
      <c r="D5" s="39" t="s">
        <v>2182</v>
      </c>
      <c r="E5" s="39" t="s">
        <v>2183</v>
      </c>
      <c r="F5" s="39" t="s">
        <v>2180</v>
      </c>
      <c r="G5" s="39" t="s">
        <v>2184</v>
      </c>
      <c r="H5" t="s">
        <v>4</v>
      </c>
      <c r="I5" s="39" t="s">
        <v>731</v>
      </c>
    </row>
    <row r="6" spans="1:9" ht="11.25" customHeight="1">
      <c r="A6" s="39" t="s">
        <v>2170</v>
      </c>
      <c r="B6" s="39" t="s">
        <v>2</v>
      </c>
      <c r="C6" s="39" t="s">
        <v>2185</v>
      </c>
      <c r="D6" s="39" t="s">
        <v>2186</v>
      </c>
      <c r="E6" s="39" t="s">
        <v>2187</v>
      </c>
      <c r="F6" s="39" t="s">
        <v>2188</v>
      </c>
      <c r="G6" s="39" t="s">
        <v>2189</v>
      </c>
      <c r="H6" t="s">
        <v>4</v>
      </c>
      <c r="I6" s="39" t="s">
        <v>731</v>
      </c>
    </row>
    <row r="7" spans="1:9" ht="11.25" customHeight="1">
      <c r="A7" s="39" t="s">
        <v>2170</v>
      </c>
      <c r="B7" s="39" t="s">
        <v>2</v>
      </c>
      <c r="C7" s="39" t="s">
        <v>2190</v>
      </c>
      <c r="D7" s="39" t="s">
        <v>2191</v>
      </c>
      <c r="E7" s="39" t="s">
        <v>2192</v>
      </c>
      <c r="F7" s="39" t="s">
        <v>2193</v>
      </c>
      <c r="G7" s="39" t="s">
        <v>2194</v>
      </c>
      <c r="H7" t="s">
        <v>4</v>
      </c>
      <c r="I7" s="39" t="s">
        <v>731</v>
      </c>
    </row>
    <row r="8" spans="1:9" ht="11.25" customHeight="1">
      <c r="A8" s="39" t="s">
        <v>2170</v>
      </c>
      <c r="B8" s="39" t="s">
        <v>2</v>
      </c>
      <c r="C8" s="39" t="s">
        <v>2195</v>
      </c>
      <c r="D8" s="39" t="s">
        <v>2196</v>
      </c>
      <c r="E8" s="39" t="s">
        <v>2197</v>
      </c>
      <c r="F8" s="39" t="s">
        <v>2198</v>
      </c>
      <c r="G8" s="39" t="s">
        <v>2199</v>
      </c>
      <c r="H8" t="s">
        <v>4</v>
      </c>
      <c r="I8" s="39" t="s">
        <v>731</v>
      </c>
    </row>
    <row r="9" spans="1:9" ht="11.25" customHeight="1">
      <c r="A9" s="39" t="s">
        <v>2170</v>
      </c>
      <c r="B9" s="39" t="s">
        <v>2</v>
      </c>
      <c r="C9" s="39" t="s">
        <v>2200</v>
      </c>
      <c r="D9" s="39" t="s">
        <v>2201</v>
      </c>
      <c r="E9" s="39" t="s">
        <v>2202</v>
      </c>
      <c r="F9" s="39" t="s">
        <v>2203</v>
      </c>
      <c r="G9" t="s">
        <v>4</v>
      </c>
      <c r="H9" t="s">
        <v>4</v>
      </c>
      <c r="I9" s="39" t="s">
        <v>731</v>
      </c>
    </row>
    <row r="10" spans="1:9" ht="11.25" customHeight="1">
      <c r="A10" s="39" t="s">
        <v>2170</v>
      </c>
      <c r="B10" s="39" t="s">
        <v>2</v>
      </c>
      <c r="C10" s="39" t="s">
        <v>2204</v>
      </c>
      <c r="D10" s="39" t="s">
        <v>2205</v>
      </c>
      <c r="E10" s="39" t="s">
        <v>2206</v>
      </c>
      <c r="F10" s="39" t="s">
        <v>2207</v>
      </c>
      <c r="G10" t="s">
        <v>4</v>
      </c>
      <c r="H10" t="s">
        <v>4</v>
      </c>
      <c r="I10" s="39" t="s">
        <v>731</v>
      </c>
    </row>
    <row r="11" spans="1:9" ht="11.25" customHeight="1">
      <c r="A11" s="39" t="s">
        <v>2170</v>
      </c>
      <c r="B11" s="39" t="s">
        <v>2</v>
      </c>
      <c r="C11" s="39" t="s">
        <v>2208</v>
      </c>
      <c r="D11" s="39" t="s">
        <v>2209</v>
      </c>
      <c r="E11" s="39" t="s">
        <v>2210</v>
      </c>
      <c r="F11" s="39" t="s">
        <v>2211</v>
      </c>
      <c r="G11" t="s">
        <v>4</v>
      </c>
      <c r="H11" t="s">
        <v>4</v>
      </c>
      <c r="I11" s="39" t="s">
        <v>731</v>
      </c>
    </row>
    <row r="12" spans="1:9" ht="11.25" customHeight="1">
      <c r="A12" s="39" t="s">
        <v>2170</v>
      </c>
      <c r="B12" s="39" t="s">
        <v>2</v>
      </c>
      <c r="C12" s="39" t="s">
        <v>2212</v>
      </c>
      <c r="D12" s="39" t="s">
        <v>2213</v>
      </c>
      <c r="E12" s="39" t="s">
        <v>2214</v>
      </c>
      <c r="F12" s="39" t="s">
        <v>2215</v>
      </c>
      <c r="G12" t="s">
        <v>4</v>
      </c>
      <c r="H12" t="s">
        <v>4</v>
      </c>
      <c r="I12" s="39" t="s">
        <v>731</v>
      </c>
    </row>
    <row r="13" spans="1:9" ht="11.25" customHeight="1">
      <c r="A13" s="39" t="s">
        <v>2170</v>
      </c>
      <c r="B13" s="39" t="s">
        <v>2</v>
      </c>
      <c r="C13" s="39" t="s">
        <v>2216</v>
      </c>
      <c r="D13" s="39" t="s">
        <v>2217</v>
      </c>
      <c r="E13" s="39" t="s">
        <v>2218</v>
      </c>
      <c r="F13" s="39" t="s">
        <v>2180</v>
      </c>
      <c r="G13" s="39" t="s">
        <v>2219</v>
      </c>
      <c r="H13" t="s">
        <v>4</v>
      </c>
      <c r="I13" s="39" t="s">
        <v>731</v>
      </c>
    </row>
    <row r="14" spans="1:9" ht="11.25" customHeight="1">
      <c r="A14" s="39" t="s">
        <v>2170</v>
      </c>
      <c r="B14" s="39" t="s">
        <v>2</v>
      </c>
      <c r="C14" s="39" t="s">
        <v>2220</v>
      </c>
      <c r="D14" s="39" t="s">
        <v>2221</v>
      </c>
      <c r="E14" s="39" t="s">
        <v>2222</v>
      </c>
      <c r="F14" s="39" t="s">
        <v>2203</v>
      </c>
      <c r="G14" t="s">
        <v>4</v>
      </c>
      <c r="H14" t="s">
        <v>4</v>
      </c>
      <c r="I14" s="39" t="s">
        <v>731</v>
      </c>
    </row>
    <row r="15" spans="1:9" ht="11.25" customHeight="1">
      <c r="A15" s="39" t="s">
        <v>2170</v>
      </c>
      <c r="B15" s="39" t="s">
        <v>2</v>
      </c>
      <c r="C15" s="39" t="s">
        <v>2223</v>
      </c>
      <c r="D15" s="39" t="s">
        <v>2224</v>
      </c>
      <c r="E15" s="39" t="s">
        <v>2225</v>
      </c>
      <c r="F15" s="39" t="s">
        <v>2180</v>
      </c>
      <c r="G15" t="s">
        <v>4</v>
      </c>
      <c r="H15" t="s">
        <v>4</v>
      </c>
      <c r="I15" s="39" t="s">
        <v>731</v>
      </c>
    </row>
    <row r="16" spans="1:9" ht="11.25" customHeight="1">
      <c r="A16" s="39" t="s">
        <v>2170</v>
      </c>
      <c r="B16" s="39" t="s">
        <v>2</v>
      </c>
      <c r="C16" s="39" t="s">
        <v>2226</v>
      </c>
      <c r="D16" s="39" t="s">
        <v>2227</v>
      </c>
      <c r="E16" s="39" t="s">
        <v>2228</v>
      </c>
      <c r="F16" s="39" t="s">
        <v>2180</v>
      </c>
      <c r="G16" t="s">
        <v>4</v>
      </c>
      <c r="H16" t="s">
        <v>4</v>
      </c>
      <c r="I16" s="39" t="s">
        <v>731</v>
      </c>
    </row>
    <row r="17" spans="1:9" ht="11.25" customHeight="1">
      <c r="A17" s="39" t="s">
        <v>2170</v>
      </c>
      <c r="B17" s="39" t="s">
        <v>2</v>
      </c>
      <c r="C17" s="39" t="s">
        <v>2229</v>
      </c>
      <c r="D17" s="39" t="s">
        <v>2230</v>
      </c>
      <c r="E17" s="39" t="s">
        <v>2231</v>
      </c>
      <c r="F17" s="39" t="s">
        <v>2232</v>
      </c>
      <c r="G17" t="s">
        <v>4</v>
      </c>
      <c r="H17" t="s">
        <v>4</v>
      </c>
      <c r="I17" s="39" t="s">
        <v>731</v>
      </c>
    </row>
    <row r="18" spans="1:9" ht="11.25" customHeight="1">
      <c r="A18" s="39" t="s">
        <v>2170</v>
      </c>
      <c r="B18" s="39" t="s">
        <v>2</v>
      </c>
      <c r="C18" s="39" t="s">
        <v>2233</v>
      </c>
      <c r="D18" s="39" t="s">
        <v>2234</v>
      </c>
      <c r="E18" s="39" t="s">
        <v>2235</v>
      </c>
      <c r="F18" s="39" t="s">
        <v>2236</v>
      </c>
      <c r="G18" t="s">
        <v>4</v>
      </c>
      <c r="H18" t="s">
        <v>4</v>
      </c>
      <c r="I18" s="39" t="s">
        <v>731</v>
      </c>
    </row>
    <row r="19" spans="1:9" ht="11.25" customHeight="1">
      <c r="A19" s="39" t="s">
        <v>2170</v>
      </c>
      <c r="B19" s="39" t="s">
        <v>2</v>
      </c>
      <c r="C19" s="39" t="s">
        <v>2237</v>
      </c>
      <c r="D19" s="39" t="s">
        <v>2238</v>
      </c>
      <c r="E19" s="39" t="s">
        <v>2239</v>
      </c>
      <c r="F19" s="39" t="s">
        <v>2240</v>
      </c>
      <c r="G19" t="s">
        <v>4</v>
      </c>
      <c r="H19" t="s">
        <v>4</v>
      </c>
      <c r="I19" s="39" t="s">
        <v>731</v>
      </c>
    </row>
    <row r="20" spans="1:9" ht="11.25" customHeight="1">
      <c r="A20" s="39" t="s">
        <v>2170</v>
      </c>
      <c r="B20" s="39" t="s">
        <v>2</v>
      </c>
      <c r="C20" s="39" t="s">
        <v>2241</v>
      </c>
      <c r="D20" s="39" t="s">
        <v>2242</v>
      </c>
      <c r="E20" s="39" t="s">
        <v>2243</v>
      </c>
      <c r="F20" s="39" t="s">
        <v>2244</v>
      </c>
      <c r="G20" t="s">
        <v>4</v>
      </c>
      <c r="H20" t="s">
        <v>4</v>
      </c>
      <c r="I20" s="39" t="s">
        <v>731</v>
      </c>
    </row>
    <row r="21" spans="1:9" ht="11.25" customHeight="1">
      <c r="A21" s="39" t="s">
        <v>2170</v>
      </c>
      <c r="B21" s="39" t="s">
        <v>2</v>
      </c>
      <c r="C21" s="39" t="s">
        <v>2245</v>
      </c>
      <c r="D21" s="39" t="s">
        <v>2246</v>
      </c>
      <c r="E21" s="39" t="s">
        <v>2247</v>
      </c>
      <c r="F21" s="39" t="s">
        <v>2248</v>
      </c>
      <c r="G21" t="s">
        <v>4</v>
      </c>
      <c r="H21" t="s">
        <v>4</v>
      </c>
      <c r="I21" s="39" t="s">
        <v>731</v>
      </c>
    </row>
    <row r="22" spans="1:9" ht="11.25" customHeight="1">
      <c r="A22" s="39" t="s">
        <v>2170</v>
      </c>
      <c r="B22" s="39" t="s">
        <v>2</v>
      </c>
      <c r="C22" s="39" t="s">
        <v>2249</v>
      </c>
      <c r="D22" s="39" t="s">
        <v>2250</v>
      </c>
      <c r="E22" s="39" t="s">
        <v>2251</v>
      </c>
      <c r="F22" s="39" t="s">
        <v>2252</v>
      </c>
      <c r="G22" t="s">
        <v>4</v>
      </c>
      <c r="H22" t="s">
        <v>4</v>
      </c>
      <c r="I22" s="39" t="s">
        <v>731</v>
      </c>
    </row>
    <row r="23" spans="1:9" ht="11.25" customHeight="1">
      <c r="A23" s="39" t="s">
        <v>2170</v>
      </c>
      <c r="B23" s="39" t="s">
        <v>2</v>
      </c>
      <c r="C23" s="39" t="s">
        <v>2253</v>
      </c>
      <c r="D23" s="39" t="s">
        <v>2254</v>
      </c>
      <c r="E23" s="39" t="s">
        <v>2255</v>
      </c>
      <c r="F23" s="39" t="s">
        <v>2256</v>
      </c>
      <c r="G23" t="s">
        <v>4</v>
      </c>
      <c r="H23" t="s">
        <v>4</v>
      </c>
      <c r="I23" s="39" t="s">
        <v>731</v>
      </c>
    </row>
    <row r="24" spans="1:9" ht="11.25" customHeight="1">
      <c r="A24" s="39" t="s">
        <v>2170</v>
      </c>
      <c r="B24" s="39" t="s">
        <v>2</v>
      </c>
      <c r="C24" s="39" t="s">
        <v>2257</v>
      </c>
      <c r="D24" s="39" t="s">
        <v>2258</v>
      </c>
      <c r="E24" s="39" t="s">
        <v>2259</v>
      </c>
      <c r="F24" s="39" t="s">
        <v>2252</v>
      </c>
      <c r="G24" t="s">
        <v>4</v>
      </c>
      <c r="H24" t="s">
        <v>4</v>
      </c>
      <c r="I24" s="39" t="s">
        <v>731</v>
      </c>
    </row>
    <row r="25" spans="1:9" ht="11.25" customHeight="1">
      <c r="A25" s="39" t="s">
        <v>2170</v>
      </c>
      <c r="B25" s="39" t="s">
        <v>2</v>
      </c>
      <c r="C25" s="39" t="s">
        <v>2260</v>
      </c>
      <c r="D25" s="39" t="s">
        <v>2261</v>
      </c>
      <c r="E25" s="39" t="s">
        <v>2262</v>
      </c>
      <c r="F25" s="39" t="s">
        <v>2263</v>
      </c>
      <c r="G25" s="39" t="s">
        <v>2264</v>
      </c>
      <c r="H25" t="s">
        <v>4</v>
      </c>
      <c r="I25" s="39" t="s">
        <v>731</v>
      </c>
    </row>
    <row r="26" spans="1:9" ht="11.25" customHeight="1">
      <c r="A26" s="39" t="s">
        <v>2170</v>
      </c>
      <c r="B26" s="39" t="s">
        <v>2</v>
      </c>
      <c r="C26" s="39" t="s">
        <v>2265</v>
      </c>
      <c r="D26" s="39" t="s">
        <v>2266</v>
      </c>
      <c r="E26" s="39" t="s">
        <v>2267</v>
      </c>
      <c r="F26" s="39" t="s">
        <v>2252</v>
      </c>
      <c r="G26" t="s">
        <v>4</v>
      </c>
      <c r="H26" t="s">
        <v>4</v>
      </c>
      <c r="I26" s="39" t="s">
        <v>731</v>
      </c>
    </row>
    <row r="27" spans="1:9" ht="11.25" customHeight="1">
      <c r="A27" s="39" t="s">
        <v>2170</v>
      </c>
      <c r="B27" s="39" t="s">
        <v>2</v>
      </c>
      <c r="C27" s="39" t="s">
        <v>2268</v>
      </c>
      <c r="D27" s="39" t="s">
        <v>2269</v>
      </c>
      <c r="E27" s="39" t="s">
        <v>2270</v>
      </c>
      <c r="F27" s="39" t="s">
        <v>2271</v>
      </c>
      <c r="G27" t="s">
        <v>4</v>
      </c>
      <c r="H27" t="s">
        <v>4</v>
      </c>
      <c r="I27" s="39" t="s">
        <v>731</v>
      </c>
    </row>
    <row r="28" spans="1:9" ht="11.25" customHeight="1">
      <c r="A28" s="39" t="s">
        <v>2170</v>
      </c>
      <c r="B28" s="39" t="s">
        <v>2</v>
      </c>
      <c r="C28" s="39" t="s">
        <v>2272</v>
      </c>
      <c r="D28" s="39" t="s">
        <v>2273</v>
      </c>
      <c r="E28" s="39" t="s">
        <v>2274</v>
      </c>
      <c r="F28" s="39" t="s">
        <v>2275</v>
      </c>
      <c r="G28" t="s">
        <v>4</v>
      </c>
      <c r="H28" t="s">
        <v>4</v>
      </c>
      <c r="I28" s="39" t="s">
        <v>731</v>
      </c>
    </row>
    <row r="29" spans="1:9" ht="11.25" customHeight="1">
      <c r="A29" s="39" t="s">
        <v>2170</v>
      </c>
      <c r="B29" s="39" t="s">
        <v>2</v>
      </c>
      <c r="C29" s="39" t="s">
        <v>2276</v>
      </c>
      <c r="D29" s="39" t="s">
        <v>2277</v>
      </c>
      <c r="E29" s="39" t="s">
        <v>2278</v>
      </c>
      <c r="F29" s="39" t="s">
        <v>2279</v>
      </c>
      <c r="G29" t="s">
        <v>4</v>
      </c>
      <c r="H29" t="s">
        <v>4</v>
      </c>
      <c r="I29" s="39" t="s">
        <v>731</v>
      </c>
    </row>
    <row r="30" spans="1:9" ht="11.25" customHeight="1">
      <c r="A30" s="39" t="s">
        <v>2170</v>
      </c>
      <c r="B30" s="39" t="s">
        <v>2</v>
      </c>
      <c r="C30" s="39" t="s">
        <v>2280</v>
      </c>
      <c r="D30" s="39" t="s">
        <v>2277</v>
      </c>
      <c r="E30" s="39" t="s">
        <v>2278</v>
      </c>
      <c r="F30" s="39" t="s">
        <v>2198</v>
      </c>
      <c r="G30" t="s">
        <v>4</v>
      </c>
      <c r="H30" t="s">
        <v>4</v>
      </c>
      <c r="I30" s="39" t="s">
        <v>731</v>
      </c>
    </row>
    <row r="31" spans="1:9" ht="11.25" customHeight="1">
      <c r="A31" s="39" t="s">
        <v>2170</v>
      </c>
      <c r="B31" s="39" t="s">
        <v>2</v>
      </c>
      <c r="C31" s="39" t="s">
        <v>2281</v>
      </c>
      <c r="D31" s="39" t="s">
        <v>2282</v>
      </c>
      <c r="E31" s="39" t="s">
        <v>2283</v>
      </c>
      <c r="F31" s="39" t="s">
        <v>2284</v>
      </c>
      <c r="G31" t="s">
        <v>4</v>
      </c>
      <c r="H31" t="s">
        <v>4</v>
      </c>
      <c r="I31" s="39" t="s">
        <v>731</v>
      </c>
    </row>
    <row r="32" spans="1:9" ht="11.25" customHeight="1">
      <c r="A32" s="39" t="s">
        <v>2170</v>
      </c>
      <c r="B32" s="39" t="s">
        <v>2</v>
      </c>
      <c r="C32" s="39" t="s">
        <v>2285</v>
      </c>
      <c r="D32" s="39" t="s">
        <v>2286</v>
      </c>
      <c r="E32" s="39" t="s">
        <v>2287</v>
      </c>
      <c r="F32" s="39" t="s">
        <v>2263</v>
      </c>
      <c r="G32" t="s">
        <v>4</v>
      </c>
      <c r="H32" t="s">
        <v>4</v>
      </c>
      <c r="I32" s="39" t="s">
        <v>731</v>
      </c>
    </row>
    <row r="33" spans="1:9" ht="11.25" customHeight="1">
      <c r="A33" s="39" t="s">
        <v>2170</v>
      </c>
      <c r="B33" s="39" t="s">
        <v>2</v>
      </c>
      <c r="C33" s="39" t="s">
        <v>2288</v>
      </c>
      <c r="D33" s="39" t="s">
        <v>2289</v>
      </c>
      <c r="E33" s="39" t="s">
        <v>2290</v>
      </c>
      <c r="F33" s="39" t="s">
        <v>2291</v>
      </c>
      <c r="G33" t="s">
        <v>4</v>
      </c>
      <c r="H33" t="s">
        <v>4</v>
      </c>
      <c r="I33" s="39" t="s">
        <v>731</v>
      </c>
    </row>
    <row r="34" spans="1:9" ht="11.25" customHeight="1">
      <c r="A34" s="39" t="s">
        <v>2170</v>
      </c>
      <c r="B34" s="39" t="s">
        <v>2</v>
      </c>
      <c r="C34" s="39" t="s">
        <v>2292</v>
      </c>
      <c r="D34" s="39" t="s">
        <v>2293</v>
      </c>
      <c r="E34" s="39" t="s">
        <v>2294</v>
      </c>
      <c r="F34" s="39" t="s">
        <v>2295</v>
      </c>
      <c r="G34" t="s">
        <v>4</v>
      </c>
      <c r="H34" t="s">
        <v>4</v>
      </c>
      <c r="I34" s="39" t="s">
        <v>731</v>
      </c>
    </row>
    <row r="35" spans="1:9" ht="11.25" customHeight="1">
      <c r="A35" s="39" t="s">
        <v>2170</v>
      </c>
      <c r="B35" s="39" t="s">
        <v>2</v>
      </c>
      <c r="C35" s="39" t="s">
        <v>2296</v>
      </c>
      <c r="D35" s="39" t="s">
        <v>2297</v>
      </c>
      <c r="E35" s="39" t="s">
        <v>2298</v>
      </c>
      <c r="F35" s="39" t="s">
        <v>2299</v>
      </c>
      <c r="G35" s="39" t="s">
        <v>2300</v>
      </c>
      <c r="H35" t="s">
        <v>4</v>
      </c>
      <c r="I35" s="39" t="s">
        <v>731</v>
      </c>
    </row>
    <row r="36" spans="1:9" ht="11.25" customHeight="1">
      <c r="A36" s="39" t="s">
        <v>2170</v>
      </c>
      <c r="B36" s="39" t="s">
        <v>2</v>
      </c>
      <c r="C36" s="39" t="s">
        <v>2301</v>
      </c>
      <c r="D36" s="39" t="s">
        <v>2302</v>
      </c>
      <c r="E36" s="39" t="s">
        <v>2303</v>
      </c>
      <c r="F36" s="39" t="s">
        <v>2240</v>
      </c>
      <c r="G36" t="s">
        <v>4</v>
      </c>
      <c r="H36" t="s">
        <v>4</v>
      </c>
      <c r="I36" s="39" t="s">
        <v>731</v>
      </c>
    </row>
    <row r="37" spans="1:9" ht="11.25" customHeight="1">
      <c r="A37" s="39" t="s">
        <v>2170</v>
      </c>
      <c r="B37" s="39" t="s">
        <v>2</v>
      </c>
      <c r="C37" s="39" t="s">
        <v>2304</v>
      </c>
      <c r="D37" s="39" t="s">
        <v>2305</v>
      </c>
      <c r="E37" s="39" t="s">
        <v>2306</v>
      </c>
      <c r="F37" s="39" t="s">
        <v>2307</v>
      </c>
      <c r="G37" s="39" t="s">
        <v>2308</v>
      </c>
      <c r="H37" t="s">
        <v>4</v>
      </c>
      <c r="I37" s="39" t="s">
        <v>731</v>
      </c>
    </row>
    <row r="38" spans="1:9" ht="11.25" customHeight="1">
      <c r="A38" s="39" t="s">
        <v>2170</v>
      </c>
      <c r="B38" s="39" t="s">
        <v>2</v>
      </c>
      <c r="C38" s="39" t="s">
        <v>2309</v>
      </c>
      <c r="D38" s="39" t="s">
        <v>2310</v>
      </c>
      <c r="E38" s="39" t="s">
        <v>2311</v>
      </c>
      <c r="F38" s="39" t="s">
        <v>2312</v>
      </c>
      <c r="G38" t="s">
        <v>4</v>
      </c>
      <c r="H38" t="s">
        <v>4</v>
      </c>
      <c r="I38" s="39" t="s">
        <v>731</v>
      </c>
    </row>
    <row r="39" spans="1:9" ht="11.25" customHeight="1">
      <c r="A39" s="39" t="s">
        <v>2170</v>
      </c>
      <c r="B39" s="39" t="s">
        <v>2</v>
      </c>
      <c r="C39" s="39" t="s">
        <v>2313</v>
      </c>
      <c r="D39" s="39" t="s">
        <v>2314</v>
      </c>
      <c r="E39" s="39" t="s">
        <v>2315</v>
      </c>
      <c r="F39" s="39" t="s">
        <v>2203</v>
      </c>
      <c r="G39" t="s">
        <v>4</v>
      </c>
      <c r="H39" t="s">
        <v>4</v>
      </c>
      <c r="I39" s="39" t="s">
        <v>731</v>
      </c>
    </row>
    <row r="40" spans="1:9" ht="11.25" customHeight="1">
      <c r="A40" s="39" t="s">
        <v>2170</v>
      </c>
      <c r="B40" s="39" t="s">
        <v>2</v>
      </c>
      <c r="C40" s="39" t="s">
        <v>2316</v>
      </c>
      <c r="D40" s="39" t="s">
        <v>2317</v>
      </c>
      <c r="E40" s="39" t="s">
        <v>2318</v>
      </c>
      <c r="F40" s="39" t="s">
        <v>2319</v>
      </c>
      <c r="G40" s="39" t="s">
        <v>2320</v>
      </c>
      <c r="H40" t="s">
        <v>4</v>
      </c>
      <c r="I40" s="39" t="s">
        <v>731</v>
      </c>
    </row>
    <row r="41" spans="1:9" ht="11.25" customHeight="1">
      <c r="A41" s="39" t="s">
        <v>2170</v>
      </c>
      <c r="B41" s="39" t="s">
        <v>2</v>
      </c>
      <c r="C41" s="39" t="s">
        <v>2321</v>
      </c>
      <c r="D41" s="39" t="s">
        <v>2322</v>
      </c>
      <c r="E41" s="39" t="s">
        <v>2323</v>
      </c>
      <c r="F41" s="39" t="s">
        <v>2324</v>
      </c>
      <c r="G41" t="s">
        <v>4</v>
      </c>
      <c r="H41" t="s">
        <v>4</v>
      </c>
      <c r="I41" s="39" t="s">
        <v>731</v>
      </c>
    </row>
    <row r="42" spans="1:9" ht="11.25" customHeight="1">
      <c r="A42" s="39" t="s">
        <v>2170</v>
      </c>
      <c r="B42" s="39" t="s">
        <v>2</v>
      </c>
      <c r="C42" s="39" t="s">
        <v>2325</v>
      </c>
      <c r="D42" s="39" t="s">
        <v>2326</v>
      </c>
      <c r="E42" s="39" t="s">
        <v>2327</v>
      </c>
      <c r="F42" s="39" t="s">
        <v>2180</v>
      </c>
      <c r="G42" t="s">
        <v>4</v>
      </c>
      <c r="H42" t="s">
        <v>4</v>
      </c>
      <c r="I42" s="39" t="s">
        <v>731</v>
      </c>
    </row>
    <row r="43" spans="1:9" ht="11.25" customHeight="1">
      <c r="A43" s="39" t="s">
        <v>2170</v>
      </c>
      <c r="B43" s="39" t="s">
        <v>2</v>
      </c>
      <c r="C43" s="39" t="s">
        <v>2328</v>
      </c>
      <c r="D43" s="39" t="s">
        <v>2329</v>
      </c>
      <c r="E43" s="39" t="s">
        <v>2330</v>
      </c>
      <c r="F43" s="39" t="s">
        <v>2180</v>
      </c>
      <c r="G43" t="s">
        <v>4</v>
      </c>
      <c r="H43" t="s">
        <v>4</v>
      </c>
      <c r="I43" s="39" t="s">
        <v>731</v>
      </c>
    </row>
    <row r="44" spans="1:9" ht="11.25" customHeight="1">
      <c r="A44" s="39" t="s">
        <v>2170</v>
      </c>
      <c r="B44" s="39" t="s">
        <v>2</v>
      </c>
      <c r="C44" s="39" t="s">
        <v>2331</v>
      </c>
      <c r="D44" s="39" t="s">
        <v>2332</v>
      </c>
      <c r="E44" s="39" t="s">
        <v>2333</v>
      </c>
      <c r="F44" s="39" t="s">
        <v>2203</v>
      </c>
      <c r="G44" s="39" t="s">
        <v>2334</v>
      </c>
      <c r="H44" t="s">
        <v>4</v>
      </c>
      <c r="I44" s="39" t="s">
        <v>731</v>
      </c>
    </row>
    <row r="45" spans="1:9" ht="11.25" customHeight="1">
      <c r="A45" s="39" t="s">
        <v>2170</v>
      </c>
      <c r="B45" s="39" t="s">
        <v>2</v>
      </c>
      <c r="C45" s="39" t="s">
        <v>2335</v>
      </c>
      <c r="D45" s="39" t="s">
        <v>2336</v>
      </c>
      <c r="E45" s="39" t="s">
        <v>2337</v>
      </c>
      <c r="F45" s="39" t="s">
        <v>2198</v>
      </c>
      <c r="G45" t="s">
        <v>4</v>
      </c>
      <c r="H45" t="s">
        <v>4</v>
      </c>
      <c r="I45" s="39" t="s">
        <v>731</v>
      </c>
    </row>
    <row r="46" spans="1:9" ht="11.25" customHeight="1">
      <c r="A46" s="39" t="s">
        <v>2170</v>
      </c>
      <c r="B46" s="39" t="s">
        <v>2</v>
      </c>
      <c r="C46" s="39" t="s">
        <v>2338</v>
      </c>
      <c r="D46" s="39" t="s">
        <v>2339</v>
      </c>
      <c r="E46" s="39" t="s">
        <v>2340</v>
      </c>
      <c r="F46" s="39" t="s">
        <v>2295</v>
      </c>
      <c r="G46" t="s">
        <v>4</v>
      </c>
      <c r="H46" t="s">
        <v>4</v>
      </c>
      <c r="I46" s="39" t="s">
        <v>731</v>
      </c>
    </row>
    <row r="47" spans="1:9" ht="11.25" customHeight="1">
      <c r="A47" s="39" t="s">
        <v>2170</v>
      </c>
      <c r="B47" s="39" t="s">
        <v>2</v>
      </c>
      <c r="C47" s="39" t="s">
        <v>2341</v>
      </c>
      <c r="D47" s="39" t="s">
        <v>2342</v>
      </c>
      <c r="E47" s="39" t="s">
        <v>2343</v>
      </c>
      <c r="F47" s="39" t="s">
        <v>2188</v>
      </c>
      <c r="G47" t="s">
        <v>4</v>
      </c>
      <c r="H47" t="s">
        <v>4</v>
      </c>
      <c r="I47" s="39" t="s">
        <v>731</v>
      </c>
    </row>
    <row r="48" spans="1:9" ht="11.25" customHeight="1">
      <c r="A48" s="39" t="s">
        <v>2170</v>
      </c>
      <c r="B48" s="39" t="s">
        <v>2</v>
      </c>
      <c r="C48" s="39" t="s">
        <v>2344</v>
      </c>
      <c r="D48" s="39" t="s">
        <v>2342</v>
      </c>
      <c r="E48" s="39" t="s">
        <v>2345</v>
      </c>
      <c r="F48" s="39" t="s">
        <v>2188</v>
      </c>
      <c r="G48" t="s">
        <v>4</v>
      </c>
      <c r="H48" t="s">
        <v>4</v>
      </c>
      <c r="I48" s="39" t="s">
        <v>731</v>
      </c>
    </row>
    <row r="49" spans="1:9" ht="11.25" customHeight="1">
      <c r="A49" s="39" t="s">
        <v>2170</v>
      </c>
      <c r="B49" s="39" t="s">
        <v>2</v>
      </c>
      <c r="C49" s="39" t="s">
        <v>2346</v>
      </c>
      <c r="D49" s="39" t="s">
        <v>2347</v>
      </c>
      <c r="E49" s="39" t="s">
        <v>2348</v>
      </c>
      <c r="F49" s="39" t="s">
        <v>2349</v>
      </c>
      <c r="G49" t="s">
        <v>4</v>
      </c>
      <c r="H49" t="s">
        <v>4</v>
      </c>
      <c r="I49" s="39" t="s">
        <v>731</v>
      </c>
    </row>
    <row r="50" spans="1:9" ht="11.25" customHeight="1">
      <c r="A50" s="39" t="s">
        <v>2170</v>
      </c>
      <c r="B50" s="39" t="s">
        <v>2</v>
      </c>
      <c r="C50" s="39" t="s">
        <v>2350</v>
      </c>
      <c r="D50" s="39" t="s">
        <v>2351</v>
      </c>
      <c r="E50" s="39" t="s">
        <v>2352</v>
      </c>
      <c r="F50" s="39" t="s">
        <v>2180</v>
      </c>
      <c r="G50" t="s">
        <v>4</v>
      </c>
      <c r="H50" t="s">
        <v>4</v>
      </c>
      <c r="I50" s="39" t="s">
        <v>731</v>
      </c>
    </row>
    <row r="51" spans="1:9" ht="11.25" customHeight="1">
      <c r="A51" s="39" t="s">
        <v>2170</v>
      </c>
      <c r="B51" s="39" t="s">
        <v>2</v>
      </c>
      <c r="C51" s="39" t="s">
        <v>2353</v>
      </c>
      <c r="D51" s="39" t="s">
        <v>2354</v>
      </c>
      <c r="E51" s="39" t="s">
        <v>2355</v>
      </c>
      <c r="F51" s="39" t="s">
        <v>2180</v>
      </c>
      <c r="G51" t="s">
        <v>4</v>
      </c>
      <c r="H51" t="s">
        <v>4</v>
      </c>
      <c r="I51" s="39" t="s">
        <v>731</v>
      </c>
    </row>
    <row r="52" spans="1:9" ht="11.25" customHeight="1">
      <c r="A52" s="39" t="s">
        <v>2170</v>
      </c>
      <c r="B52" s="39" t="s">
        <v>2</v>
      </c>
      <c r="C52" s="39" t="s">
        <v>2356</v>
      </c>
      <c r="D52" s="39" t="s">
        <v>2357</v>
      </c>
      <c r="E52" s="39" t="s">
        <v>2358</v>
      </c>
      <c r="F52" s="39" t="s">
        <v>2275</v>
      </c>
      <c r="G52" t="s">
        <v>4</v>
      </c>
      <c r="H52" t="s">
        <v>4</v>
      </c>
      <c r="I52" s="39" t="s">
        <v>731</v>
      </c>
    </row>
    <row r="53" spans="1:9" ht="11.25" customHeight="1">
      <c r="A53" s="39" t="s">
        <v>2170</v>
      </c>
      <c r="B53" s="39" t="s">
        <v>2</v>
      </c>
      <c r="C53" s="39" t="s">
        <v>2359</v>
      </c>
      <c r="D53" s="39" t="s">
        <v>2360</v>
      </c>
      <c r="E53" s="39" t="s">
        <v>2361</v>
      </c>
      <c r="F53" s="39" t="s">
        <v>2180</v>
      </c>
      <c r="G53" t="s">
        <v>4</v>
      </c>
      <c r="H53" t="s">
        <v>4</v>
      </c>
      <c r="I53" s="39" t="s">
        <v>731</v>
      </c>
    </row>
    <row r="54" spans="1:9" ht="11.25" customHeight="1">
      <c r="A54" s="39" t="s">
        <v>2170</v>
      </c>
      <c r="B54" s="39" t="s">
        <v>2</v>
      </c>
      <c r="C54" t="s">
        <v>4</v>
      </c>
      <c r="D54" s="39" t="s">
        <v>2362</v>
      </c>
      <c r="E54" s="39" t="s">
        <v>2363</v>
      </c>
      <c r="F54" s="39" t="s">
        <v>2364</v>
      </c>
      <c r="G54" t="s">
        <v>4</v>
      </c>
      <c r="H54" t="s">
        <v>4</v>
      </c>
      <c r="I54" s="39" t="s">
        <v>731</v>
      </c>
    </row>
    <row r="55" spans="1:9" ht="11.25" customHeight="1">
      <c r="A55" s="39" t="s">
        <v>2170</v>
      </c>
      <c r="B55" s="39" t="s">
        <v>2</v>
      </c>
      <c r="C55" s="39" t="s">
        <v>2365</v>
      </c>
      <c r="D55" s="39" t="s">
        <v>2366</v>
      </c>
      <c r="E55" s="39" t="s">
        <v>2367</v>
      </c>
      <c r="F55" s="39" t="s">
        <v>2236</v>
      </c>
      <c r="G55" t="s">
        <v>4</v>
      </c>
      <c r="H55" t="s">
        <v>4</v>
      </c>
      <c r="I55" s="39" t="s">
        <v>731</v>
      </c>
    </row>
    <row r="56" spans="1:9" ht="11.25" customHeight="1">
      <c r="A56" s="39" t="s">
        <v>2170</v>
      </c>
      <c r="B56" s="39" t="s">
        <v>2</v>
      </c>
      <c r="C56" s="39" t="s">
        <v>2368</v>
      </c>
      <c r="D56" s="39" t="s">
        <v>2369</v>
      </c>
      <c r="E56" s="39" t="s">
        <v>2370</v>
      </c>
      <c r="F56" s="39" t="s">
        <v>2207</v>
      </c>
      <c r="G56" t="s">
        <v>4</v>
      </c>
      <c r="H56" t="s">
        <v>4</v>
      </c>
      <c r="I56" s="39" t="s">
        <v>731</v>
      </c>
    </row>
    <row r="57" spans="1:9" ht="11.25" customHeight="1">
      <c r="A57" s="39" t="s">
        <v>2170</v>
      </c>
      <c r="B57" s="39" t="s">
        <v>2</v>
      </c>
      <c r="C57" s="39" t="s">
        <v>2371</v>
      </c>
      <c r="D57" s="39" t="s">
        <v>2372</v>
      </c>
      <c r="E57" s="39" t="s">
        <v>2373</v>
      </c>
      <c r="F57" s="39" t="s">
        <v>2188</v>
      </c>
      <c r="G57" t="s">
        <v>4</v>
      </c>
      <c r="H57" t="s">
        <v>4</v>
      </c>
      <c r="I57" s="39" t="s">
        <v>731</v>
      </c>
    </row>
    <row r="58" spans="1:9" ht="11.25" customHeight="1">
      <c r="A58" s="39" t="s">
        <v>2170</v>
      </c>
      <c r="B58" s="39" t="s">
        <v>2</v>
      </c>
      <c r="C58" s="39" t="s">
        <v>2374</v>
      </c>
      <c r="D58" s="39" t="s">
        <v>2375</v>
      </c>
      <c r="E58" s="39" t="s">
        <v>2376</v>
      </c>
      <c r="F58" s="39" t="s">
        <v>2180</v>
      </c>
      <c r="G58" t="s">
        <v>4</v>
      </c>
      <c r="H58" t="s">
        <v>4</v>
      </c>
      <c r="I58" s="39" t="s">
        <v>731</v>
      </c>
    </row>
    <row r="59" spans="1:9" ht="11.25" customHeight="1">
      <c r="A59" s="39" t="s">
        <v>2170</v>
      </c>
      <c r="B59" s="39" t="s">
        <v>2</v>
      </c>
      <c r="C59" s="39" t="s">
        <v>2377</v>
      </c>
      <c r="D59" s="39" t="s">
        <v>2378</v>
      </c>
      <c r="E59" s="39" t="s">
        <v>2379</v>
      </c>
      <c r="F59" s="39" t="s">
        <v>2176</v>
      </c>
      <c r="G59" s="39" t="s">
        <v>2380</v>
      </c>
      <c r="H59" s="39" t="s">
        <v>2381</v>
      </c>
      <c r="I59" s="39" t="s">
        <v>731</v>
      </c>
    </row>
    <row r="60" spans="1:9" ht="11.25" customHeight="1">
      <c r="A60" s="39" t="s">
        <v>2170</v>
      </c>
      <c r="B60" s="39" t="s">
        <v>2</v>
      </c>
      <c r="C60" s="39" t="s">
        <v>2382</v>
      </c>
      <c r="D60" s="39" t="s">
        <v>2383</v>
      </c>
      <c r="E60" s="39" t="s">
        <v>2384</v>
      </c>
      <c r="F60" s="39" t="s">
        <v>2385</v>
      </c>
      <c r="G60" s="39" t="s">
        <v>2386</v>
      </c>
      <c r="H60" t="s">
        <v>4</v>
      </c>
      <c r="I60" s="39" t="s">
        <v>731</v>
      </c>
    </row>
    <row r="61" spans="1:9" ht="11.25" customHeight="1">
      <c r="A61" s="39" t="s">
        <v>2170</v>
      </c>
      <c r="B61" s="39" t="s">
        <v>2</v>
      </c>
      <c r="C61" s="39" t="s">
        <v>2387</v>
      </c>
      <c r="D61" s="39" t="s">
        <v>2388</v>
      </c>
      <c r="E61" s="39" t="s">
        <v>2389</v>
      </c>
      <c r="F61" s="39" t="s">
        <v>2271</v>
      </c>
      <c r="G61" t="s">
        <v>4</v>
      </c>
      <c r="H61" t="s">
        <v>4</v>
      </c>
      <c r="I61" s="39" t="s">
        <v>731</v>
      </c>
    </row>
    <row r="62" spans="1:9" ht="11.25" customHeight="1">
      <c r="A62" s="39" t="s">
        <v>2170</v>
      </c>
      <c r="B62" s="39" t="s">
        <v>2</v>
      </c>
      <c r="C62" s="39" t="s">
        <v>2390</v>
      </c>
      <c r="D62" s="39" t="s">
        <v>2391</v>
      </c>
      <c r="E62" s="39" t="s">
        <v>2392</v>
      </c>
      <c r="F62" s="39" t="s">
        <v>2393</v>
      </c>
      <c r="G62" t="s">
        <v>4</v>
      </c>
      <c r="H62" t="s">
        <v>4</v>
      </c>
      <c r="I62" s="39" t="s">
        <v>731</v>
      </c>
    </row>
    <row r="63" spans="1:9" ht="11.25" customHeight="1">
      <c r="A63" s="39" t="s">
        <v>2170</v>
      </c>
      <c r="B63" s="39" t="s">
        <v>2</v>
      </c>
      <c r="C63" s="39" t="s">
        <v>2394</v>
      </c>
      <c r="D63" s="39" t="s">
        <v>2395</v>
      </c>
      <c r="E63" s="39" t="s">
        <v>2396</v>
      </c>
      <c r="F63" s="39" t="s">
        <v>2397</v>
      </c>
      <c r="G63" s="39" t="s">
        <v>2398</v>
      </c>
      <c r="H63" t="s">
        <v>4</v>
      </c>
      <c r="I63" s="39" t="s">
        <v>731</v>
      </c>
    </row>
    <row r="64" spans="1:9" ht="11.25" customHeight="1">
      <c r="A64" s="39" t="s">
        <v>2170</v>
      </c>
      <c r="B64" s="39" t="s">
        <v>2</v>
      </c>
      <c r="C64" s="39" t="s">
        <v>2399</v>
      </c>
      <c r="D64" s="39" t="s">
        <v>2400</v>
      </c>
      <c r="E64" s="39" t="s">
        <v>2401</v>
      </c>
      <c r="F64" s="39" t="s">
        <v>498</v>
      </c>
      <c r="G64" s="39" t="s">
        <v>2402</v>
      </c>
      <c r="H64" t="s">
        <v>4</v>
      </c>
      <c r="I64" s="39" t="s">
        <v>731</v>
      </c>
    </row>
    <row r="65" spans="1:9" ht="11.25" customHeight="1">
      <c r="A65" s="39" t="s">
        <v>2170</v>
      </c>
      <c r="B65" s="39" t="s">
        <v>2</v>
      </c>
      <c r="C65" s="39" t="s">
        <v>2403</v>
      </c>
      <c r="D65" s="39" t="s">
        <v>2404</v>
      </c>
      <c r="E65" s="39" t="s">
        <v>2405</v>
      </c>
      <c r="F65" s="39" t="s">
        <v>498</v>
      </c>
      <c r="G65" s="39" t="s">
        <v>2406</v>
      </c>
      <c r="H65" t="s">
        <v>4</v>
      </c>
      <c r="I65" s="39" t="s">
        <v>731</v>
      </c>
    </row>
    <row r="66" spans="1:9" ht="11.25" customHeight="1">
      <c r="A66" s="39" t="s">
        <v>2170</v>
      </c>
      <c r="B66" s="39" t="s">
        <v>2</v>
      </c>
      <c r="C66" s="39" t="s">
        <v>2407</v>
      </c>
      <c r="D66" s="39" t="s">
        <v>2408</v>
      </c>
      <c r="E66" s="39" t="s">
        <v>2409</v>
      </c>
      <c r="F66" s="39" t="s">
        <v>2188</v>
      </c>
      <c r="G66" t="s">
        <v>4</v>
      </c>
      <c r="H66" t="s">
        <v>4</v>
      </c>
      <c r="I66" s="39" t="s">
        <v>731</v>
      </c>
    </row>
    <row r="67" spans="1:9" ht="11.25" customHeight="1">
      <c r="A67" s="39" t="s">
        <v>2170</v>
      </c>
      <c r="B67" s="39" t="s">
        <v>2</v>
      </c>
      <c r="C67" s="39" t="s">
        <v>2410</v>
      </c>
      <c r="D67" s="39" t="s">
        <v>2411</v>
      </c>
      <c r="E67" s="39" t="s">
        <v>2412</v>
      </c>
      <c r="F67" s="39" t="s">
        <v>2413</v>
      </c>
      <c r="G67" t="s">
        <v>4</v>
      </c>
      <c r="H67" t="s">
        <v>4</v>
      </c>
      <c r="I67" s="39" t="s">
        <v>731</v>
      </c>
    </row>
    <row r="68" spans="1:9" ht="11.25" customHeight="1">
      <c r="A68" s="39" t="s">
        <v>2170</v>
      </c>
      <c r="B68" s="39" t="s">
        <v>2</v>
      </c>
      <c r="C68" s="39" t="s">
        <v>2414</v>
      </c>
      <c r="D68" s="39" t="s">
        <v>2415</v>
      </c>
      <c r="E68" s="39" t="s">
        <v>2416</v>
      </c>
      <c r="F68" s="39" t="s">
        <v>2417</v>
      </c>
      <c r="G68" t="s">
        <v>4</v>
      </c>
      <c r="H68" t="s">
        <v>4</v>
      </c>
      <c r="I68" s="39" t="s">
        <v>731</v>
      </c>
    </row>
    <row r="69" spans="1:9" ht="11.25" customHeight="1">
      <c r="A69" s="39" t="s">
        <v>2170</v>
      </c>
      <c r="B69" s="39" t="s">
        <v>2</v>
      </c>
      <c r="C69" s="39" t="s">
        <v>2418</v>
      </c>
      <c r="D69" s="39" t="s">
        <v>2419</v>
      </c>
      <c r="E69" s="39" t="s">
        <v>2420</v>
      </c>
      <c r="F69" s="39" t="s">
        <v>2421</v>
      </c>
      <c r="G69" t="s">
        <v>4</v>
      </c>
      <c r="H69" t="s">
        <v>4</v>
      </c>
      <c r="I69" s="39" t="s">
        <v>731</v>
      </c>
    </row>
    <row r="70" spans="1:9" ht="11.25" customHeight="1">
      <c r="A70" s="39" t="s">
        <v>2170</v>
      </c>
      <c r="B70" s="39" t="s">
        <v>2</v>
      </c>
      <c r="C70" s="39" t="s">
        <v>2422</v>
      </c>
      <c r="D70" s="39" t="s">
        <v>2423</v>
      </c>
      <c r="E70" s="39" t="s">
        <v>2424</v>
      </c>
      <c r="F70" s="39" t="s">
        <v>2425</v>
      </c>
      <c r="G70" t="s">
        <v>4</v>
      </c>
      <c r="H70" t="s">
        <v>4</v>
      </c>
      <c r="I70" s="39" t="s">
        <v>731</v>
      </c>
    </row>
    <row r="71" spans="1:9" ht="11.25" customHeight="1">
      <c r="A71" s="39" t="s">
        <v>2170</v>
      </c>
      <c r="B71" s="39" t="s">
        <v>2</v>
      </c>
      <c r="C71" s="39" t="s">
        <v>2426</v>
      </c>
      <c r="D71" s="39" t="s">
        <v>2427</v>
      </c>
      <c r="E71" s="39" t="s">
        <v>2428</v>
      </c>
      <c r="F71" s="39" t="s">
        <v>2429</v>
      </c>
      <c r="G71" t="s">
        <v>4</v>
      </c>
      <c r="H71" t="s">
        <v>4</v>
      </c>
      <c r="I71" s="39" t="s">
        <v>731</v>
      </c>
    </row>
    <row r="72" spans="1:9" ht="11.25" customHeight="1">
      <c r="A72" s="39" t="s">
        <v>2170</v>
      </c>
      <c r="B72" s="39" t="s">
        <v>2</v>
      </c>
      <c r="C72" s="39" t="s">
        <v>2430</v>
      </c>
      <c r="D72" s="39" t="s">
        <v>2431</v>
      </c>
      <c r="E72" s="39" t="s">
        <v>2432</v>
      </c>
      <c r="F72" s="39" t="s">
        <v>2433</v>
      </c>
      <c r="G72" t="s">
        <v>4</v>
      </c>
      <c r="H72" t="s">
        <v>4</v>
      </c>
      <c r="I72" s="39" t="s">
        <v>731</v>
      </c>
    </row>
    <row r="73" spans="1:9" ht="11.25" customHeight="1">
      <c r="A73" s="39" t="s">
        <v>2170</v>
      </c>
      <c r="B73" s="39" t="s">
        <v>2</v>
      </c>
      <c r="C73" s="39" t="s">
        <v>2434</v>
      </c>
      <c r="D73" s="39" t="s">
        <v>2435</v>
      </c>
      <c r="E73" s="39" t="s">
        <v>2436</v>
      </c>
      <c r="F73" s="39" t="s">
        <v>2437</v>
      </c>
      <c r="G73" s="39" t="s">
        <v>2438</v>
      </c>
      <c r="H73" t="s">
        <v>4</v>
      </c>
      <c r="I73" s="39" t="s">
        <v>731</v>
      </c>
    </row>
    <row r="74" spans="1:9" ht="11.25" customHeight="1">
      <c r="A74" s="39" t="s">
        <v>2170</v>
      </c>
      <c r="B74" s="39" t="s">
        <v>2</v>
      </c>
      <c r="C74" s="39" t="s">
        <v>2439</v>
      </c>
      <c r="D74" s="39" t="s">
        <v>2440</v>
      </c>
      <c r="E74" s="39" t="s">
        <v>2441</v>
      </c>
      <c r="F74" s="39" t="s">
        <v>2442</v>
      </c>
      <c r="G74" t="s">
        <v>4</v>
      </c>
      <c r="H74" t="s">
        <v>4</v>
      </c>
      <c r="I74" s="39" t="s">
        <v>731</v>
      </c>
    </row>
    <row r="75" spans="1:9" ht="11.25" customHeight="1">
      <c r="A75" s="39" t="s">
        <v>2170</v>
      </c>
      <c r="B75" s="39" t="s">
        <v>2</v>
      </c>
      <c r="C75" s="39" t="s">
        <v>2443</v>
      </c>
      <c r="D75" s="39" t="s">
        <v>2444</v>
      </c>
      <c r="E75" s="39" t="s">
        <v>2445</v>
      </c>
      <c r="F75" s="39" t="s">
        <v>2291</v>
      </c>
      <c r="G75" s="39" t="s">
        <v>2446</v>
      </c>
      <c r="H75" t="s">
        <v>4</v>
      </c>
      <c r="I75" s="39" t="s">
        <v>731</v>
      </c>
    </row>
    <row r="76" spans="1:9" ht="11.25" customHeight="1">
      <c r="A76" s="39" t="s">
        <v>2170</v>
      </c>
      <c r="B76" s="39" t="s">
        <v>2</v>
      </c>
      <c r="C76" s="39" t="s">
        <v>2447</v>
      </c>
      <c r="D76" s="39" t="s">
        <v>2448</v>
      </c>
      <c r="E76" s="39" t="s">
        <v>2449</v>
      </c>
      <c r="F76" s="39" t="s">
        <v>2349</v>
      </c>
      <c r="G76" t="s">
        <v>4</v>
      </c>
      <c r="H76" t="s">
        <v>4</v>
      </c>
      <c r="I76" s="39" t="s">
        <v>731</v>
      </c>
    </row>
    <row r="77" spans="1:9" ht="11.25" customHeight="1">
      <c r="A77" s="39" t="s">
        <v>2170</v>
      </c>
      <c r="B77" s="39" t="s">
        <v>2</v>
      </c>
      <c r="C77" s="39" t="s">
        <v>2450</v>
      </c>
      <c r="D77" s="39" t="s">
        <v>2451</v>
      </c>
      <c r="E77" s="39" t="s">
        <v>2452</v>
      </c>
      <c r="F77" s="39" t="s">
        <v>2291</v>
      </c>
      <c r="G77" s="39" t="s">
        <v>2453</v>
      </c>
      <c r="H77" t="s">
        <v>4</v>
      </c>
      <c r="I77" s="39" t="s">
        <v>731</v>
      </c>
    </row>
    <row r="78" spans="1:9" ht="11.25" customHeight="1">
      <c r="A78" s="39" t="s">
        <v>2170</v>
      </c>
      <c r="B78" s="39" t="s">
        <v>2</v>
      </c>
      <c r="C78" s="39" t="s">
        <v>2454</v>
      </c>
      <c r="D78" s="39" t="s">
        <v>2455</v>
      </c>
      <c r="E78" s="39" t="s">
        <v>2456</v>
      </c>
      <c r="F78" s="39" t="s">
        <v>2176</v>
      </c>
      <c r="G78" t="s">
        <v>4</v>
      </c>
      <c r="H78" t="s">
        <v>4</v>
      </c>
      <c r="I78" s="39" t="s">
        <v>731</v>
      </c>
    </row>
    <row r="79" spans="1:9" ht="11.25" customHeight="1">
      <c r="A79" s="39" t="s">
        <v>2170</v>
      </c>
      <c r="B79" s="39" t="s">
        <v>2</v>
      </c>
      <c r="C79" s="39" t="s">
        <v>2457</v>
      </c>
      <c r="D79" s="39" t="s">
        <v>2458</v>
      </c>
      <c r="E79" s="39" t="s">
        <v>2459</v>
      </c>
      <c r="F79" s="39" t="s">
        <v>2215</v>
      </c>
      <c r="G79" t="s">
        <v>4</v>
      </c>
      <c r="H79" t="s">
        <v>4</v>
      </c>
      <c r="I79" s="39" t="s">
        <v>731</v>
      </c>
    </row>
    <row r="80" spans="1:9" ht="11.25" customHeight="1">
      <c r="A80" s="39" t="s">
        <v>2170</v>
      </c>
      <c r="B80" s="39" t="s">
        <v>2</v>
      </c>
      <c r="C80" s="39" t="s">
        <v>2460</v>
      </c>
      <c r="D80" s="39" t="s">
        <v>2461</v>
      </c>
      <c r="E80" s="39" t="s">
        <v>2462</v>
      </c>
      <c r="F80" s="39" t="s">
        <v>2291</v>
      </c>
      <c r="G80" t="s">
        <v>4</v>
      </c>
      <c r="H80" t="s">
        <v>4</v>
      </c>
      <c r="I80" s="39" t="s">
        <v>731</v>
      </c>
    </row>
    <row r="81" spans="1:9" ht="11.25" customHeight="1">
      <c r="A81" s="39" t="s">
        <v>2170</v>
      </c>
      <c r="B81" s="39" t="s">
        <v>2</v>
      </c>
      <c r="C81" s="39" t="s">
        <v>2463</v>
      </c>
      <c r="D81" s="39" t="s">
        <v>2464</v>
      </c>
      <c r="E81" s="39" t="s">
        <v>2465</v>
      </c>
      <c r="F81" s="39" t="s">
        <v>2466</v>
      </c>
      <c r="G81" t="s">
        <v>4</v>
      </c>
      <c r="H81" t="s">
        <v>4</v>
      </c>
      <c r="I81" s="39" t="s">
        <v>731</v>
      </c>
    </row>
    <row r="82" spans="1:9" ht="11.25" customHeight="1">
      <c r="A82" s="39" t="s">
        <v>2170</v>
      </c>
      <c r="B82" s="39" t="s">
        <v>2</v>
      </c>
      <c r="C82" s="39" t="s">
        <v>2467</v>
      </c>
      <c r="D82" s="39" t="s">
        <v>2468</v>
      </c>
      <c r="E82" s="39" t="s">
        <v>2469</v>
      </c>
      <c r="F82" s="39" t="s">
        <v>2263</v>
      </c>
      <c r="G82" t="s">
        <v>4</v>
      </c>
      <c r="H82" t="s">
        <v>4</v>
      </c>
      <c r="I82" s="39" t="s">
        <v>731</v>
      </c>
    </row>
    <row r="83" spans="1:9" ht="11.25" customHeight="1">
      <c r="A83" s="39" t="s">
        <v>2170</v>
      </c>
      <c r="B83" s="39" t="s">
        <v>2</v>
      </c>
      <c r="C83" s="39" t="s">
        <v>2470</v>
      </c>
      <c r="D83" s="39" t="s">
        <v>2471</v>
      </c>
      <c r="E83" s="39" t="s">
        <v>2424</v>
      </c>
      <c r="F83" s="39" t="s">
        <v>2472</v>
      </c>
      <c r="G83" s="39" t="s">
        <v>2473</v>
      </c>
      <c r="H83" t="s">
        <v>4</v>
      </c>
      <c r="I83" s="39" t="s">
        <v>731</v>
      </c>
    </row>
    <row r="84" spans="1:9" ht="11.25" customHeight="1">
      <c r="A84" s="39" t="s">
        <v>2170</v>
      </c>
      <c r="B84" s="39" t="s">
        <v>2</v>
      </c>
      <c r="C84" s="39" t="s">
        <v>2474</v>
      </c>
      <c r="D84" s="39" t="s">
        <v>2475</v>
      </c>
      <c r="E84" s="39" t="s">
        <v>2476</v>
      </c>
      <c r="F84" s="39" t="s">
        <v>2176</v>
      </c>
      <c r="G84" t="s">
        <v>4</v>
      </c>
      <c r="H84" t="s">
        <v>4</v>
      </c>
      <c r="I84" s="39" t="s">
        <v>731</v>
      </c>
    </row>
    <row r="85" spans="1:9" ht="11.25" customHeight="1">
      <c r="A85" s="39" t="s">
        <v>2170</v>
      </c>
      <c r="B85" s="39" t="s">
        <v>2</v>
      </c>
      <c r="C85" s="39" t="s">
        <v>2477</v>
      </c>
      <c r="D85" s="39" t="s">
        <v>2478</v>
      </c>
      <c r="E85" s="39" t="s">
        <v>2479</v>
      </c>
      <c r="F85" s="39" t="s">
        <v>2480</v>
      </c>
      <c r="G85" s="39" t="s">
        <v>2481</v>
      </c>
      <c r="H85" t="s">
        <v>4</v>
      </c>
      <c r="I85" s="39" t="s">
        <v>731</v>
      </c>
    </row>
    <row r="86" spans="1:9" ht="11.25" customHeight="1">
      <c r="A86" s="39" t="s">
        <v>2170</v>
      </c>
      <c r="B86" s="39" t="s">
        <v>2</v>
      </c>
      <c r="C86" s="39" t="s">
        <v>2482</v>
      </c>
      <c r="D86" s="39" t="s">
        <v>2483</v>
      </c>
      <c r="E86" s="39" t="s">
        <v>2484</v>
      </c>
      <c r="F86" s="39" t="s">
        <v>2215</v>
      </c>
      <c r="G86" t="s">
        <v>4</v>
      </c>
      <c r="H86" t="s">
        <v>4</v>
      </c>
      <c r="I86" s="39" t="s">
        <v>731</v>
      </c>
    </row>
    <row r="87" spans="1:9" ht="11.25" customHeight="1">
      <c r="A87" s="39" t="s">
        <v>2170</v>
      </c>
      <c r="B87" s="39" t="s">
        <v>2</v>
      </c>
      <c r="C87" s="39" t="s">
        <v>2485</v>
      </c>
      <c r="D87" s="39" t="s">
        <v>2486</v>
      </c>
      <c r="E87" s="39" t="s">
        <v>2487</v>
      </c>
      <c r="F87" s="39" t="s">
        <v>2488</v>
      </c>
      <c r="G87" t="s">
        <v>4</v>
      </c>
      <c r="H87" t="s">
        <v>4</v>
      </c>
      <c r="I87" s="39" t="s">
        <v>731</v>
      </c>
    </row>
    <row r="88" spans="1:9" ht="11.25" customHeight="1">
      <c r="A88" s="39" t="s">
        <v>2170</v>
      </c>
      <c r="B88" s="39" t="s">
        <v>2</v>
      </c>
      <c r="C88" s="39" t="s">
        <v>2489</v>
      </c>
      <c r="D88" s="39" t="s">
        <v>2490</v>
      </c>
      <c r="E88" s="39" t="s">
        <v>2491</v>
      </c>
      <c r="F88" s="39" t="s">
        <v>15</v>
      </c>
      <c r="G88" t="s">
        <v>4</v>
      </c>
      <c r="H88" t="s">
        <v>4</v>
      </c>
      <c r="I88" s="39" t="s">
        <v>731</v>
      </c>
    </row>
    <row r="89" spans="1:9" ht="11.25" customHeight="1">
      <c r="A89" s="39" t="s">
        <v>2170</v>
      </c>
      <c r="B89" s="39" t="s">
        <v>2</v>
      </c>
      <c r="C89" s="39" t="s">
        <v>2492</v>
      </c>
      <c r="D89" s="39" t="s">
        <v>2493</v>
      </c>
      <c r="E89" s="39" t="s">
        <v>2494</v>
      </c>
      <c r="F89" s="39" t="s">
        <v>2291</v>
      </c>
      <c r="G89" t="s">
        <v>4</v>
      </c>
      <c r="H89" t="s">
        <v>4</v>
      </c>
      <c r="I89" s="39" t="s">
        <v>731</v>
      </c>
    </row>
    <row r="90" spans="1:9" ht="11.25" customHeight="1">
      <c r="A90" s="39" t="s">
        <v>2170</v>
      </c>
      <c r="B90" s="39" t="s">
        <v>2</v>
      </c>
      <c r="C90" s="39" t="s">
        <v>2495</v>
      </c>
      <c r="D90" s="39" t="s">
        <v>2496</v>
      </c>
      <c r="E90" s="39" t="s">
        <v>2497</v>
      </c>
      <c r="F90" s="39" t="s">
        <v>2180</v>
      </c>
      <c r="G90" s="39" t="s">
        <v>2498</v>
      </c>
      <c r="H90" t="s">
        <v>4</v>
      </c>
      <c r="I90" s="39" t="s">
        <v>731</v>
      </c>
    </row>
    <row r="91" spans="1:9" ht="11.25" customHeight="1">
      <c r="A91" s="39" t="s">
        <v>2170</v>
      </c>
      <c r="B91" s="39" t="s">
        <v>2</v>
      </c>
      <c r="C91" s="39" t="s">
        <v>2499</v>
      </c>
      <c r="D91" s="39" t="s">
        <v>2500</v>
      </c>
      <c r="E91" s="39" t="s">
        <v>2501</v>
      </c>
      <c r="F91" s="39" t="s">
        <v>2263</v>
      </c>
      <c r="G91" s="39" t="s">
        <v>2502</v>
      </c>
      <c r="H91" t="s">
        <v>4</v>
      </c>
      <c r="I91" s="39" t="s">
        <v>731</v>
      </c>
    </row>
    <row r="92" spans="1:9" ht="11.25" customHeight="1">
      <c r="A92" s="39" t="s">
        <v>2170</v>
      </c>
      <c r="B92" s="39" t="s">
        <v>2</v>
      </c>
      <c r="C92" s="39" t="s">
        <v>2503</v>
      </c>
      <c r="D92" s="39" t="s">
        <v>2500</v>
      </c>
      <c r="E92" s="39" t="s">
        <v>2501</v>
      </c>
      <c r="F92" s="39" t="s">
        <v>2180</v>
      </c>
      <c r="G92" s="39" t="s">
        <v>2504</v>
      </c>
      <c r="H92" t="s">
        <v>4</v>
      </c>
      <c r="I92" s="39" t="s">
        <v>731</v>
      </c>
    </row>
    <row r="93" spans="1:9" ht="11.25" customHeight="1">
      <c r="A93" s="39" t="s">
        <v>2170</v>
      </c>
      <c r="B93" s="39" t="s">
        <v>2</v>
      </c>
      <c r="C93" s="39" t="s">
        <v>2505</v>
      </c>
      <c r="D93" s="39" t="s">
        <v>2506</v>
      </c>
      <c r="E93" s="39" t="s">
        <v>2507</v>
      </c>
      <c r="F93" s="39" t="s">
        <v>2284</v>
      </c>
      <c r="G93" t="s">
        <v>4</v>
      </c>
      <c r="H93" t="s">
        <v>4</v>
      </c>
      <c r="I93" s="39" t="s">
        <v>731</v>
      </c>
    </row>
    <row r="94" spans="1:9" ht="11.25" customHeight="1">
      <c r="A94" s="39" t="s">
        <v>2170</v>
      </c>
      <c r="B94" s="39" t="s">
        <v>2</v>
      </c>
      <c r="C94" s="39" t="s">
        <v>2508</v>
      </c>
      <c r="D94" s="39" t="s">
        <v>2509</v>
      </c>
      <c r="E94" s="39" t="s">
        <v>2510</v>
      </c>
      <c r="F94" s="39" t="s">
        <v>2511</v>
      </c>
      <c r="G94" t="s">
        <v>4</v>
      </c>
      <c r="H94" t="s">
        <v>4</v>
      </c>
      <c r="I94" s="39" t="s">
        <v>731</v>
      </c>
    </row>
    <row r="95" spans="1:9" ht="11.25" customHeight="1">
      <c r="A95" s="39" t="s">
        <v>2170</v>
      </c>
      <c r="B95" s="39" t="s">
        <v>2</v>
      </c>
      <c r="C95" s="39" t="s">
        <v>2512</v>
      </c>
      <c r="D95" s="39" t="s">
        <v>2513</v>
      </c>
      <c r="E95" s="39" t="s">
        <v>2514</v>
      </c>
      <c r="F95" s="39" t="s">
        <v>2511</v>
      </c>
      <c r="G95" s="39" t="s">
        <v>2515</v>
      </c>
      <c r="H95" t="s">
        <v>4</v>
      </c>
      <c r="I95" s="39" t="s">
        <v>731</v>
      </c>
    </row>
    <row r="96" spans="1:9" ht="11.25" customHeight="1">
      <c r="A96" s="39" t="s">
        <v>2170</v>
      </c>
      <c r="B96" s="39" t="s">
        <v>2</v>
      </c>
      <c r="C96" s="39" t="s">
        <v>2516</v>
      </c>
      <c r="D96" s="39" t="s">
        <v>2517</v>
      </c>
      <c r="E96" s="39" t="s">
        <v>2518</v>
      </c>
      <c r="F96" s="39" t="s">
        <v>2180</v>
      </c>
      <c r="G96" t="s">
        <v>4</v>
      </c>
      <c r="H96" t="s">
        <v>4</v>
      </c>
      <c r="I96" s="39" t="s">
        <v>731</v>
      </c>
    </row>
    <row r="97" spans="1:9" ht="11.25" customHeight="1">
      <c r="A97" s="39" t="s">
        <v>2170</v>
      </c>
      <c r="B97" s="39" t="s">
        <v>2</v>
      </c>
      <c r="C97" s="39" t="s">
        <v>2519</v>
      </c>
      <c r="D97" s="39" t="s">
        <v>2520</v>
      </c>
      <c r="E97" s="39" t="s">
        <v>2521</v>
      </c>
      <c r="F97" s="39" t="s">
        <v>2522</v>
      </c>
      <c r="G97" t="s">
        <v>4</v>
      </c>
      <c r="H97" t="s">
        <v>4</v>
      </c>
      <c r="I97" s="39" t="s">
        <v>731</v>
      </c>
    </row>
    <row r="98" spans="1:9" ht="11.25" customHeight="1">
      <c r="A98" s="39" t="s">
        <v>2170</v>
      </c>
      <c r="B98" s="39" t="s">
        <v>2</v>
      </c>
      <c r="C98" s="39" t="s">
        <v>2523</v>
      </c>
      <c r="D98" s="39" t="s">
        <v>2524</v>
      </c>
      <c r="E98" s="39" t="s">
        <v>2525</v>
      </c>
      <c r="F98" s="39" t="s">
        <v>2215</v>
      </c>
      <c r="G98" t="s">
        <v>4</v>
      </c>
      <c r="H98" s="39" t="s">
        <v>2526</v>
      </c>
      <c r="I98" s="39" t="s">
        <v>731</v>
      </c>
    </row>
    <row r="99" spans="1:9" ht="11.25" customHeight="1">
      <c r="A99" s="39" t="s">
        <v>2170</v>
      </c>
      <c r="B99" s="39" t="s">
        <v>2</v>
      </c>
      <c r="C99" s="39" t="s">
        <v>2527</v>
      </c>
      <c r="D99" s="39" t="s">
        <v>2528</v>
      </c>
      <c r="E99" s="39" t="s">
        <v>2529</v>
      </c>
      <c r="F99" s="39" t="s">
        <v>2180</v>
      </c>
      <c r="G99" s="39" t="s">
        <v>2530</v>
      </c>
      <c r="H99" t="s">
        <v>4</v>
      </c>
      <c r="I99" s="39" t="s">
        <v>731</v>
      </c>
    </row>
    <row r="100" spans="1:9" ht="11.25" customHeight="1">
      <c r="A100" s="39" t="s">
        <v>2170</v>
      </c>
      <c r="B100" s="39" t="s">
        <v>2</v>
      </c>
      <c r="C100" s="39" t="s">
        <v>2531</v>
      </c>
      <c r="D100" s="39" t="s">
        <v>2532</v>
      </c>
      <c r="E100" s="39" t="s">
        <v>2533</v>
      </c>
      <c r="F100" s="39" t="s">
        <v>2193</v>
      </c>
      <c r="G100" t="s">
        <v>4</v>
      </c>
      <c r="H100" t="s">
        <v>4</v>
      </c>
      <c r="I100" s="39" t="s">
        <v>731</v>
      </c>
    </row>
    <row r="101" spans="1:9" ht="11.25" customHeight="1">
      <c r="A101" s="39" t="s">
        <v>2170</v>
      </c>
      <c r="B101" s="39" t="s">
        <v>2</v>
      </c>
      <c r="C101" s="39" t="s">
        <v>2534</v>
      </c>
      <c r="D101" s="39" t="s">
        <v>2535</v>
      </c>
      <c r="E101" s="39" t="s">
        <v>2536</v>
      </c>
      <c r="F101" s="39" t="s">
        <v>2442</v>
      </c>
      <c r="G101" t="s">
        <v>4</v>
      </c>
      <c r="H101" t="s">
        <v>4</v>
      </c>
      <c r="I101" s="39" t="s">
        <v>731</v>
      </c>
    </row>
    <row r="102" spans="1:9" ht="11.25" customHeight="1">
      <c r="A102" s="39" t="s">
        <v>2170</v>
      </c>
      <c r="B102" s="39" t="s">
        <v>2</v>
      </c>
      <c r="C102" s="39" t="s">
        <v>2537</v>
      </c>
      <c r="D102" s="39" t="s">
        <v>2538</v>
      </c>
      <c r="E102" s="39" t="s">
        <v>2539</v>
      </c>
      <c r="F102" s="39" t="s">
        <v>2364</v>
      </c>
      <c r="G102" t="s">
        <v>4</v>
      </c>
      <c r="H102" t="s">
        <v>4</v>
      </c>
      <c r="I102" s="39" t="s">
        <v>731</v>
      </c>
    </row>
    <row r="103" spans="1:9" ht="11.25" customHeight="1">
      <c r="A103" s="39" t="s">
        <v>2170</v>
      </c>
      <c r="B103" s="39" t="s">
        <v>2</v>
      </c>
      <c r="C103" s="39" t="s">
        <v>2540</v>
      </c>
      <c r="D103" s="39" t="s">
        <v>2541</v>
      </c>
      <c r="E103" s="39" t="s">
        <v>2542</v>
      </c>
      <c r="F103" s="39" t="s">
        <v>2180</v>
      </c>
      <c r="G103" t="s">
        <v>4</v>
      </c>
      <c r="H103" t="s">
        <v>4</v>
      </c>
      <c r="I103" s="39" t="s">
        <v>731</v>
      </c>
    </row>
    <row r="104" spans="1:9" ht="11.25" customHeight="1">
      <c r="A104" s="39" t="s">
        <v>2170</v>
      </c>
      <c r="B104" s="39" t="s">
        <v>2</v>
      </c>
      <c r="C104" s="39" t="s">
        <v>2543</v>
      </c>
      <c r="D104" s="39" t="s">
        <v>2544</v>
      </c>
      <c r="E104" s="39" t="s">
        <v>2545</v>
      </c>
      <c r="F104" s="39" t="s">
        <v>2546</v>
      </c>
      <c r="G104" s="39" t="s">
        <v>2547</v>
      </c>
      <c r="H104" t="s">
        <v>4</v>
      </c>
      <c r="I104" s="39" t="s">
        <v>731</v>
      </c>
    </row>
    <row r="105" spans="1:9" ht="11.25" customHeight="1">
      <c r="A105" s="39" t="s">
        <v>2170</v>
      </c>
      <c r="B105" s="39" t="s">
        <v>2</v>
      </c>
      <c r="C105" s="39" t="s">
        <v>2548</v>
      </c>
      <c r="D105" s="39" t="s">
        <v>2549</v>
      </c>
      <c r="E105" s="39" t="s">
        <v>2550</v>
      </c>
      <c r="F105" s="39" t="s">
        <v>2207</v>
      </c>
      <c r="G105" t="s">
        <v>4</v>
      </c>
      <c r="H105" t="s">
        <v>4</v>
      </c>
      <c r="I105" s="39" t="s">
        <v>731</v>
      </c>
    </row>
    <row r="106" spans="1:9" ht="11.25" customHeight="1">
      <c r="A106" s="39" t="s">
        <v>2170</v>
      </c>
      <c r="B106" s="39" t="s">
        <v>2</v>
      </c>
      <c r="C106" s="39" t="s">
        <v>2551</v>
      </c>
      <c r="D106" s="39" t="s">
        <v>2552</v>
      </c>
      <c r="E106" s="39" t="s">
        <v>2553</v>
      </c>
      <c r="F106" s="39" t="s">
        <v>2271</v>
      </c>
      <c r="G106" s="39" t="s">
        <v>2554</v>
      </c>
      <c r="H106" t="s">
        <v>4</v>
      </c>
      <c r="I106" s="39" t="s">
        <v>731</v>
      </c>
    </row>
    <row r="107" spans="1:9" ht="11.25" customHeight="1">
      <c r="A107" s="39" t="s">
        <v>2170</v>
      </c>
      <c r="B107" s="39" t="s">
        <v>2</v>
      </c>
      <c r="C107" s="39" t="s">
        <v>2555</v>
      </c>
      <c r="D107" s="39" t="s">
        <v>2556</v>
      </c>
      <c r="E107" s="39" t="s">
        <v>2557</v>
      </c>
      <c r="F107" s="39" t="s">
        <v>2558</v>
      </c>
      <c r="G107" t="s">
        <v>4</v>
      </c>
      <c r="H107" t="s">
        <v>4</v>
      </c>
      <c r="I107" s="39" t="s">
        <v>731</v>
      </c>
    </row>
    <row r="108" spans="1:9" ht="11.25" customHeight="1">
      <c r="A108" s="39" t="s">
        <v>2170</v>
      </c>
      <c r="B108" s="39" t="s">
        <v>2</v>
      </c>
      <c r="C108" s="39" t="s">
        <v>2559</v>
      </c>
      <c r="D108" s="39" t="s">
        <v>2560</v>
      </c>
      <c r="E108" s="39" t="s">
        <v>2561</v>
      </c>
      <c r="F108" s="39" t="s">
        <v>2562</v>
      </c>
      <c r="G108" s="39" t="s">
        <v>2563</v>
      </c>
      <c r="H108" t="s">
        <v>4</v>
      </c>
      <c r="I108" s="39" t="s">
        <v>731</v>
      </c>
    </row>
    <row r="109" spans="1:9" ht="11.25" customHeight="1">
      <c r="A109" s="39" t="s">
        <v>2170</v>
      </c>
      <c r="B109" s="39" t="s">
        <v>2</v>
      </c>
      <c r="C109" s="39" t="s">
        <v>2564</v>
      </c>
      <c r="D109" s="39" t="s">
        <v>2565</v>
      </c>
      <c r="E109" s="39" t="s">
        <v>2566</v>
      </c>
      <c r="F109" s="39" t="s">
        <v>2567</v>
      </c>
      <c r="G109" t="s">
        <v>4</v>
      </c>
      <c r="H109" t="s">
        <v>4</v>
      </c>
      <c r="I109" s="39" t="s">
        <v>731</v>
      </c>
    </row>
    <row r="110" spans="1:9" ht="11.25" customHeight="1">
      <c r="A110" s="39" t="s">
        <v>2170</v>
      </c>
      <c r="B110" s="39" t="s">
        <v>2</v>
      </c>
      <c r="C110" s="39" t="s">
        <v>2568</v>
      </c>
      <c r="D110" s="39" t="s">
        <v>2569</v>
      </c>
      <c r="E110" s="39" t="s">
        <v>2570</v>
      </c>
      <c r="F110" s="39" t="s">
        <v>2385</v>
      </c>
      <c r="G110" t="s">
        <v>4</v>
      </c>
      <c r="H110" t="s">
        <v>4</v>
      </c>
      <c r="I110" s="39" t="s">
        <v>731</v>
      </c>
    </row>
    <row r="111" spans="1:9" ht="11.25" customHeight="1">
      <c r="A111" s="39" t="s">
        <v>2170</v>
      </c>
      <c r="B111" s="39" t="s">
        <v>2</v>
      </c>
      <c r="C111" s="39" t="s">
        <v>2571</v>
      </c>
      <c r="D111" s="39" t="s">
        <v>2572</v>
      </c>
      <c r="E111" s="39" t="s">
        <v>2573</v>
      </c>
      <c r="F111" s="39" t="s">
        <v>2558</v>
      </c>
      <c r="G111" s="39" t="s">
        <v>2574</v>
      </c>
      <c r="H111" t="s">
        <v>4</v>
      </c>
      <c r="I111" s="39" t="s">
        <v>731</v>
      </c>
    </row>
    <row r="112" spans="1:9" ht="11.25" customHeight="1">
      <c r="A112" s="39" t="s">
        <v>2170</v>
      </c>
      <c r="B112" s="39" t="s">
        <v>2</v>
      </c>
      <c r="C112" s="39" t="s">
        <v>2575</v>
      </c>
      <c r="D112" s="39" t="s">
        <v>2576</v>
      </c>
      <c r="E112" s="39" t="s">
        <v>2577</v>
      </c>
      <c r="F112" s="39" t="s">
        <v>2252</v>
      </c>
      <c r="G112" t="s">
        <v>4</v>
      </c>
      <c r="H112" t="s">
        <v>4</v>
      </c>
      <c r="I112" s="39" t="s">
        <v>731</v>
      </c>
    </row>
    <row r="113" spans="1:9" ht="11.25" customHeight="1">
      <c r="A113" s="39" t="s">
        <v>2170</v>
      </c>
      <c r="B113" s="39" t="s">
        <v>2</v>
      </c>
      <c r="C113" s="39" t="s">
        <v>2578</v>
      </c>
      <c r="D113" s="39" t="s">
        <v>2579</v>
      </c>
      <c r="E113" s="39" t="s">
        <v>2580</v>
      </c>
      <c r="F113" s="39" t="s">
        <v>2236</v>
      </c>
      <c r="G113" t="s">
        <v>4</v>
      </c>
      <c r="H113" t="s">
        <v>4</v>
      </c>
      <c r="I113" s="39" t="s">
        <v>731</v>
      </c>
    </row>
    <row r="114" spans="1:9" ht="11.25" customHeight="1">
      <c r="A114" s="39" t="s">
        <v>2170</v>
      </c>
      <c r="B114" s="39" t="s">
        <v>2</v>
      </c>
      <c r="C114" s="39" t="s">
        <v>2581</v>
      </c>
      <c r="D114" s="39" t="s">
        <v>2582</v>
      </c>
      <c r="E114" s="39" t="s">
        <v>2583</v>
      </c>
      <c r="F114" s="39" t="s">
        <v>2284</v>
      </c>
      <c r="G114" t="s">
        <v>4</v>
      </c>
      <c r="H114" t="s">
        <v>4</v>
      </c>
      <c r="I114" s="39" t="s">
        <v>731</v>
      </c>
    </row>
    <row r="115" spans="1:9" ht="11.25" customHeight="1">
      <c r="A115" s="39" t="s">
        <v>2170</v>
      </c>
      <c r="B115" s="39" t="s">
        <v>2</v>
      </c>
      <c r="C115" s="39" t="s">
        <v>2584</v>
      </c>
      <c r="D115" s="39" t="s">
        <v>2585</v>
      </c>
      <c r="E115" s="39" t="s">
        <v>2586</v>
      </c>
      <c r="F115" s="39" t="s">
        <v>2349</v>
      </c>
      <c r="G115" t="s">
        <v>4</v>
      </c>
      <c r="H115" t="s">
        <v>4</v>
      </c>
      <c r="I115" s="39" t="s">
        <v>731</v>
      </c>
    </row>
    <row r="116" spans="1:9" ht="11.25" customHeight="1">
      <c r="A116" s="39" t="s">
        <v>2170</v>
      </c>
      <c r="B116" s="39" t="s">
        <v>2</v>
      </c>
      <c r="C116" s="39" t="s">
        <v>2587</v>
      </c>
      <c r="D116" s="39" t="s">
        <v>2588</v>
      </c>
      <c r="E116" s="39" t="s">
        <v>2589</v>
      </c>
      <c r="F116" s="39" t="s">
        <v>2236</v>
      </c>
      <c r="G116" t="s">
        <v>4</v>
      </c>
      <c r="H116" t="s">
        <v>4</v>
      </c>
      <c r="I116" s="39" t="s">
        <v>731</v>
      </c>
    </row>
    <row r="117" spans="1:9" ht="11.25" customHeight="1">
      <c r="A117" s="39" t="s">
        <v>2170</v>
      </c>
      <c r="B117" s="39" t="s">
        <v>2</v>
      </c>
      <c r="C117" s="39" t="s">
        <v>2590</v>
      </c>
      <c r="D117" s="39" t="s">
        <v>2591</v>
      </c>
      <c r="E117" s="39" t="s">
        <v>2592</v>
      </c>
      <c r="F117" s="39" t="s">
        <v>2593</v>
      </c>
      <c r="G117" s="39" t="s">
        <v>2594</v>
      </c>
      <c r="H117" t="s">
        <v>4</v>
      </c>
      <c r="I117" s="39" t="s">
        <v>731</v>
      </c>
    </row>
    <row r="118" spans="1:9" ht="11.25" customHeight="1">
      <c r="A118" s="39" t="s">
        <v>2170</v>
      </c>
      <c r="B118" s="39" t="s">
        <v>2</v>
      </c>
      <c r="C118" s="39" t="s">
        <v>2595</v>
      </c>
      <c r="D118" s="39" t="s">
        <v>2596</v>
      </c>
      <c r="E118" s="39" t="s">
        <v>2597</v>
      </c>
      <c r="F118" s="39" t="s">
        <v>2248</v>
      </c>
      <c r="G118" t="s">
        <v>4</v>
      </c>
      <c r="H118" t="s">
        <v>4</v>
      </c>
      <c r="I118" s="39" t="s">
        <v>731</v>
      </c>
    </row>
    <row r="119" spans="1:9" ht="11.25" customHeight="1">
      <c r="A119" s="39" t="s">
        <v>2170</v>
      </c>
      <c r="B119" s="39" t="s">
        <v>2</v>
      </c>
      <c r="C119" s="39" t="s">
        <v>2598</v>
      </c>
      <c r="D119" s="39" t="s">
        <v>2599</v>
      </c>
      <c r="E119" s="39" t="s">
        <v>2600</v>
      </c>
      <c r="F119" s="39" t="s">
        <v>2215</v>
      </c>
      <c r="G119" t="s">
        <v>4</v>
      </c>
      <c r="H119" t="s">
        <v>4</v>
      </c>
      <c r="I119" s="39" t="s">
        <v>731</v>
      </c>
    </row>
    <row r="120" spans="1:9" ht="11.25" customHeight="1">
      <c r="A120" s="39" t="s">
        <v>2170</v>
      </c>
      <c r="B120" s="39" t="s">
        <v>2</v>
      </c>
      <c r="C120" s="39" t="s">
        <v>2601</v>
      </c>
      <c r="D120" s="39" t="s">
        <v>2602</v>
      </c>
      <c r="E120" s="39" t="s">
        <v>2603</v>
      </c>
      <c r="F120" s="39" t="s">
        <v>2522</v>
      </c>
      <c r="G120" t="s">
        <v>4</v>
      </c>
      <c r="H120" t="s">
        <v>4</v>
      </c>
      <c r="I120" s="39" t="s">
        <v>731</v>
      </c>
    </row>
    <row r="121" spans="1:9" ht="11.25" customHeight="1">
      <c r="A121" s="39" t="s">
        <v>2170</v>
      </c>
      <c r="B121" s="39" t="s">
        <v>2</v>
      </c>
      <c r="C121" s="39" t="s">
        <v>2604</v>
      </c>
      <c r="D121" s="39" t="s">
        <v>2605</v>
      </c>
      <c r="E121" s="39" t="s">
        <v>2606</v>
      </c>
      <c r="F121" s="39" t="s">
        <v>2295</v>
      </c>
      <c r="G121" t="s">
        <v>4</v>
      </c>
      <c r="H121" t="s">
        <v>4</v>
      </c>
      <c r="I121" s="39" t="s">
        <v>731</v>
      </c>
    </row>
    <row r="122" spans="1:9" ht="11.25" customHeight="1">
      <c r="A122" s="39" t="s">
        <v>2170</v>
      </c>
      <c r="B122" s="39" t="s">
        <v>2</v>
      </c>
      <c r="C122" s="39" t="s">
        <v>2607</v>
      </c>
      <c r="D122" s="39" t="s">
        <v>2608</v>
      </c>
      <c r="E122" s="39" t="s">
        <v>2609</v>
      </c>
      <c r="F122" s="39" t="s">
        <v>2610</v>
      </c>
      <c r="G122" t="s">
        <v>4</v>
      </c>
      <c r="H122" t="s">
        <v>4</v>
      </c>
      <c r="I122" s="39" t="s">
        <v>731</v>
      </c>
    </row>
    <row r="123" spans="1:9" ht="11.25" customHeight="1">
      <c r="A123" s="39" t="s">
        <v>2170</v>
      </c>
      <c r="B123" s="39" t="s">
        <v>2</v>
      </c>
      <c r="C123" s="39" t="s">
        <v>2611</v>
      </c>
      <c r="D123" s="39" t="s">
        <v>2612</v>
      </c>
      <c r="E123" s="39" t="s">
        <v>2613</v>
      </c>
      <c r="F123" s="39" t="s">
        <v>2244</v>
      </c>
      <c r="G123" s="39" t="s">
        <v>2614</v>
      </c>
      <c r="H123" t="s">
        <v>4</v>
      </c>
      <c r="I123" s="39" t="s">
        <v>731</v>
      </c>
    </row>
    <row r="124" spans="1:9" ht="11.25" customHeight="1">
      <c r="A124" s="39" t="s">
        <v>2170</v>
      </c>
      <c r="B124" s="39" t="s">
        <v>2</v>
      </c>
      <c r="C124" s="39" t="s">
        <v>2615</v>
      </c>
      <c r="D124" s="39" t="s">
        <v>2616</v>
      </c>
      <c r="E124" s="39" t="s">
        <v>2617</v>
      </c>
      <c r="F124" s="39" t="s">
        <v>2198</v>
      </c>
      <c r="G124" t="s">
        <v>4</v>
      </c>
      <c r="H124" t="s">
        <v>4</v>
      </c>
      <c r="I124" s="39" t="s">
        <v>731</v>
      </c>
    </row>
    <row r="125" spans="1:9" ht="11.25" customHeight="1">
      <c r="A125" s="39" t="s">
        <v>2170</v>
      </c>
      <c r="B125" s="39" t="s">
        <v>2</v>
      </c>
      <c r="C125" s="39" t="s">
        <v>2618</v>
      </c>
      <c r="D125" s="39" t="s">
        <v>2619</v>
      </c>
      <c r="E125" s="39" t="s">
        <v>2620</v>
      </c>
      <c r="F125" s="39" t="s">
        <v>2621</v>
      </c>
      <c r="G125" s="39" t="s">
        <v>2622</v>
      </c>
      <c r="H125" t="s">
        <v>4</v>
      </c>
      <c r="I125" s="39" t="s">
        <v>731</v>
      </c>
    </row>
    <row r="126" spans="1:9" ht="11.25" customHeight="1">
      <c r="A126" s="39" t="s">
        <v>2170</v>
      </c>
      <c r="B126" s="39" t="s">
        <v>2</v>
      </c>
      <c r="C126" s="39" t="s">
        <v>2623</v>
      </c>
      <c r="D126" s="39" t="s">
        <v>2624</v>
      </c>
      <c r="E126" s="39" t="s">
        <v>2625</v>
      </c>
      <c r="F126" s="39" t="s">
        <v>2198</v>
      </c>
      <c r="G126" t="s">
        <v>4</v>
      </c>
      <c r="H126" t="s">
        <v>4</v>
      </c>
      <c r="I126" s="39" t="s">
        <v>731</v>
      </c>
    </row>
    <row r="127" spans="1:9" ht="11.25" customHeight="1">
      <c r="A127" s="39" t="s">
        <v>2170</v>
      </c>
      <c r="B127" s="39" t="s">
        <v>2</v>
      </c>
      <c r="C127" s="39" t="s">
        <v>2626</v>
      </c>
      <c r="D127" s="39" t="s">
        <v>2627</v>
      </c>
      <c r="E127" s="39" t="s">
        <v>2628</v>
      </c>
      <c r="F127" s="39" t="s">
        <v>2393</v>
      </c>
      <c r="G127" s="39" t="s">
        <v>2629</v>
      </c>
      <c r="H127" t="s">
        <v>4</v>
      </c>
      <c r="I127" s="39" t="s">
        <v>731</v>
      </c>
    </row>
    <row r="128" spans="1:9" ht="11.25" customHeight="1">
      <c r="A128" s="39" t="s">
        <v>2170</v>
      </c>
      <c r="B128" s="39" t="s">
        <v>2</v>
      </c>
      <c r="C128" s="39" t="s">
        <v>2630</v>
      </c>
      <c r="D128" s="39" t="s">
        <v>2631</v>
      </c>
      <c r="E128" s="39" t="s">
        <v>2632</v>
      </c>
      <c r="F128" s="39" t="s">
        <v>2562</v>
      </c>
      <c r="G128" s="39" t="s">
        <v>2633</v>
      </c>
      <c r="H128" t="s">
        <v>4</v>
      </c>
      <c r="I128" s="39" t="s">
        <v>731</v>
      </c>
    </row>
    <row r="129" spans="1:9" ht="11.25" customHeight="1">
      <c r="A129" s="39" t="s">
        <v>2170</v>
      </c>
      <c r="B129" s="39" t="s">
        <v>2</v>
      </c>
      <c r="C129" s="39" t="s">
        <v>2634</v>
      </c>
      <c r="D129" s="39" t="s">
        <v>2635</v>
      </c>
      <c r="E129" s="39" t="s">
        <v>2636</v>
      </c>
      <c r="F129" s="39" t="s">
        <v>2180</v>
      </c>
      <c r="G129" t="s">
        <v>4</v>
      </c>
      <c r="H129" t="s">
        <v>4</v>
      </c>
      <c r="I129" s="39" t="s">
        <v>731</v>
      </c>
    </row>
    <row r="130" spans="1:9" ht="11.25" customHeight="1">
      <c r="A130" s="39" t="s">
        <v>2170</v>
      </c>
      <c r="B130" s="39" t="s">
        <v>2</v>
      </c>
      <c r="C130" s="39" t="s">
        <v>2637</v>
      </c>
      <c r="D130" s="39" t="s">
        <v>2638</v>
      </c>
      <c r="E130" s="39" t="s">
        <v>2639</v>
      </c>
      <c r="F130" s="39" t="s">
        <v>2466</v>
      </c>
      <c r="G130" t="s">
        <v>4</v>
      </c>
      <c r="H130" t="s">
        <v>4</v>
      </c>
      <c r="I130" s="39" t="s">
        <v>731</v>
      </c>
    </row>
    <row r="131" spans="1:9" ht="11.25" customHeight="1">
      <c r="A131" s="39" t="s">
        <v>2170</v>
      </c>
      <c r="B131" s="39" t="s">
        <v>2</v>
      </c>
      <c r="C131" s="39" t="s">
        <v>2640</v>
      </c>
      <c r="D131" s="39" t="s">
        <v>2641</v>
      </c>
      <c r="E131" s="39" t="s">
        <v>2642</v>
      </c>
      <c r="F131" s="39" t="s">
        <v>2433</v>
      </c>
      <c r="G131" t="s">
        <v>4</v>
      </c>
      <c r="H131" t="s">
        <v>4</v>
      </c>
      <c r="I131" s="39" t="s">
        <v>731</v>
      </c>
    </row>
    <row r="132" spans="1:9" ht="11.25" customHeight="1">
      <c r="A132" s="39" t="s">
        <v>2170</v>
      </c>
      <c r="B132" s="39" t="s">
        <v>2</v>
      </c>
      <c r="C132" s="39" t="s">
        <v>2643</v>
      </c>
      <c r="D132" s="39" t="s">
        <v>2644</v>
      </c>
      <c r="E132" s="39" t="s">
        <v>2645</v>
      </c>
      <c r="F132" s="39" t="s">
        <v>2558</v>
      </c>
      <c r="G132" t="s">
        <v>4</v>
      </c>
      <c r="H132" s="39" t="s">
        <v>2646</v>
      </c>
      <c r="I132" s="39" t="s">
        <v>731</v>
      </c>
    </row>
    <row r="133" spans="1:9" ht="11.25" customHeight="1">
      <c r="A133" s="39" t="s">
        <v>2170</v>
      </c>
      <c r="B133" s="39" t="s">
        <v>2</v>
      </c>
      <c r="C133" s="39" t="s">
        <v>2647</v>
      </c>
      <c r="D133" s="39" t="s">
        <v>2648</v>
      </c>
      <c r="E133" s="39" t="s">
        <v>2649</v>
      </c>
      <c r="F133" s="39" t="s">
        <v>2180</v>
      </c>
      <c r="G133" s="39" t="s">
        <v>2189</v>
      </c>
      <c r="H133" t="s">
        <v>4</v>
      </c>
      <c r="I133" s="39" t="s">
        <v>731</v>
      </c>
    </row>
    <row r="134" spans="1:9" ht="11.25" customHeight="1">
      <c r="A134" s="39" t="s">
        <v>2170</v>
      </c>
      <c r="B134" s="39" t="s">
        <v>2</v>
      </c>
      <c r="C134" s="39" t="s">
        <v>2650</v>
      </c>
      <c r="D134" s="39" t="s">
        <v>2651</v>
      </c>
      <c r="E134" s="39" t="s">
        <v>2652</v>
      </c>
      <c r="F134" s="39" t="s">
        <v>2180</v>
      </c>
      <c r="G134" t="s">
        <v>4</v>
      </c>
      <c r="H134" t="s">
        <v>4</v>
      </c>
      <c r="I134" s="39" t="s">
        <v>731</v>
      </c>
    </row>
    <row r="135" spans="1:9" ht="11.25" customHeight="1">
      <c r="A135" s="39" t="s">
        <v>2170</v>
      </c>
      <c r="B135" s="39" t="s">
        <v>2</v>
      </c>
      <c r="C135" s="39" t="s">
        <v>2653</v>
      </c>
      <c r="D135" s="39" t="s">
        <v>2654</v>
      </c>
      <c r="E135" s="39" t="s">
        <v>2655</v>
      </c>
      <c r="F135" s="39" t="s">
        <v>2442</v>
      </c>
      <c r="G135" s="39" t="s">
        <v>2656</v>
      </c>
      <c r="H135" t="s">
        <v>4</v>
      </c>
      <c r="I135" s="39" t="s">
        <v>731</v>
      </c>
    </row>
    <row r="136" spans="1:9" ht="11.25" customHeight="1">
      <c r="A136" s="39" t="s">
        <v>2170</v>
      </c>
      <c r="B136" s="39" t="s">
        <v>2</v>
      </c>
      <c r="C136" s="39" t="s">
        <v>2657</v>
      </c>
      <c r="D136" s="39" t="s">
        <v>2658</v>
      </c>
      <c r="E136" s="39" t="s">
        <v>2659</v>
      </c>
      <c r="F136" s="39" t="s">
        <v>2263</v>
      </c>
      <c r="G136" t="s">
        <v>4</v>
      </c>
      <c r="H136" t="s">
        <v>4</v>
      </c>
      <c r="I136" s="39" t="s">
        <v>731</v>
      </c>
    </row>
    <row r="137" spans="1:9" ht="11.25" customHeight="1">
      <c r="A137" s="39" t="s">
        <v>2170</v>
      </c>
      <c r="B137" s="39" t="s">
        <v>2</v>
      </c>
      <c r="C137" s="39" t="s">
        <v>2660</v>
      </c>
      <c r="D137" s="39" t="s">
        <v>2661</v>
      </c>
      <c r="E137" s="39" t="s">
        <v>2662</v>
      </c>
      <c r="F137" s="39" t="s">
        <v>2663</v>
      </c>
      <c r="G137" s="39" t="s">
        <v>2664</v>
      </c>
      <c r="H137" t="s">
        <v>4</v>
      </c>
      <c r="I137" s="39" t="s">
        <v>731</v>
      </c>
    </row>
    <row r="138" spans="1:9" ht="11.25" customHeight="1">
      <c r="A138" s="39" t="s">
        <v>2170</v>
      </c>
      <c r="B138" s="39" t="s">
        <v>2</v>
      </c>
      <c r="C138" s="39" t="s">
        <v>2665</v>
      </c>
      <c r="D138" s="39" t="s">
        <v>2666</v>
      </c>
      <c r="E138" s="39" t="s">
        <v>2667</v>
      </c>
      <c r="F138" s="39" t="s">
        <v>2207</v>
      </c>
      <c r="G138" t="s">
        <v>4</v>
      </c>
      <c r="H138" t="s">
        <v>4</v>
      </c>
      <c r="I138" s="39" t="s">
        <v>731</v>
      </c>
    </row>
    <row r="139" spans="1:9" ht="11.25" customHeight="1">
      <c r="A139" s="39" t="s">
        <v>2170</v>
      </c>
      <c r="B139" s="39" t="s">
        <v>2</v>
      </c>
      <c r="C139" s="39" t="s">
        <v>2668</v>
      </c>
      <c r="D139" s="39" t="s">
        <v>2669</v>
      </c>
      <c r="E139" s="39" t="s">
        <v>2670</v>
      </c>
      <c r="F139" s="39" t="s">
        <v>2263</v>
      </c>
      <c r="G139" s="39" t="s">
        <v>2671</v>
      </c>
      <c r="H139" t="s">
        <v>4</v>
      </c>
      <c r="I139" s="39" t="s">
        <v>731</v>
      </c>
    </row>
    <row r="140" spans="1:9" ht="11.25" customHeight="1">
      <c r="A140" s="39" t="s">
        <v>2170</v>
      </c>
      <c r="B140" s="39" t="s">
        <v>2</v>
      </c>
      <c r="C140" s="39" t="s">
        <v>2672</v>
      </c>
      <c r="D140" s="39" t="s">
        <v>2673</v>
      </c>
      <c r="E140" s="39" t="s">
        <v>2674</v>
      </c>
      <c r="F140" s="39" t="s">
        <v>2198</v>
      </c>
      <c r="G140" t="s">
        <v>4</v>
      </c>
      <c r="H140" t="s">
        <v>4</v>
      </c>
      <c r="I140" s="39" t="s">
        <v>731</v>
      </c>
    </row>
    <row r="141" spans="1:9" ht="11.25" customHeight="1">
      <c r="A141" s="39" t="s">
        <v>2170</v>
      </c>
      <c r="B141" s="39" t="s">
        <v>2</v>
      </c>
      <c r="C141" s="39" t="s">
        <v>2675</v>
      </c>
      <c r="D141" s="39" t="s">
        <v>2676</v>
      </c>
      <c r="E141" s="39" t="s">
        <v>2677</v>
      </c>
      <c r="F141" s="39" t="s">
        <v>2215</v>
      </c>
      <c r="G141" t="s">
        <v>4</v>
      </c>
      <c r="H141" t="s">
        <v>4</v>
      </c>
      <c r="I141" s="39" t="s">
        <v>731</v>
      </c>
    </row>
    <row r="142" spans="1:9" ht="11.25" customHeight="1">
      <c r="A142" s="39" t="s">
        <v>2170</v>
      </c>
      <c r="B142" s="39" t="s">
        <v>2</v>
      </c>
      <c r="C142" s="39" t="s">
        <v>2678</v>
      </c>
      <c r="D142" s="39" t="s">
        <v>2679</v>
      </c>
      <c r="E142" s="39" t="s">
        <v>2680</v>
      </c>
      <c r="F142" s="39" t="s">
        <v>2271</v>
      </c>
      <c r="G142" t="s">
        <v>4</v>
      </c>
      <c r="H142" t="s">
        <v>4</v>
      </c>
      <c r="I142" s="39" t="s">
        <v>731</v>
      </c>
    </row>
    <row r="143" spans="1:9" ht="11.25" customHeight="1">
      <c r="A143" s="39" t="s">
        <v>2170</v>
      </c>
      <c r="B143" s="39" t="s">
        <v>2</v>
      </c>
      <c r="C143" s="39" t="s">
        <v>2681</v>
      </c>
      <c r="D143" s="39" t="s">
        <v>2682</v>
      </c>
      <c r="E143" s="39" t="s">
        <v>2683</v>
      </c>
      <c r="F143" s="39" t="s">
        <v>2291</v>
      </c>
      <c r="G143" t="s">
        <v>4</v>
      </c>
      <c r="H143" t="s">
        <v>4</v>
      </c>
      <c r="I143" s="39" t="s">
        <v>731</v>
      </c>
    </row>
    <row r="144" spans="1:9" ht="11.25" customHeight="1">
      <c r="A144" s="39" t="s">
        <v>2170</v>
      </c>
      <c r="B144" s="39" t="s">
        <v>2</v>
      </c>
      <c r="C144" s="39" t="s">
        <v>2684</v>
      </c>
      <c r="D144" s="39" t="s">
        <v>2685</v>
      </c>
      <c r="E144" s="39" t="s">
        <v>2686</v>
      </c>
      <c r="F144" s="39" t="s">
        <v>2176</v>
      </c>
      <c r="G144" t="s">
        <v>4</v>
      </c>
      <c r="H144" t="s">
        <v>4</v>
      </c>
      <c r="I144" s="39" t="s">
        <v>731</v>
      </c>
    </row>
    <row r="145" spans="1:9" ht="11.25" customHeight="1">
      <c r="A145" s="39" t="s">
        <v>2170</v>
      </c>
      <c r="B145" s="39" t="s">
        <v>2</v>
      </c>
      <c r="C145" s="39" t="s">
        <v>2687</v>
      </c>
      <c r="D145" s="39" t="s">
        <v>2688</v>
      </c>
      <c r="E145" s="39" t="s">
        <v>2689</v>
      </c>
      <c r="F145" s="39" t="s">
        <v>15</v>
      </c>
      <c r="G145" t="s">
        <v>4</v>
      </c>
      <c r="H145" t="s">
        <v>4</v>
      </c>
      <c r="I145" s="39" t="s">
        <v>731</v>
      </c>
    </row>
    <row r="146" spans="1:9" ht="11.25" customHeight="1">
      <c r="A146" s="39" t="s">
        <v>2170</v>
      </c>
      <c r="B146" s="39" t="s">
        <v>2</v>
      </c>
      <c r="C146" s="39" t="s">
        <v>2690</v>
      </c>
      <c r="D146" s="39" t="s">
        <v>2691</v>
      </c>
      <c r="E146" s="39" t="s">
        <v>2521</v>
      </c>
      <c r="F146" s="39" t="s">
        <v>2193</v>
      </c>
      <c r="G146" t="s">
        <v>4</v>
      </c>
      <c r="H146" t="s">
        <v>4</v>
      </c>
      <c r="I146" s="39" t="s">
        <v>731</v>
      </c>
    </row>
    <row r="147" spans="1:9" ht="11.25" customHeight="1">
      <c r="A147" s="39" t="s">
        <v>2170</v>
      </c>
      <c r="B147" s="39" t="s">
        <v>2</v>
      </c>
      <c r="C147" s="39" t="s">
        <v>2692</v>
      </c>
      <c r="D147" s="39" t="s">
        <v>2693</v>
      </c>
      <c r="E147" s="39" t="s">
        <v>2694</v>
      </c>
      <c r="F147" s="39" t="s">
        <v>2284</v>
      </c>
      <c r="G147" t="s">
        <v>4</v>
      </c>
      <c r="H147" t="s">
        <v>4</v>
      </c>
      <c r="I147" s="39" t="s">
        <v>731</v>
      </c>
    </row>
    <row r="148" spans="1:9" ht="11.25" customHeight="1">
      <c r="A148" s="39" t="s">
        <v>2170</v>
      </c>
      <c r="B148" s="39" t="s">
        <v>2</v>
      </c>
      <c r="C148" s="39" t="s">
        <v>2695</v>
      </c>
      <c r="D148" s="39" t="s">
        <v>2696</v>
      </c>
      <c r="E148" s="39" t="s">
        <v>2697</v>
      </c>
      <c r="F148" s="39" t="s">
        <v>2698</v>
      </c>
      <c r="G148" t="s">
        <v>4</v>
      </c>
      <c r="H148" t="s">
        <v>4</v>
      </c>
      <c r="I148" s="39" t="s">
        <v>731</v>
      </c>
    </row>
    <row r="149" spans="1:9" ht="11.25" customHeight="1">
      <c r="A149" s="39" t="s">
        <v>2170</v>
      </c>
      <c r="B149" s="39" t="s">
        <v>2</v>
      </c>
      <c r="C149" s="39" t="s">
        <v>2699</v>
      </c>
      <c r="D149" s="39" t="s">
        <v>2700</v>
      </c>
      <c r="E149" s="39" t="s">
        <v>2701</v>
      </c>
      <c r="F149" s="39" t="s">
        <v>2180</v>
      </c>
      <c r="G149" t="s">
        <v>4</v>
      </c>
      <c r="H149" t="s">
        <v>4</v>
      </c>
      <c r="I149" s="39" t="s">
        <v>731</v>
      </c>
    </row>
    <row r="150" spans="1:9" ht="11.25" customHeight="1">
      <c r="A150" s="39" t="s">
        <v>2170</v>
      </c>
      <c r="B150" s="39" t="s">
        <v>2</v>
      </c>
      <c r="C150" s="39" t="s">
        <v>2702</v>
      </c>
      <c r="D150" s="39" t="s">
        <v>2703</v>
      </c>
      <c r="E150" s="39" t="s">
        <v>2704</v>
      </c>
      <c r="F150" s="39" t="s">
        <v>2466</v>
      </c>
      <c r="G150" s="39" t="s">
        <v>2705</v>
      </c>
      <c r="H150" t="s">
        <v>4</v>
      </c>
      <c r="I150" s="39" t="s">
        <v>731</v>
      </c>
    </row>
    <row r="151" spans="1:9" ht="11.25" customHeight="1">
      <c r="A151" s="39" t="s">
        <v>2170</v>
      </c>
      <c r="B151" s="39" t="s">
        <v>2</v>
      </c>
      <c r="C151" s="39" t="s">
        <v>2706</v>
      </c>
      <c r="D151" s="39" t="s">
        <v>2707</v>
      </c>
      <c r="E151" s="39" t="s">
        <v>2708</v>
      </c>
      <c r="F151" s="39" t="s">
        <v>2709</v>
      </c>
      <c r="G151" t="s">
        <v>4</v>
      </c>
      <c r="H151" t="s">
        <v>4</v>
      </c>
      <c r="I151" s="39" t="s">
        <v>731</v>
      </c>
    </row>
    <row r="152" spans="1:9" ht="11.25" customHeight="1">
      <c r="A152" s="39" t="s">
        <v>2170</v>
      </c>
      <c r="B152" s="39" t="s">
        <v>2</v>
      </c>
      <c r="C152" s="39" t="s">
        <v>2710</v>
      </c>
      <c r="D152" s="39" t="s">
        <v>2711</v>
      </c>
      <c r="E152" s="39" t="s">
        <v>2712</v>
      </c>
      <c r="F152" s="39" t="s">
        <v>2295</v>
      </c>
      <c r="G152" t="s">
        <v>4</v>
      </c>
      <c r="H152" t="s">
        <v>4</v>
      </c>
      <c r="I152" s="39" t="s">
        <v>731</v>
      </c>
    </row>
    <row r="153" spans="1:9" ht="11.25" customHeight="1">
      <c r="A153" s="39" t="s">
        <v>2170</v>
      </c>
      <c r="B153" s="39" t="s">
        <v>2</v>
      </c>
      <c r="C153" s="39" t="s">
        <v>2713</v>
      </c>
      <c r="D153" s="39" t="s">
        <v>2714</v>
      </c>
      <c r="E153" s="39" t="s">
        <v>2396</v>
      </c>
      <c r="F153" s="39" t="s">
        <v>2715</v>
      </c>
      <c r="G153" t="s">
        <v>4</v>
      </c>
      <c r="H153" t="s">
        <v>4</v>
      </c>
      <c r="I153" s="39" t="s">
        <v>731</v>
      </c>
    </row>
    <row r="154" spans="1:9" ht="11.25" customHeight="1">
      <c r="A154" s="39" t="s">
        <v>2170</v>
      </c>
      <c r="B154" s="39" t="s">
        <v>2</v>
      </c>
      <c r="C154" s="39" t="s">
        <v>2716</v>
      </c>
      <c r="D154" s="39" t="s">
        <v>2717</v>
      </c>
      <c r="E154" s="39" t="s">
        <v>2718</v>
      </c>
      <c r="F154" s="39" t="s">
        <v>15</v>
      </c>
      <c r="G154" s="39" t="s">
        <v>2189</v>
      </c>
      <c r="H154" t="s">
        <v>4</v>
      </c>
      <c r="I154" s="39" t="s">
        <v>731</v>
      </c>
    </row>
    <row r="155" spans="1:9" ht="11.25" customHeight="1">
      <c r="A155" s="39" t="s">
        <v>2170</v>
      </c>
      <c r="B155" s="39" t="s">
        <v>2</v>
      </c>
      <c r="C155" s="39" t="s">
        <v>2719</v>
      </c>
      <c r="D155" s="39" t="s">
        <v>2720</v>
      </c>
      <c r="E155" s="39" t="s">
        <v>2721</v>
      </c>
      <c r="F155" s="39" t="s">
        <v>2193</v>
      </c>
      <c r="G155" t="s">
        <v>4</v>
      </c>
      <c r="H155" t="s">
        <v>4</v>
      </c>
      <c r="I155" s="39" t="s">
        <v>731</v>
      </c>
    </row>
    <row r="156" spans="1:9" ht="11.25" customHeight="1">
      <c r="A156" s="39" t="s">
        <v>2170</v>
      </c>
      <c r="B156" s="39" t="s">
        <v>2</v>
      </c>
      <c r="C156" s="39" t="s">
        <v>2722</v>
      </c>
      <c r="D156" s="39" t="s">
        <v>2723</v>
      </c>
      <c r="E156" s="39" t="s">
        <v>2724</v>
      </c>
      <c r="F156" s="39" t="s">
        <v>2698</v>
      </c>
      <c r="G156" s="39" t="s">
        <v>2725</v>
      </c>
      <c r="H156" t="s">
        <v>4</v>
      </c>
      <c r="I156" s="39" t="s">
        <v>731</v>
      </c>
    </row>
    <row r="157" spans="1:9" ht="11.25" customHeight="1">
      <c r="A157" s="39" t="s">
        <v>2170</v>
      </c>
      <c r="B157" s="39" t="s">
        <v>2</v>
      </c>
      <c r="C157" s="39" t="s">
        <v>2726</v>
      </c>
      <c r="D157" s="39" t="s">
        <v>2727</v>
      </c>
      <c r="E157" s="39" t="s">
        <v>2728</v>
      </c>
      <c r="F157" s="39" t="s">
        <v>2442</v>
      </c>
      <c r="G157" t="s">
        <v>4</v>
      </c>
      <c r="H157" t="s">
        <v>4</v>
      </c>
      <c r="I157" s="39" t="s">
        <v>731</v>
      </c>
    </row>
    <row r="158" spans="1:9" ht="11.25" customHeight="1">
      <c r="A158" s="39" t="s">
        <v>2170</v>
      </c>
      <c r="B158" s="39" t="s">
        <v>2</v>
      </c>
      <c r="C158" s="39" t="s">
        <v>2729</v>
      </c>
      <c r="D158" s="39" t="s">
        <v>2730</v>
      </c>
      <c r="E158" s="39" t="s">
        <v>2731</v>
      </c>
      <c r="F158" s="39" t="s">
        <v>2180</v>
      </c>
      <c r="G158" s="39" t="s">
        <v>2732</v>
      </c>
      <c r="H158" t="s">
        <v>4</v>
      </c>
      <c r="I158" s="39" t="s">
        <v>731</v>
      </c>
    </row>
    <row r="159" spans="1:9" ht="11.25" customHeight="1">
      <c r="A159" s="39" t="s">
        <v>2170</v>
      </c>
      <c r="B159" s="39" t="s">
        <v>2</v>
      </c>
      <c r="C159" s="39" t="s">
        <v>2733</v>
      </c>
      <c r="D159" s="39" t="s">
        <v>2734</v>
      </c>
      <c r="E159" s="39" t="s">
        <v>2735</v>
      </c>
      <c r="F159" s="39" t="s">
        <v>2480</v>
      </c>
      <c r="G159" t="s">
        <v>4</v>
      </c>
      <c r="H159" t="s">
        <v>4</v>
      </c>
      <c r="I159" s="39" t="s">
        <v>731</v>
      </c>
    </row>
    <row r="160" spans="1:9" ht="11.25" customHeight="1">
      <c r="A160" s="39" t="s">
        <v>2170</v>
      </c>
      <c r="B160" s="39" t="s">
        <v>2</v>
      </c>
      <c r="C160" s="39" t="s">
        <v>2736</v>
      </c>
      <c r="D160" s="39" t="s">
        <v>2737</v>
      </c>
      <c r="E160" s="39" t="s">
        <v>2738</v>
      </c>
      <c r="F160" s="39" t="s">
        <v>2739</v>
      </c>
      <c r="G160" s="39" t="s">
        <v>2740</v>
      </c>
      <c r="H160" t="s">
        <v>4</v>
      </c>
      <c r="I160" s="39" t="s">
        <v>731</v>
      </c>
    </row>
    <row r="161" spans="1:9" ht="11.25" customHeight="1">
      <c r="A161" s="39" t="s">
        <v>2170</v>
      </c>
      <c r="B161" s="39" t="s">
        <v>2</v>
      </c>
      <c r="C161" s="39" t="s">
        <v>2741</v>
      </c>
      <c r="D161" s="39" t="s">
        <v>2742</v>
      </c>
      <c r="E161" s="39" t="s">
        <v>2743</v>
      </c>
      <c r="F161" s="39" t="s">
        <v>2698</v>
      </c>
      <c r="G161" t="s">
        <v>4</v>
      </c>
      <c r="H161" t="s">
        <v>4</v>
      </c>
      <c r="I161" s="39" t="s">
        <v>731</v>
      </c>
    </row>
    <row r="162" spans="1:9" ht="11.25" customHeight="1">
      <c r="A162" s="39" t="s">
        <v>2170</v>
      </c>
      <c r="B162" s="39" t="s">
        <v>2</v>
      </c>
      <c r="C162" s="39" t="s">
        <v>0</v>
      </c>
      <c r="D162" s="39" t="s">
        <v>11</v>
      </c>
      <c r="E162" s="39" t="s">
        <v>13</v>
      </c>
      <c r="F162" s="39" t="s">
        <v>15</v>
      </c>
      <c r="G162" t="s">
        <v>4</v>
      </c>
      <c r="H162" t="s">
        <v>4</v>
      </c>
      <c r="I162" s="39" t="s">
        <v>731</v>
      </c>
    </row>
    <row r="163" spans="1:9" ht="11.25" customHeight="1">
      <c r="A163" s="39" t="s">
        <v>2170</v>
      </c>
      <c r="B163" s="39" t="s">
        <v>2</v>
      </c>
      <c r="C163" s="39" t="s">
        <v>2744</v>
      </c>
      <c r="D163" s="39" t="s">
        <v>2745</v>
      </c>
      <c r="E163" s="39" t="s">
        <v>2746</v>
      </c>
      <c r="F163" s="39" t="s">
        <v>15</v>
      </c>
      <c r="G163" t="s">
        <v>4</v>
      </c>
      <c r="H163" t="s">
        <v>4</v>
      </c>
      <c r="I163" s="39" t="s">
        <v>731</v>
      </c>
    </row>
    <row r="164" spans="1:9" ht="11.25" customHeight="1">
      <c r="A164" s="39" t="s">
        <v>2170</v>
      </c>
      <c r="B164" s="39" t="s">
        <v>2</v>
      </c>
      <c r="C164" s="39" t="s">
        <v>2747</v>
      </c>
      <c r="D164" s="39" t="s">
        <v>2748</v>
      </c>
      <c r="E164" s="39" t="s">
        <v>2749</v>
      </c>
      <c r="F164" s="39" t="s">
        <v>2750</v>
      </c>
      <c r="G164" s="39" t="s">
        <v>2751</v>
      </c>
      <c r="H164" t="s">
        <v>4</v>
      </c>
      <c r="I164" s="39" t="s">
        <v>731</v>
      </c>
    </row>
    <row r="165" spans="1:9" ht="11.25" customHeight="1">
      <c r="A165" s="39" t="s">
        <v>2170</v>
      </c>
      <c r="B165" s="39" t="s">
        <v>2</v>
      </c>
      <c r="C165" s="39" t="s">
        <v>2752</v>
      </c>
      <c r="D165" s="39" t="s">
        <v>2753</v>
      </c>
      <c r="E165" s="39" t="s">
        <v>2754</v>
      </c>
      <c r="F165" s="39" t="s">
        <v>2180</v>
      </c>
      <c r="G165" t="s">
        <v>4</v>
      </c>
      <c r="H165" t="s">
        <v>4</v>
      </c>
      <c r="I165" s="39" t="s">
        <v>731</v>
      </c>
    </row>
    <row r="166" spans="1:9" ht="11.25" customHeight="1">
      <c r="A166" s="39" t="s">
        <v>2170</v>
      </c>
      <c r="B166" s="39" t="s">
        <v>2</v>
      </c>
      <c r="C166" s="39" t="s">
        <v>2755</v>
      </c>
      <c r="D166" s="39" t="s">
        <v>2756</v>
      </c>
      <c r="E166" s="39" t="s">
        <v>2757</v>
      </c>
      <c r="F166" s="39" t="s">
        <v>2442</v>
      </c>
      <c r="G166" t="s">
        <v>4</v>
      </c>
      <c r="H166" t="s">
        <v>4</v>
      </c>
      <c r="I166" s="39" t="s">
        <v>731</v>
      </c>
    </row>
    <row r="167" spans="1:9" ht="11.25" customHeight="1">
      <c r="A167" s="39" t="s">
        <v>2170</v>
      </c>
      <c r="B167" s="39" t="s">
        <v>2</v>
      </c>
      <c r="C167" s="39" t="s">
        <v>2758</v>
      </c>
      <c r="D167" s="39" t="s">
        <v>2759</v>
      </c>
      <c r="E167" s="39" t="s">
        <v>2760</v>
      </c>
      <c r="F167" s="39" t="s">
        <v>2180</v>
      </c>
      <c r="G167" t="s">
        <v>4</v>
      </c>
      <c r="H167" t="s">
        <v>4</v>
      </c>
      <c r="I167" s="39" t="s">
        <v>731</v>
      </c>
    </row>
    <row r="168" spans="1:9" ht="11.25" customHeight="1">
      <c r="A168" s="39" t="s">
        <v>2170</v>
      </c>
      <c r="B168" s="39" t="s">
        <v>2</v>
      </c>
      <c r="C168" s="39" t="s">
        <v>2761</v>
      </c>
      <c r="D168" s="39" t="s">
        <v>2762</v>
      </c>
      <c r="E168" s="39" t="s">
        <v>2763</v>
      </c>
      <c r="F168" s="39" t="s">
        <v>2364</v>
      </c>
      <c r="G168" s="39" t="s">
        <v>2764</v>
      </c>
      <c r="H168" t="s">
        <v>4</v>
      </c>
      <c r="I168" s="39" t="s">
        <v>731</v>
      </c>
    </row>
    <row r="169" spans="1:9" ht="11.25" customHeight="1">
      <c r="A169" s="39" t="s">
        <v>2170</v>
      </c>
      <c r="B169" s="39" t="s">
        <v>2</v>
      </c>
      <c r="C169" s="39" t="s">
        <v>2765</v>
      </c>
      <c r="D169" s="39" t="s">
        <v>2766</v>
      </c>
      <c r="E169" s="39" t="s">
        <v>2767</v>
      </c>
      <c r="F169" s="39" t="s">
        <v>2768</v>
      </c>
      <c r="G169" t="s">
        <v>4</v>
      </c>
      <c r="H169" t="s">
        <v>4</v>
      </c>
      <c r="I169" s="39" t="s">
        <v>731</v>
      </c>
    </row>
    <row r="170" spans="1:9" ht="11.25" customHeight="1">
      <c r="A170" s="39" t="s">
        <v>2170</v>
      </c>
      <c r="B170" s="39" t="s">
        <v>2</v>
      </c>
      <c r="C170" s="39" t="s">
        <v>2769</v>
      </c>
      <c r="D170" s="39" t="s">
        <v>2770</v>
      </c>
      <c r="E170" s="39" t="s">
        <v>2771</v>
      </c>
      <c r="F170" s="39" t="s">
        <v>2772</v>
      </c>
      <c r="G170" t="s">
        <v>4</v>
      </c>
      <c r="H170" t="s">
        <v>4</v>
      </c>
      <c r="I170" s="39" t="s">
        <v>731</v>
      </c>
    </row>
    <row r="171" spans="1:9" ht="11.25" customHeight="1">
      <c r="A171" s="39" t="s">
        <v>2170</v>
      </c>
      <c r="B171" s="39" t="s">
        <v>2</v>
      </c>
      <c r="C171" s="39" t="s">
        <v>2773</v>
      </c>
      <c r="D171" s="39" t="s">
        <v>2774</v>
      </c>
      <c r="E171" s="39" t="s">
        <v>2775</v>
      </c>
      <c r="F171" s="39" t="s">
        <v>2522</v>
      </c>
      <c r="G171" s="39" t="s">
        <v>2776</v>
      </c>
      <c r="H171" t="s">
        <v>4</v>
      </c>
      <c r="I171" s="39" t="s">
        <v>731</v>
      </c>
    </row>
    <row r="172" spans="1:9" ht="11.25" customHeight="1">
      <c r="A172" s="39" t="s">
        <v>2170</v>
      </c>
      <c r="B172" s="39" t="s">
        <v>2</v>
      </c>
      <c r="C172" s="39" t="s">
        <v>2777</v>
      </c>
      <c r="D172" s="39" t="s">
        <v>2778</v>
      </c>
      <c r="E172" s="39" t="s">
        <v>2779</v>
      </c>
      <c r="F172" s="39" t="s">
        <v>2244</v>
      </c>
      <c r="G172" t="s">
        <v>4</v>
      </c>
      <c r="H172" t="s">
        <v>4</v>
      </c>
      <c r="I172" s="39" t="s">
        <v>731</v>
      </c>
    </row>
    <row r="173" spans="1:9" ht="11.25" customHeight="1">
      <c r="A173" s="39" t="s">
        <v>2170</v>
      </c>
      <c r="B173" s="39" t="s">
        <v>2</v>
      </c>
      <c r="C173" s="39" t="s">
        <v>2780</v>
      </c>
      <c r="D173" s="39" t="s">
        <v>2781</v>
      </c>
      <c r="E173" s="39" t="s">
        <v>2782</v>
      </c>
      <c r="F173" s="39" t="s">
        <v>2271</v>
      </c>
      <c r="G173" t="s">
        <v>4</v>
      </c>
      <c r="H173" t="s">
        <v>4</v>
      </c>
      <c r="I173" s="39" t="s">
        <v>731</v>
      </c>
    </row>
    <row r="174" spans="1:9" ht="11.25" customHeight="1">
      <c r="A174" s="39" t="s">
        <v>2170</v>
      </c>
      <c r="B174" s="39" t="s">
        <v>2</v>
      </c>
      <c r="C174" s="39" t="s">
        <v>2783</v>
      </c>
      <c r="D174" s="39" t="s">
        <v>2784</v>
      </c>
      <c r="E174" s="39" t="s">
        <v>2785</v>
      </c>
      <c r="F174" s="39" t="s">
        <v>2786</v>
      </c>
      <c r="G174" t="s">
        <v>4</v>
      </c>
      <c r="H174" t="s">
        <v>4</v>
      </c>
      <c r="I174" s="39" t="s">
        <v>731</v>
      </c>
    </row>
    <row r="175" spans="1:9" ht="11.25" customHeight="1">
      <c r="A175" s="39" t="s">
        <v>2170</v>
      </c>
      <c r="B175" s="39" t="s">
        <v>2</v>
      </c>
      <c r="C175" s="39" t="s">
        <v>2787</v>
      </c>
      <c r="D175" s="39" t="s">
        <v>2788</v>
      </c>
      <c r="E175" s="39" t="s">
        <v>2785</v>
      </c>
      <c r="F175" s="39" t="s">
        <v>2789</v>
      </c>
      <c r="G175" s="39" t="s">
        <v>2790</v>
      </c>
      <c r="H175" t="s">
        <v>4</v>
      </c>
      <c r="I175" s="39" t="s">
        <v>731</v>
      </c>
    </row>
    <row r="176" spans="1:9" ht="11.25" customHeight="1">
      <c r="A176" s="39" t="s">
        <v>2170</v>
      </c>
      <c r="B176" s="39" t="s">
        <v>2</v>
      </c>
      <c r="C176" s="39" t="s">
        <v>2791</v>
      </c>
      <c r="D176" s="39" t="s">
        <v>2792</v>
      </c>
      <c r="E176" s="39" t="s">
        <v>2793</v>
      </c>
      <c r="F176" s="39" t="s">
        <v>2248</v>
      </c>
      <c r="G176" t="s">
        <v>4</v>
      </c>
      <c r="H176" t="s">
        <v>4</v>
      </c>
      <c r="I176" s="39" t="s">
        <v>731</v>
      </c>
    </row>
    <row r="177" spans="1:9" ht="11.25" customHeight="1">
      <c r="A177" s="39" t="s">
        <v>2170</v>
      </c>
      <c r="B177" s="39" t="s">
        <v>2</v>
      </c>
      <c r="C177" s="39" t="s">
        <v>2794</v>
      </c>
      <c r="D177" s="39" t="s">
        <v>2795</v>
      </c>
      <c r="E177" s="39" t="s">
        <v>2796</v>
      </c>
      <c r="F177" s="39" t="s">
        <v>2180</v>
      </c>
      <c r="G177" t="s">
        <v>4</v>
      </c>
      <c r="H177" t="s">
        <v>4</v>
      </c>
      <c r="I177" s="39" t="s">
        <v>731</v>
      </c>
    </row>
    <row r="178" spans="1:9" ht="11.25" customHeight="1">
      <c r="A178" s="39" t="s">
        <v>2170</v>
      </c>
      <c r="B178" s="39" t="s">
        <v>2</v>
      </c>
      <c r="C178" s="39" t="s">
        <v>2797</v>
      </c>
      <c r="D178" s="39" t="s">
        <v>2798</v>
      </c>
      <c r="E178" s="39" t="s">
        <v>2799</v>
      </c>
      <c r="F178" s="39" t="s">
        <v>2800</v>
      </c>
      <c r="G178" s="39" t="s">
        <v>2801</v>
      </c>
      <c r="H178" t="s">
        <v>4</v>
      </c>
      <c r="I178" s="39" t="s">
        <v>731</v>
      </c>
    </row>
    <row r="179" spans="1:9" ht="11.25" customHeight="1">
      <c r="A179" s="39" t="s">
        <v>2170</v>
      </c>
      <c r="B179" s="39" t="s">
        <v>2</v>
      </c>
      <c r="C179" s="39" t="s">
        <v>2802</v>
      </c>
      <c r="D179" s="39" t="s">
        <v>2803</v>
      </c>
      <c r="E179" s="39" t="s">
        <v>2804</v>
      </c>
      <c r="F179" s="39" t="s">
        <v>2215</v>
      </c>
      <c r="G179" t="s">
        <v>4</v>
      </c>
      <c r="H179" t="s">
        <v>4</v>
      </c>
      <c r="I179" s="39" t="s">
        <v>731</v>
      </c>
    </row>
    <row r="180" spans="1:9" ht="11.25" customHeight="1">
      <c r="A180" s="39" t="s">
        <v>2170</v>
      </c>
      <c r="B180" s="39" t="s">
        <v>2</v>
      </c>
      <c r="C180" s="39" t="s">
        <v>2805</v>
      </c>
      <c r="D180" s="39" t="s">
        <v>2806</v>
      </c>
      <c r="E180" s="39" t="s">
        <v>2807</v>
      </c>
      <c r="F180" s="39" t="s">
        <v>2263</v>
      </c>
      <c r="G180" t="s">
        <v>4</v>
      </c>
      <c r="H180" t="s">
        <v>4</v>
      </c>
      <c r="I180" s="39" t="s">
        <v>731</v>
      </c>
    </row>
    <row r="181" spans="1:9" ht="11.25" customHeight="1">
      <c r="A181" s="39" t="s">
        <v>2170</v>
      </c>
      <c r="B181" s="39" t="s">
        <v>2</v>
      </c>
      <c r="C181" s="39" t="s">
        <v>2808</v>
      </c>
      <c r="D181" s="39" t="s">
        <v>2809</v>
      </c>
      <c r="E181" s="39" t="s">
        <v>2810</v>
      </c>
      <c r="F181" s="39" t="s">
        <v>2180</v>
      </c>
      <c r="G181" t="s">
        <v>4</v>
      </c>
      <c r="H181" t="s">
        <v>4</v>
      </c>
      <c r="I181" s="39" t="s">
        <v>731</v>
      </c>
    </row>
    <row r="182" spans="1:9" ht="11.25" customHeight="1">
      <c r="A182" s="39" t="s">
        <v>2170</v>
      </c>
      <c r="B182" s="39" t="s">
        <v>2</v>
      </c>
      <c r="C182" s="39" t="s">
        <v>2811</v>
      </c>
      <c r="D182" s="39" t="s">
        <v>2812</v>
      </c>
      <c r="E182" s="39" t="s">
        <v>2813</v>
      </c>
      <c r="F182" s="39" t="s">
        <v>2814</v>
      </c>
      <c r="G182" s="39" t="s">
        <v>2815</v>
      </c>
      <c r="H182" t="s">
        <v>4</v>
      </c>
      <c r="I182" s="39" t="s">
        <v>731</v>
      </c>
    </row>
    <row r="183" spans="1:9" ht="11.25" customHeight="1">
      <c r="A183" s="39" t="s">
        <v>2170</v>
      </c>
      <c r="B183" s="39" t="s">
        <v>2</v>
      </c>
      <c r="C183" s="39" t="s">
        <v>2816</v>
      </c>
      <c r="D183" s="39" t="s">
        <v>2817</v>
      </c>
      <c r="E183" s="39" t="s">
        <v>2818</v>
      </c>
      <c r="F183" s="39" t="s">
        <v>2198</v>
      </c>
      <c r="G183" s="39" t="s">
        <v>2819</v>
      </c>
      <c r="H183" t="s">
        <v>4</v>
      </c>
      <c r="I183" s="39" t="s">
        <v>731</v>
      </c>
    </row>
    <row r="184" spans="1:9" ht="11.25" customHeight="1">
      <c r="A184" s="39" t="s">
        <v>2170</v>
      </c>
      <c r="B184" s="39" t="s">
        <v>2</v>
      </c>
      <c r="C184" s="39" t="s">
        <v>2820</v>
      </c>
      <c r="D184" s="39" t="s">
        <v>2821</v>
      </c>
      <c r="E184" s="39" t="s">
        <v>2822</v>
      </c>
      <c r="F184" s="39" t="s">
        <v>2823</v>
      </c>
      <c r="G184" t="s">
        <v>4</v>
      </c>
      <c r="H184" t="s">
        <v>4</v>
      </c>
      <c r="I184" s="39" t="s">
        <v>731</v>
      </c>
    </row>
    <row r="185" spans="1:9" ht="11.25" customHeight="1">
      <c r="A185" s="39" t="s">
        <v>2170</v>
      </c>
      <c r="B185" s="39" t="s">
        <v>2</v>
      </c>
      <c r="C185" s="39" t="s">
        <v>2824</v>
      </c>
      <c r="D185" s="39" t="s">
        <v>2825</v>
      </c>
      <c r="E185" s="39" t="s">
        <v>2826</v>
      </c>
      <c r="F185" s="39" t="s">
        <v>2827</v>
      </c>
      <c r="G185" t="s">
        <v>4</v>
      </c>
      <c r="H185" t="s">
        <v>4</v>
      </c>
      <c r="I185" s="39" t="s">
        <v>731</v>
      </c>
    </row>
    <row r="186" spans="1:9" ht="11.25" customHeight="1">
      <c r="A186" s="39" t="s">
        <v>2170</v>
      </c>
      <c r="B186" s="39" t="s">
        <v>2</v>
      </c>
      <c r="C186" s="39" t="s">
        <v>2828</v>
      </c>
      <c r="D186" s="39" t="s">
        <v>2829</v>
      </c>
      <c r="E186" s="39" t="s">
        <v>2830</v>
      </c>
      <c r="F186" s="39" t="s">
        <v>2823</v>
      </c>
      <c r="G186" s="39" t="s">
        <v>2831</v>
      </c>
      <c r="H186" t="s">
        <v>4</v>
      </c>
      <c r="I186" s="39" t="s">
        <v>731</v>
      </c>
    </row>
    <row r="187" spans="1:9" ht="11.25" customHeight="1">
      <c r="A187" s="39" t="s">
        <v>2170</v>
      </c>
      <c r="B187" s="39" t="s">
        <v>2</v>
      </c>
      <c r="C187" s="39" t="s">
        <v>2832</v>
      </c>
      <c r="D187" s="39" t="s">
        <v>2833</v>
      </c>
      <c r="E187" s="39" t="s">
        <v>2834</v>
      </c>
      <c r="F187" s="39" t="s">
        <v>2835</v>
      </c>
      <c r="G187" s="39" t="s">
        <v>2836</v>
      </c>
      <c r="H187" t="s">
        <v>4</v>
      </c>
      <c r="I187" s="39" t="s">
        <v>731</v>
      </c>
    </row>
    <row r="188" spans="1:9" ht="11.25" customHeight="1">
      <c r="A188" s="39" t="s">
        <v>2170</v>
      </c>
      <c r="B188" s="39" t="s">
        <v>2</v>
      </c>
      <c r="C188" s="39" t="s">
        <v>2185</v>
      </c>
      <c r="D188" s="39" t="s">
        <v>2186</v>
      </c>
      <c r="E188" s="39" t="s">
        <v>2187</v>
      </c>
      <c r="F188" s="39" t="s">
        <v>2188</v>
      </c>
      <c r="G188" s="39" t="s">
        <v>2189</v>
      </c>
      <c r="H188" t="s">
        <v>4</v>
      </c>
      <c r="I188" s="39" t="s">
        <v>817</v>
      </c>
    </row>
    <row r="189" spans="1:9" ht="11.25" customHeight="1">
      <c r="A189" s="39" t="s">
        <v>2170</v>
      </c>
      <c r="B189" s="39" t="s">
        <v>2</v>
      </c>
      <c r="C189" s="39" t="s">
        <v>2208</v>
      </c>
      <c r="D189" s="39" t="s">
        <v>2209</v>
      </c>
      <c r="E189" s="39" t="s">
        <v>2210</v>
      </c>
      <c r="F189" s="39" t="s">
        <v>2211</v>
      </c>
      <c r="G189" t="s">
        <v>4</v>
      </c>
      <c r="H189" t="s">
        <v>4</v>
      </c>
      <c r="I189" s="39" t="s">
        <v>817</v>
      </c>
    </row>
    <row r="190" spans="1:9" ht="11.25" customHeight="1">
      <c r="A190" s="39" t="s">
        <v>2170</v>
      </c>
      <c r="B190" s="39" t="s">
        <v>2</v>
      </c>
      <c r="C190" s="39" t="s">
        <v>2216</v>
      </c>
      <c r="D190" s="39" t="s">
        <v>2217</v>
      </c>
      <c r="E190" s="39" t="s">
        <v>2218</v>
      </c>
      <c r="F190" s="39" t="s">
        <v>2180</v>
      </c>
      <c r="G190" s="39" t="s">
        <v>2219</v>
      </c>
      <c r="H190" t="s">
        <v>4</v>
      </c>
      <c r="I190" s="39" t="s">
        <v>817</v>
      </c>
    </row>
    <row r="191" spans="1:9" ht="11.25" customHeight="1">
      <c r="A191" s="39" t="s">
        <v>2170</v>
      </c>
      <c r="B191" s="39" t="s">
        <v>2</v>
      </c>
      <c r="C191" s="39" t="s">
        <v>2223</v>
      </c>
      <c r="D191" s="39" t="s">
        <v>2224</v>
      </c>
      <c r="E191" s="39" t="s">
        <v>2225</v>
      </c>
      <c r="F191" s="39" t="s">
        <v>2180</v>
      </c>
      <c r="G191" t="s">
        <v>4</v>
      </c>
      <c r="H191" t="s">
        <v>4</v>
      </c>
      <c r="I191" s="39" t="s">
        <v>817</v>
      </c>
    </row>
    <row r="192" spans="1:9" ht="11.25" customHeight="1">
      <c r="A192" s="39" t="s">
        <v>2170</v>
      </c>
      <c r="B192" s="39" t="s">
        <v>2</v>
      </c>
      <c r="C192" s="39" t="s">
        <v>2276</v>
      </c>
      <c r="D192" s="39" t="s">
        <v>2277</v>
      </c>
      <c r="E192" s="39" t="s">
        <v>2278</v>
      </c>
      <c r="F192" s="39" t="s">
        <v>2279</v>
      </c>
      <c r="G192" t="s">
        <v>4</v>
      </c>
      <c r="H192" t="s">
        <v>4</v>
      </c>
      <c r="I192" s="39" t="s">
        <v>817</v>
      </c>
    </row>
    <row r="193" spans="1:9" ht="11.25" customHeight="1">
      <c r="A193" s="39" t="s">
        <v>2170</v>
      </c>
      <c r="B193" s="39" t="s">
        <v>2</v>
      </c>
      <c r="C193" s="39" t="s">
        <v>2281</v>
      </c>
      <c r="D193" s="39" t="s">
        <v>2282</v>
      </c>
      <c r="E193" s="39" t="s">
        <v>2283</v>
      </c>
      <c r="F193" s="39" t="s">
        <v>2284</v>
      </c>
      <c r="G193" t="s">
        <v>4</v>
      </c>
      <c r="H193" t="s">
        <v>4</v>
      </c>
      <c r="I193" s="39" t="s">
        <v>817</v>
      </c>
    </row>
    <row r="194" spans="1:9" ht="11.25" customHeight="1">
      <c r="A194" s="39" t="s">
        <v>2170</v>
      </c>
      <c r="B194" s="39" t="s">
        <v>2</v>
      </c>
      <c r="C194" s="39" t="s">
        <v>2288</v>
      </c>
      <c r="D194" s="39" t="s">
        <v>2289</v>
      </c>
      <c r="E194" s="39" t="s">
        <v>2290</v>
      </c>
      <c r="F194" s="39" t="s">
        <v>2291</v>
      </c>
      <c r="G194" t="s">
        <v>4</v>
      </c>
      <c r="H194" t="s">
        <v>4</v>
      </c>
      <c r="I194" s="39" t="s">
        <v>817</v>
      </c>
    </row>
    <row r="195" spans="1:9" ht="11.25" customHeight="1">
      <c r="A195" s="39" t="s">
        <v>2170</v>
      </c>
      <c r="B195" s="39" t="s">
        <v>2</v>
      </c>
      <c r="C195" s="39" t="s">
        <v>2301</v>
      </c>
      <c r="D195" s="39" t="s">
        <v>2302</v>
      </c>
      <c r="E195" s="39" t="s">
        <v>2303</v>
      </c>
      <c r="F195" s="39" t="s">
        <v>2240</v>
      </c>
      <c r="G195" t="s">
        <v>4</v>
      </c>
      <c r="H195" t="s">
        <v>4</v>
      </c>
      <c r="I195" s="39" t="s">
        <v>817</v>
      </c>
    </row>
    <row r="196" spans="1:9" ht="11.25" customHeight="1">
      <c r="A196" s="39" t="s">
        <v>2170</v>
      </c>
      <c r="B196" s="39" t="s">
        <v>2</v>
      </c>
      <c r="C196" s="39" t="s">
        <v>2309</v>
      </c>
      <c r="D196" s="39" t="s">
        <v>2310</v>
      </c>
      <c r="E196" s="39" t="s">
        <v>2311</v>
      </c>
      <c r="F196" s="39" t="s">
        <v>2312</v>
      </c>
      <c r="G196" t="s">
        <v>4</v>
      </c>
      <c r="H196" t="s">
        <v>4</v>
      </c>
      <c r="I196" s="39" t="s">
        <v>817</v>
      </c>
    </row>
    <row r="197" spans="1:9" ht="11.25" customHeight="1">
      <c r="A197" s="39" t="s">
        <v>2170</v>
      </c>
      <c r="B197" s="39" t="s">
        <v>2</v>
      </c>
      <c r="C197" s="39" t="s">
        <v>2321</v>
      </c>
      <c r="D197" s="39" t="s">
        <v>2322</v>
      </c>
      <c r="E197" s="39" t="s">
        <v>2323</v>
      </c>
      <c r="F197" s="39" t="s">
        <v>2324</v>
      </c>
      <c r="G197" t="s">
        <v>4</v>
      </c>
      <c r="H197" t="s">
        <v>4</v>
      </c>
      <c r="I197" s="39" t="s">
        <v>817</v>
      </c>
    </row>
    <row r="198" spans="1:9" ht="11.25" customHeight="1">
      <c r="A198" s="39" t="s">
        <v>2170</v>
      </c>
      <c r="B198" s="39" t="s">
        <v>2</v>
      </c>
      <c r="C198" s="39" t="s">
        <v>2325</v>
      </c>
      <c r="D198" s="39" t="s">
        <v>2326</v>
      </c>
      <c r="E198" s="39" t="s">
        <v>2327</v>
      </c>
      <c r="F198" s="39" t="s">
        <v>2180</v>
      </c>
      <c r="G198" t="s">
        <v>4</v>
      </c>
      <c r="H198" t="s">
        <v>4</v>
      </c>
      <c r="I198" s="39" t="s">
        <v>817</v>
      </c>
    </row>
    <row r="199" spans="1:9" ht="11.25" customHeight="1">
      <c r="A199" s="39" t="s">
        <v>2170</v>
      </c>
      <c r="B199" s="39" t="s">
        <v>2</v>
      </c>
      <c r="C199" s="39" t="s">
        <v>2338</v>
      </c>
      <c r="D199" s="39" t="s">
        <v>2339</v>
      </c>
      <c r="E199" s="39" t="s">
        <v>2340</v>
      </c>
      <c r="F199" s="39" t="s">
        <v>2295</v>
      </c>
      <c r="G199" t="s">
        <v>4</v>
      </c>
      <c r="H199" t="s">
        <v>4</v>
      </c>
      <c r="I199" s="39" t="s">
        <v>817</v>
      </c>
    </row>
    <row r="200" spans="1:9" ht="11.25" customHeight="1">
      <c r="A200" s="39" t="s">
        <v>2170</v>
      </c>
      <c r="B200" s="39" t="s">
        <v>2</v>
      </c>
      <c r="C200" s="39" t="s">
        <v>2341</v>
      </c>
      <c r="D200" s="39" t="s">
        <v>2342</v>
      </c>
      <c r="E200" s="39" t="s">
        <v>2343</v>
      </c>
      <c r="F200" s="39" t="s">
        <v>2188</v>
      </c>
      <c r="G200" t="s">
        <v>4</v>
      </c>
      <c r="H200" t="s">
        <v>4</v>
      </c>
      <c r="I200" s="39" t="s">
        <v>817</v>
      </c>
    </row>
    <row r="201" spans="1:9" ht="11.25" customHeight="1">
      <c r="A201" s="39" t="s">
        <v>2170</v>
      </c>
      <c r="B201" s="39" t="s">
        <v>2</v>
      </c>
      <c r="C201" s="39" t="s">
        <v>2344</v>
      </c>
      <c r="D201" s="39" t="s">
        <v>2342</v>
      </c>
      <c r="E201" s="39" t="s">
        <v>2345</v>
      </c>
      <c r="F201" s="39" t="s">
        <v>2188</v>
      </c>
      <c r="G201" t="s">
        <v>4</v>
      </c>
      <c r="H201" t="s">
        <v>4</v>
      </c>
      <c r="I201" s="39" t="s">
        <v>817</v>
      </c>
    </row>
    <row r="202" spans="1:9" ht="11.25" customHeight="1">
      <c r="A202" s="39" t="s">
        <v>2170</v>
      </c>
      <c r="B202" s="39" t="s">
        <v>2</v>
      </c>
      <c r="C202" s="39" t="s">
        <v>2346</v>
      </c>
      <c r="D202" s="39" t="s">
        <v>2347</v>
      </c>
      <c r="E202" s="39" t="s">
        <v>2348</v>
      </c>
      <c r="F202" s="39" t="s">
        <v>2349</v>
      </c>
      <c r="G202" t="s">
        <v>4</v>
      </c>
      <c r="H202" t="s">
        <v>4</v>
      </c>
      <c r="I202" s="39" t="s">
        <v>817</v>
      </c>
    </row>
    <row r="203" spans="1:9" ht="11.25" customHeight="1">
      <c r="A203" s="39" t="s">
        <v>2170</v>
      </c>
      <c r="B203" s="39" t="s">
        <v>2</v>
      </c>
      <c r="C203" s="39" t="s">
        <v>2350</v>
      </c>
      <c r="D203" s="39" t="s">
        <v>2351</v>
      </c>
      <c r="E203" s="39" t="s">
        <v>2352</v>
      </c>
      <c r="F203" s="39" t="s">
        <v>2180</v>
      </c>
      <c r="G203" t="s">
        <v>4</v>
      </c>
      <c r="H203" t="s">
        <v>4</v>
      </c>
      <c r="I203" s="39" t="s">
        <v>817</v>
      </c>
    </row>
    <row r="204" spans="1:9" ht="11.25" customHeight="1">
      <c r="A204" s="39" t="s">
        <v>2170</v>
      </c>
      <c r="B204" s="39" t="s">
        <v>2</v>
      </c>
      <c r="C204" s="39" t="s">
        <v>2353</v>
      </c>
      <c r="D204" s="39" t="s">
        <v>2354</v>
      </c>
      <c r="E204" s="39" t="s">
        <v>2355</v>
      </c>
      <c r="F204" s="39" t="s">
        <v>2180</v>
      </c>
      <c r="G204" t="s">
        <v>4</v>
      </c>
      <c r="H204" t="s">
        <v>4</v>
      </c>
      <c r="I204" s="39" t="s">
        <v>817</v>
      </c>
    </row>
    <row r="205" spans="1:9" ht="11.25" customHeight="1">
      <c r="A205" s="39" t="s">
        <v>2170</v>
      </c>
      <c r="B205" s="39" t="s">
        <v>2</v>
      </c>
      <c r="C205" s="39" t="s">
        <v>2359</v>
      </c>
      <c r="D205" s="39" t="s">
        <v>2360</v>
      </c>
      <c r="E205" s="39" t="s">
        <v>2361</v>
      </c>
      <c r="F205" s="39" t="s">
        <v>2180</v>
      </c>
      <c r="G205" t="s">
        <v>4</v>
      </c>
      <c r="H205" t="s">
        <v>4</v>
      </c>
      <c r="I205" s="39" t="s">
        <v>817</v>
      </c>
    </row>
    <row r="206" spans="1:9" ht="11.25" customHeight="1">
      <c r="A206" s="39" t="s">
        <v>2170</v>
      </c>
      <c r="B206" s="39" t="s">
        <v>2</v>
      </c>
      <c r="C206" t="s">
        <v>4</v>
      </c>
      <c r="D206" s="39" t="s">
        <v>2362</v>
      </c>
      <c r="E206" s="39" t="s">
        <v>2363</v>
      </c>
      <c r="F206" s="39" t="s">
        <v>2364</v>
      </c>
      <c r="G206" t="s">
        <v>4</v>
      </c>
      <c r="H206" t="s">
        <v>4</v>
      </c>
      <c r="I206" s="39" t="s">
        <v>817</v>
      </c>
    </row>
    <row r="207" spans="1:9" ht="11.25" customHeight="1">
      <c r="A207" s="39" t="s">
        <v>2170</v>
      </c>
      <c r="B207" s="39" t="s">
        <v>2</v>
      </c>
      <c r="C207" s="39" t="s">
        <v>2365</v>
      </c>
      <c r="D207" s="39" t="s">
        <v>2366</v>
      </c>
      <c r="E207" s="39" t="s">
        <v>2367</v>
      </c>
      <c r="F207" s="39" t="s">
        <v>2236</v>
      </c>
      <c r="G207" t="s">
        <v>4</v>
      </c>
      <c r="H207" t="s">
        <v>4</v>
      </c>
      <c r="I207" s="39" t="s">
        <v>817</v>
      </c>
    </row>
    <row r="208" spans="1:9" ht="11.25" customHeight="1">
      <c r="A208" s="39" t="s">
        <v>2170</v>
      </c>
      <c r="B208" s="39" t="s">
        <v>2</v>
      </c>
      <c r="C208" s="39" t="s">
        <v>2371</v>
      </c>
      <c r="D208" s="39" t="s">
        <v>2372</v>
      </c>
      <c r="E208" s="39" t="s">
        <v>2373</v>
      </c>
      <c r="F208" s="39" t="s">
        <v>2188</v>
      </c>
      <c r="G208" t="s">
        <v>4</v>
      </c>
      <c r="H208" t="s">
        <v>4</v>
      </c>
      <c r="I208" s="39" t="s">
        <v>817</v>
      </c>
    </row>
    <row r="209" spans="1:9" ht="11.25" customHeight="1">
      <c r="A209" s="39" t="s">
        <v>2170</v>
      </c>
      <c r="B209" s="39" t="s">
        <v>2</v>
      </c>
      <c r="C209" s="39" t="s">
        <v>2374</v>
      </c>
      <c r="D209" s="39" t="s">
        <v>2375</v>
      </c>
      <c r="E209" s="39" t="s">
        <v>2376</v>
      </c>
      <c r="F209" s="39" t="s">
        <v>2180</v>
      </c>
      <c r="G209" t="s">
        <v>4</v>
      </c>
      <c r="H209" t="s">
        <v>4</v>
      </c>
      <c r="I209" s="39" t="s">
        <v>817</v>
      </c>
    </row>
    <row r="210" spans="1:9" ht="11.25" customHeight="1">
      <c r="A210" s="39" t="s">
        <v>2170</v>
      </c>
      <c r="B210" s="39" t="s">
        <v>2</v>
      </c>
      <c r="C210" s="39" t="s">
        <v>2387</v>
      </c>
      <c r="D210" s="39" t="s">
        <v>2388</v>
      </c>
      <c r="E210" s="39" t="s">
        <v>2389</v>
      </c>
      <c r="F210" s="39" t="s">
        <v>2271</v>
      </c>
      <c r="G210" t="s">
        <v>4</v>
      </c>
      <c r="H210" t="s">
        <v>4</v>
      </c>
      <c r="I210" s="39" t="s">
        <v>817</v>
      </c>
    </row>
    <row r="211" spans="1:9" ht="11.25" customHeight="1">
      <c r="A211" s="39" t="s">
        <v>2170</v>
      </c>
      <c r="B211" s="39" t="s">
        <v>2</v>
      </c>
      <c r="C211" s="39" t="s">
        <v>2394</v>
      </c>
      <c r="D211" s="39" t="s">
        <v>2395</v>
      </c>
      <c r="E211" s="39" t="s">
        <v>2396</v>
      </c>
      <c r="F211" s="39" t="s">
        <v>2397</v>
      </c>
      <c r="G211" s="39" t="s">
        <v>2398</v>
      </c>
      <c r="H211" t="s">
        <v>4</v>
      </c>
      <c r="I211" s="39" t="s">
        <v>817</v>
      </c>
    </row>
    <row r="212" spans="1:9" ht="11.25" customHeight="1">
      <c r="A212" s="39" t="s">
        <v>2170</v>
      </c>
      <c r="B212" s="39" t="s">
        <v>2</v>
      </c>
      <c r="C212" s="39" t="s">
        <v>2403</v>
      </c>
      <c r="D212" s="39" t="s">
        <v>2404</v>
      </c>
      <c r="E212" s="39" t="s">
        <v>2405</v>
      </c>
      <c r="F212" s="39" t="s">
        <v>498</v>
      </c>
      <c r="G212" s="39" t="s">
        <v>2406</v>
      </c>
      <c r="H212" t="s">
        <v>4</v>
      </c>
      <c r="I212" s="39" t="s">
        <v>817</v>
      </c>
    </row>
    <row r="213" spans="1:9" ht="11.25" customHeight="1">
      <c r="A213" s="39" t="s">
        <v>2170</v>
      </c>
      <c r="B213" s="39" t="s">
        <v>2</v>
      </c>
      <c r="C213" s="39" t="s">
        <v>2407</v>
      </c>
      <c r="D213" s="39" t="s">
        <v>2408</v>
      </c>
      <c r="E213" s="39" t="s">
        <v>2409</v>
      </c>
      <c r="F213" s="39" t="s">
        <v>2188</v>
      </c>
      <c r="G213" t="s">
        <v>4</v>
      </c>
      <c r="H213" t="s">
        <v>4</v>
      </c>
      <c r="I213" s="39" t="s">
        <v>817</v>
      </c>
    </row>
    <row r="214" spans="1:9" ht="11.25" customHeight="1">
      <c r="A214" s="39" t="s">
        <v>2170</v>
      </c>
      <c r="B214" s="39" t="s">
        <v>2</v>
      </c>
      <c r="C214" s="39" t="s">
        <v>2430</v>
      </c>
      <c r="D214" s="39" t="s">
        <v>2431</v>
      </c>
      <c r="E214" s="39" t="s">
        <v>2432</v>
      </c>
      <c r="F214" s="39" t="s">
        <v>2433</v>
      </c>
      <c r="G214" t="s">
        <v>4</v>
      </c>
      <c r="H214" t="s">
        <v>4</v>
      </c>
      <c r="I214" s="39" t="s">
        <v>817</v>
      </c>
    </row>
    <row r="215" spans="1:9" ht="11.25" customHeight="1">
      <c r="A215" s="39" t="s">
        <v>2170</v>
      </c>
      <c r="B215" s="39" t="s">
        <v>2</v>
      </c>
      <c r="C215" s="39" t="s">
        <v>2447</v>
      </c>
      <c r="D215" s="39" t="s">
        <v>2448</v>
      </c>
      <c r="E215" s="39" t="s">
        <v>2449</v>
      </c>
      <c r="F215" s="39" t="s">
        <v>2349</v>
      </c>
      <c r="G215" t="s">
        <v>4</v>
      </c>
      <c r="H215" t="s">
        <v>4</v>
      </c>
      <c r="I215" s="39" t="s">
        <v>817</v>
      </c>
    </row>
    <row r="216" spans="1:9" ht="11.25" customHeight="1">
      <c r="A216" s="39" t="s">
        <v>2170</v>
      </c>
      <c r="B216" s="39" t="s">
        <v>2</v>
      </c>
      <c r="C216" s="39" t="s">
        <v>2492</v>
      </c>
      <c r="D216" s="39" t="s">
        <v>2493</v>
      </c>
      <c r="E216" s="39" t="s">
        <v>2494</v>
      </c>
      <c r="F216" s="39" t="s">
        <v>2291</v>
      </c>
      <c r="G216" t="s">
        <v>4</v>
      </c>
      <c r="H216" t="s">
        <v>4</v>
      </c>
      <c r="I216" s="39" t="s">
        <v>817</v>
      </c>
    </row>
    <row r="217" spans="1:9" ht="11.25" customHeight="1">
      <c r="A217" s="39" t="s">
        <v>2170</v>
      </c>
      <c r="B217" s="39" t="s">
        <v>2</v>
      </c>
      <c r="C217" s="39" t="s">
        <v>2495</v>
      </c>
      <c r="D217" s="39" t="s">
        <v>2496</v>
      </c>
      <c r="E217" s="39" t="s">
        <v>2497</v>
      </c>
      <c r="F217" s="39" t="s">
        <v>2180</v>
      </c>
      <c r="G217" s="39" t="s">
        <v>2498</v>
      </c>
      <c r="H217" t="s">
        <v>4</v>
      </c>
      <c r="I217" s="39" t="s">
        <v>817</v>
      </c>
    </row>
    <row r="218" spans="1:9" ht="11.25" customHeight="1">
      <c r="A218" s="39" t="s">
        <v>2170</v>
      </c>
      <c r="B218" s="39" t="s">
        <v>2</v>
      </c>
      <c r="C218" s="39" t="s">
        <v>2505</v>
      </c>
      <c r="D218" s="39" t="s">
        <v>2506</v>
      </c>
      <c r="E218" s="39" t="s">
        <v>2507</v>
      </c>
      <c r="F218" s="39" t="s">
        <v>2284</v>
      </c>
      <c r="G218" t="s">
        <v>4</v>
      </c>
      <c r="H218" t="s">
        <v>4</v>
      </c>
      <c r="I218" s="39" t="s">
        <v>817</v>
      </c>
    </row>
    <row r="219" spans="1:9" ht="11.25" customHeight="1">
      <c r="A219" s="39" t="s">
        <v>2170</v>
      </c>
      <c r="B219" s="39" t="s">
        <v>2</v>
      </c>
      <c r="C219" s="39" t="s">
        <v>2508</v>
      </c>
      <c r="D219" s="39" t="s">
        <v>2509</v>
      </c>
      <c r="E219" s="39" t="s">
        <v>2510</v>
      </c>
      <c r="F219" s="39" t="s">
        <v>2511</v>
      </c>
      <c r="G219" t="s">
        <v>4</v>
      </c>
      <c r="H219" t="s">
        <v>4</v>
      </c>
      <c r="I219" s="39" t="s">
        <v>817</v>
      </c>
    </row>
    <row r="220" spans="1:9" ht="11.25" customHeight="1">
      <c r="A220" s="39" t="s">
        <v>2170</v>
      </c>
      <c r="B220" s="39" t="s">
        <v>2</v>
      </c>
      <c r="C220" s="39" t="s">
        <v>2527</v>
      </c>
      <c r="D220" s="39" t="s">
        <v>2528</v>
      </c>
      <c r="E220" s="39" t="s">
        <v>2529</v>
      </c>
      <c r="F220" s="39" t="s">
        <v>2180</v>
      </c>
      <c r="G220" s="39" t="s">
        <v>2530</v>
      </c>
      <c r="H220" t="s">
        <v>4</v>
      </c>
      <c r="I220" s="39" t="s">
        <v>817</v>
      </c>
    </row>
    <row r="221" spans="1:9" ht="11.25" customHeight="1">
      <c r="A221" s="39" t="s">
        <v>2170</v>
      </c>
      <c r="B221" s="39" t="s">
        <v>2</v>
      </c>
      <c r="C221" s="39" t="s">
        <v>2531</v>
      </c>
      <c r="D221" s="39" t="s">
        <v>2532</v>
      </c>
      <c r="E221" s="39" t="s">
        <v>2533</v>
      </c>
      <c r="F221" s="39" t="s">
        <v>2193</v>
      </c>
      <c r="G221" t="s">
        <v>4</v>
      </c>
      <c r="H221" t="s">
        <v>4</v>
      </c>
      <c r="I221" s="39" t="s">
        <v>817</v>
      </c>
    </row>
    <row r="222" spans="1:9" ht="11.25" customHeight="1">
      <c r="A222" s="39" t="s">
        <v>2170</v>
      </c>
      <c r="B222" s="39" t="s">
        <v>2</v>
      </c>
      <c r="C222" s="39" t="s">
        <v>2534</v>
      </c>
      <c r="D222" s="39" t="s">
        <v>2535</v>
      </c>
      <c r="E222" s="39" t="s">
        <v>2536</v>
      </c>
      <c r="F222" s="39" t="s">
        <v>2442</v>
      </c>
      <c r="G222" t="s">
        <v>4</v>
      </c>
      <c r="H222" t="s">
        <v>4</v>
      </c>
      <c r="I222" s="39" t="s">
        <v>817</v>
      </c>
    </row>
    <row r="223" spans="1:9" ht="11.25" customHeight="1">
      <c r="A223" s="39" t="s">
        <v>2170</v>
      </c>
      <c r="B223" s="39" t="s">
        <v>2</v>
      </c>
      <c r="C223" s="39" t="s">
        <v>2537</v>
      </c>
      <c r="D223" s="39" t="s">
        <v>2538</v>
      </c>
      <c r="E223" s="39" t="s">
        <v>2539</v>
      </c>
      <c r="F223" s="39" t="s">
        <v>2364</v>
      </c>
      <c r="G223" t="s">
        <v>4</v>
      </c>
      <c r="H223" t="s">
        <v>4</v>
      </c>
      <c r="I223" s="39" t="s">
        <v>817</v>
      </c>
    </row>
    <row r="224" spans="1:9" ht="11.25" customHeight="1">
      <c r="A224" s="39" t="s">
        <v>2170</v>
      </c>
      <c r="B224" s="39" t="s">
        <v>2</v>
      </c>
      <c r="C224" s="39" t="s">
        <v>2543</v>
      </c>
      <c r="D224" s="39" t="s">
        <v>2544</v>
      </c>
      <c r="E224" s="39" t="s">
        <v>2545</v>
      </c>
      <c r="F224" s="39" t="s">
        <v>2546</v>
      </c>
      <c r="G224" s="39" t="s">
        <v>2547</v>
      </c>
      <c r="H224" t="s">
        <v>4</v>
      </c>
      <c r="I224" s="39" t="s">
        <v>817</v>
      </c>
    </row>
    <row r="225" spans="1:9" ht="11.25" customHeight="1">
      <c r="A225" s="39" t="s">
        <v>2170</v>
      </c>
      <c r="B225" s="39" t="s">
        <v>2</v>
      </c>
      <c r="C225" s="39" t="s">
        <v>2555</v>
      </c>
      <c r="D225" s="39" t="s">
        <v>2556</v>
      </c>
      <c r="E225" s="39" t="s">
        <v>2557</v>
      </c>
      <c r="F225" s="39" t="s">
        <v>2558</v>
      </c>
      <c r="G225" t="s">
        <v>4</v>
      </c>
      <c r="H225" t="s">
        <v>4</v>
      </c>
      <c r="I225" s="39" t="s">
        <v>817</v>
      </c>
    </row>
    <row r="226" spans="1:9" ht="11.25" customHeight="1">
      <c r="A226" s="39" t="s">
        <v>2170</v>
      </c>
      <c r="B226" s="39" t="s">
        <v>2</v>
      </c>
      <c r="C226" s="39" t="s">
        <v>2568</v>
      </c>
      <c r="D226" s="39" t="s">
        <v>2569</v>
      </c>
      <c r="E226" s="39" t="s">
        <v>2570</v>
      </c>
      <c r="F226" s="39" t="s">
        <v>2385</v>
      </c>
      <c r="G226" t="s">
        <v>4</v>
      </c>
      <c r="H226" t="s">
        <v>4</v>
      </c>
      <c r="I226" s="39" t="s">
        <v>817</v>
      </c>
    </row>
    <row r="227" spans="1:9" ht="11.25" customHeight="1">
      <c r="A227" s="39" t="s">
        <v>2170</v>
      </c>
      <c r="B227" s="39" t="s">
        <v>2</v>
      </c>
      <c r="C227" s="39" t="s">
        <v>2571</v>
      </c>
      <c r="D227" s="39" t="s">
        <v>2572</v>
      </c>
      <c r="E227" s="39" t="s">
        <v>2573</v>
      </c>
      <c r="F227" s="39" t="s">
        <v>2558</v>
      </c>
      <c r="G227" s="39" t="s">
        <v>2574</v>
      </c>
      <c r="H227" t="s">
        <v>4</v>
      </c>
      <c r="I227" s="39" t="s">
        <v>817</v>
      </c>
    </row>
    <row r="228" spans="1:9" ht="11.25" customHeight="1">
      <c r="A228" s="39" t="s">
        <v>2170</v>
      </c>
      <c r="B228" s="39" t="s">
        <v>2</v>
      </c>
      <c r="C228" s="39" t="s">
        <v>2578</v>
      </c>
      <c r="D228" s="39" t="s">
        <v>2579</v>
      </c>
      <c r="E228" s="39" t="s">
        <v>2580</v>
      </c>
      <c r="F228" s="39" t="s">
        <v>2236</v>
      </c>
      <c r="G228" t="s">
        <v>4</v>
      </c>
      <c r="H228" t="s">
        <v>4</v>
      </c>
      <c r="I228" s="39" t="s">
        <v>817</v>
      </c>
    </row>
    <row r="229" spans="1:9" ht="11.25" customHeight="1">
      <c r="A229" s="39" t="s">
        <v>2170</v>
      </c>
      <c r="B229" s="39" t="s">
        <v>2</v>
      </c>
      <c r="C229" s="39" t="s">
        <v>2581</v>
      </c>
      <c r="D229" s="39" t="s">
        <v>2582</v>
      </c>
      <c r="E229" s="39" t="s">
        <v>2583</v>
      </c>
      <c r="F229" s="39" t="s">
        <v>2284</v>
      </c>
      <c r="G229" t="s">
        <v>4</v>
      </c>
      <c r="H229" t="s">
        <v>4</v>
      </c>
      <c r="I229" s="39" t="s">
        <v>817</v>
      </c>
    </row>
    <row r="230" spans="1:9" ht="11.25" customHeight="1">
      <c r="A230" s="39" t="s">
        <v>2170</v>
      </c>
      <c r="B230" s="39" t="s">
        <v>2</v>
      </c>
      <c r="C230" s="39" t="s">
        <v>2584</v>
      </c>
      <c r="D230" s="39" t="s">
        <v>2585</v>
      </c>
      <c r="E230" s="39" t="s">
        <v>2586</v>
      </c>
      <c r="F230" s="39" t="s">
        <v>2349</v>
      </c>
      <c r="G230" t="s">
        <v>4</v>
      </c>
      <c r="H230" t="s">
        <v>4</v>
      </c>
      <c r="I230" s="39" t="s">
        <v>817</v>
      </c>
    </row>
    <row r="231" spans="1:9" ht="11.25" customHeight="1">
      <c r="A231" s="39" t="s">
        <v>2170</v>
      </c>
      <c r="B231" s="39" t="s">
        <v>2</v>
      </c>
      <c r="C231" s="39" t="s">
        <v>2590</v>
      </c>
      <c r="D231" s="39" t="s">
        <v>2591</v>
      </c>
      <c r="E231" s="39" t="s">
        <v>2592</v>
      </c>
      <c r="F231" s="39" t="s">
        <v>2593</v>
      </c>
      <c r="G231" s="39" t="s">
        <v>2594</v>
      </c>
      <c r="H231" t="s">
        <v>4</v>
      </c>
      <c r="I231" s="39" t="s">
        <v>817</v>
      </c>
    </row>
    <row r="232" spans="1:9" ht="11.25" customHeight="1">
      <c r="A232" s="39" t="s">
        <v>2170</v>
      </c>
      <c r="B232" s="39" t="s">
        <v>2</v>
      </c>
      <c r="C232" s="39" t="s">
        <v>2595</v>
      </c>
      <c r="D232" s="39" t="s">
        <v>2596</v>
      </c>
      <c r="E232" s="39" t="s">
        <v>2597</v>
      </c>
      <c r="F232" s="39" t="s">
        <v>2248</v>
      </c>
      <c r="G232" t="s">
        <v>4</v>
      </c>
      <c r="H232" t="s">
        <v>4</v>
      </c>
      <c r="I232" s="39" t="s">
        <v>817</v>
      </c>
    </row>
    <row r="233" spans="1:9" ht="11.25" customHeight="1">
      <c r="A233" s="39" t="s">
        <v>2170</v>
      </c>
      <c r="B233" s="39" t="s">
        <v>2</v>
      </c>
      <c r="C233" s="39" t="s">
        <v>2601</v>
      </c>
      <c r="D233" s="39" t="s">
        <v>2602</v>
      </c>
      <c r="E233" s="39" t="s">
        <v>2603</v>
      </c>
      <c r="F233" s="39" t="s">
        <v>2522</v>
      </c>
      <c r="G233" t="s">
        <v>4</v>
      </c>
      <c r="H233" t="s">
        <v>4</v>
      </c>
      <c r="I233" s="39" t="s">
        <v>817</v>
      </c>
    </row>
    <row r="234" spans="1:9" ht="11.25" customHeight="1">
      <c r="A234" s="39" t="s">
        <v>2170</v>
      </c>
      <c r="B234" s="39" t="s">
        <v>2</v>
      </c>
      <c r="C234" s="39" t="s">
        <v>2618</v>
      </c>
      <c r="D234" s="39" t="s">
        <v>2619</v>
      </c>
      <c r="E234" s="39" t="s">
        <v>2620</v>
      </c>
      <c r="F234" s="39" t="s">
        <v>2621</v>
      </c>
      <c r="G234" s="39" t="s">
        <v>2622</v>
      </c>
      <c r="H234" t="s">
        <v>4</v>
      </c>
      <c r="I234" s="39" t="s">
        <v>817</v>
      </c>
    </row>
    <row r="235" spans="1:9" ht="11.25" customHeight="1">
      <c r="A235" s="39" t="s">
        <v>2170</v>
      </c>
      <c r="B235" s="39" t="s">
        <v>2</v>
      </c>
      <c r="C235" s="39" t="s">
        <v>2623</v>
      </c>
      <c r="D235" s="39" t="s">
        <v>2624</v>
      </c>
      <c r="E235" s="39" t="s">
        <v>2625</v>
      </c>
      <c r="F235" s="39" t="s">
        <v>2198</v>
      </c>
      <c r="G235" t="s">
        <v>4</v>
      </c>
      <c r="H235" t="s">
        <v>4</v>
      </c>
      <c r="I235" s="39" t="s">
        <v>817</v>
      </c>
    </row>
    <row r="236" spans="1:9" ht="11.25" customHeight="1">
      <c r="A236" s="39" t="s">
        <v>2170</v>
      </c>
      <c r="B236" s="39" t="s">
        <v>2</v>
      </c>
      <c r="C236" s="39" t="s">
        <v>2626</v>
      </c>
      <c r="D236" s="39" t="s">
        <v>2627</v>
      </c>
      <c r="E236" s="39" t="s">
        <v>2628</v>
      </c>
      <c r="F236" s="39" t="s">
        <v>2393</v>
      </c>
      <c r="G236" s="39" t="s">
        <v>2629</v>
      </c>
      <c r="H236" t="s">
        <v>4</v>
      </c>
      <c r="I236" s="39" t="s">
        <v>817</v>
      </c>
    </row>
    <row r="237" spans="1:9" ht="11.25" customHeight="1">
      <c r="A237" s="39" t="s">
        <v>2170</v>
      </c>
      <c r="B237" s="39" t="s">
        <v>2</v>
      </c>
      <c r="C237" s="39" t="s">
        <v>2630</v>
      </c>
      <c r="D237" s="39" t="s">
        <v>2631</v>
      </c>
      <c r="E237" s="39" t="s">
        <v>2632</v>
      </c>
      <c r="F237" s="39" t="s">
        <v>2562</v>
      </c>
      <c r="G237" s="39" t="s">
        <v>2633</v>
      </c>
      <c r="H237" t="s">
        <v>4</v>
      </c>
      <c r="I237" s="39" t="s">
        <v>817</v>
      </c>
    </row>
    <row r="238" spans="1:9" ht="11.25" customHeight="1">
      <c r="A238" s="39" t="s">
        <v>2170</v>
      </c>
      <c r="B238" s="39" t="s">
        <v>2</v>
      </c>
      <c r="C238" s="39" t="s">
        <v>2634</v>
      </c>
      <c r="D238" s="39" t="s">
        <v>2635</v>
      </c>
      <c r="E238" s="39" t="s">
        <v>2636</v>
      </c>
      <c r="F238" s="39" t="s">
        <v>2180</v>
      </c>
      <c r="G238" t="s">
        <v>4</v>
      </c>
      <c r="H238" t="s">
        <v>4</v>
      </c>
      <c r="I238" s="39" t="s">
        <v>817</v>
      </c>
    </row>
    <row r="239" spans="1:9" ht="11.25" customHeight="1">
      <c r="A239" s="39" t="s">
        <v>2170</v>
      </c>
      <c r="B239" s="39" t="s">
        <v>2</v>
      </c>
      <c r="C239" s="39" t="s">
        <v>2650</v>
      </c>
      <c r="D239" s="39" t="s">
        <v>2651</v>
      </c>
      <c r="E239" s="39" t="s">
        <v>2652</v>
      </c>
      <c r="F239" s="39" t="s">
        <v>2180</v>
      </c>
      <c r="G239" t="s">
        <v>4</v>
      </c>
      <c r="H239" t="s">
        <v>4</v>
      </c>
      <c r="I239" s="39" t="s">
        <v>817</v>
      </c>
    </row>
    <row r="240" spans="1:9" ht="11.25" customHeight="1">
      <c r="A240" s="39" t="s">
        <v>2170</v>
      </c>
      <c r="B240" s="39" t="s">
        <v>2</v>
      </c>
      <c r="C240" s="39" t="s">
        <v>2653</v>
      </c>
      <c r="D240" s="39" t="s">
        <v>2654</v>
      </c>
      <c r="E240" s="39" t="s">
        <v>2655</v>
      </c>
      <c r="F240" s="39" t="s">
        <v>2442</v>
      </c>
      <c r="G240" s="39" t="s">
        <v>2656</v>
      </c>
      <c r="H240" t="s">
        <v>4</v>
      </c>
      <c r="I240" s="39" t="s">
        <v>817</v>
      </c>
    </row>
    <row r="241" spans="1:9" ht="11.25" customHeight="1">
      <c r="A241" s="39" t="s">
        <v>2170</v>
      </c>
      <c r="B241" s="39" t="s">
        <v>2</v>
      </c>
      <c r="C241" s="39" t="s">
        <v>2672</v>
      </c>
      <c r="D241" s="39" t="s">
        <v>2673</v>
      </c>
      <c r="E241" s="39" t="s">
        <v>2674</v>
      </c>
      <c r="F241" s="39" t="s">
        <v>2198</v>
      </c>
      <c r="G241" t="s">
        <v>4</v>
      </c>
      <c r="H241" t="s">
        <v>4</v>
      </c>
      <c r="I241" s="39" t="s">
        <v>817</v>
      </c>
    </row>
    <row r="242" spans="1:9" ht="11.25" customHeight="1">
      <c r="A242" s="39" t="s">
        <v>2170</v>
      </c>
      <c r="B242" s="39" t="s">
        <v>2</v>
      </c>
      <c r="C242" s="39" t="s">
        <v>2675</v>
      </c>
      <c r="D242" s="39" t="s">
        <v>2676</v>
      </c>
      <c r="E242" s="39" t="s">
        <v>2677</v>
      </c>
      <c r="F242" s="39" t="s">
        <v>2215</v>
      </c>
      <c r="G242" t="s">
        <v>4</v>
      </c>
      <c r="H242" t="s">
        <v>4</v>
      </c>
      <c r="I242" s="39" t="s">
        <v>817</v>
      </c>
    </row>
    <row r="243" spans="1:9" ht="11.25" customHeight="1">
      <c r="A243" s="39" t="s">
        <v>2170</v>
      </c>
      <c r="B243" s="39" t="s">
        <v>2</v>
      </c>
      <c r="C243" s="39" t="s">
        <v>2692</v>
      </c>
      <c r="D243" s="39" t="s">
        <v>2693</v>
      </c>
      <c r="E243" s="39" t="s">
        <v>2694</v>
      </c>
      <c r="F243" s="39" t="s">
        <v>2284</v>
      </c>
      <c r="G243" t="s">
        <v>4</v>
      </c>
      <c r="H243" t="s">
        <v>4</v>
      </c>
      <c r="I243" s="39" t="s">
        <v>817</v>
      </c>
    </row>
    <row r="244" spans="1:9" ht="11.25" customHeight="1">
      <c r="A244" s="39" t="s">
        <v>2170</v>
      </c>
      <c r="B244" s="39" t="s">
        <v>2</v>
      </c>
      <c r="C244" s="39" t="s">
        <v>2710</v>
      </c>
      <c r="D244" s="39" t="s">
        <v>2711</v>
      </c>
      <c r="E244" s="39" t="s">
        <v>2712</v>
      </c>
      <c r="F244" s="39" t="s">
        <v>2295</v>
      </c>
      <c r="G244" t="s">
        <v>4</v>
      </c>
      <c r="H244" t="s">
        <v>4</v>
      </c>
      <c r="I244" s="39" t="s">
        <v>817</v>
      </c>
    </row>
    <row r="245" spans="1:9" ht="11.25" customHeight="1">
      <c r="A245" s="39" t="s">
        <v>2170</v>
      </c>
      <c r="B245" s="39" t="s">
        <v>2</v>
      </c>
      <c r="C245" s="39" t="s">
        <v>2716</v>
      </c>
      <c r="D245" s="39" t="s">
        <v>2717</v>
      </c>
      <c r="E245" s="39" t="s">
        <v>2718</v>
      </c>
      <c r="F245" s="39" t="s">
        <v>15</v>
      </c>
      <c r="G245" s="39" t="s">
        <v>2189</v>
      </c>
      <c r="H245" t="s">
        <v>4</v>
      </c>
      <c r="I245" s="39" t="s">
        <v>817</v>
      </c>
    </row>
    <row r="246" spans="1:9" ht="11.25" customHeight="1">
      <c r="A246" s="39" t="s">
        <v>2170</v>
      </c>
      <c r="B246" s="39" t="s">
        <v>2</v>
      </c>
      <c r="C246" s="39" t="s">
        <v>2736</v>
      </c>
      <c r="D246" s="39" t="s">
        <v>2737</v>
      </c>
      <c r="E246" s="39" t="s">
        <v>2738</v>
      </c>
      <c r="F246" s="39" t="s">
        <v>2739</v>
      </c>
      <c r="G246" s="39" t="s">
        <v>2740</v>
      </c>
      <c r="H246" t="s">
        <v>4</v>
      </c>
      <c r="I246" s="39" t="s">
        <v>817</v>
      </c>
    </row>
    <row r="247" spans="1:9" ht="11.25" customHeight="1">
      <c r="A247" s="39" t="s">
        <v>2170</v>
      </c>
      <c r="B247" s="39" t="s">
        <v>2</v>
      </c>
      <c r="C247" s="39" t="s">
        <v>0</v>
      </c>
      <c r="D247" s="39" t="s">
        <v>11</v>
      </c>
      <c r="E247" s="39" t="s">
        <v>13</v>
      </c>
      <c r="F247" s="39" t="s">
        <v>15</v>
      </c>
      <c r="G247" t="s">
        <v>4</v>
      </c>
      <c r="H247" t="s">
        <v>4</v>
      </c>
      <c r="I247" s="39" t="s">
        <v>817</v>
      </c>
    </row>
    <row r="248" spans="1:9" ht="11.25" customHeight="1">
      <c r="A248" s="39" t="s">
        <v>2170</v>
      </c>
      <c r="B248" s="39" t="s">
        <v>2</v>
      </c>
      <c r="C248" s="39" t="s">
        <v>2752</v>
      </c>
      <c r="D248" s="39" t="s">
        <v>2753</v>
      </c>
      <c r="E248" s="39" t="s">
        <v>2754</v>
      </c>
      <c r="F248" s="39" t="s">
        <v>2180</v>
      </c>
      <c r="G248" t="s">
        <v>4</v>
      </c>
      <c r="H248" t="s">
        <v>4</v>
      </c>
      <c r="I248" s="39" t="s">
        <v>817</v>
      </c>
    </row>
    <row r="249" spans="1:9" ht="11.25" customHeight="1">
      <c r="A249" s="39" t="s">
        <v>2170</v>
      </c>
      <c r="B249" s="39" t="s">
        <v>2</v>
      </c>
      <c r="C249" s="39" t="s">
        <v>2755</v>
      </c>
      <c r="D249" s="39" t="s">
        <v>2756</v>
      </c>
      <c r="E249" s="39" t="s">
        <v>2757</v>
      </c>
      <c r="F249" s="39" t="s">
        <v>2442</v>
      </c>
      <c r="G249" t="s">
        <v>4</v>
      </c>
      <c r="H249" t="s">
        <v>4</v>
      </c>
      <c r="I249" s="39" t="s">
        <v>817</v>
      </c>
    </row>
    <row r="250" spans="1:9" ht="11.25" customHeight="1">
      <c r="A250" s="39" t="s">
        <v>2170</v>
      </c>
      <c r="B250" s="39" t="s">
        <v>2</v>
      </c>
      <c r="C250" s="39" t="s">
        <v>2758</v>
      </c>
      <c r="D250" s="39" t="s">
        <v>2759</v>
      </c>
      <c r="E250" s="39" t="s">
        <v>2760</v>
      </c>
      <c r="F250" s="39" t="s">
        <v>2180</v>
      </c>
      <c r="G250" t="s">
        <v>4</v>
      </c>
      <c r="H250" t="s">
        <v>4</v>
      </c>
      <c r="I250" s="39" t="s">
        <v>817</v>
      </c>
    </row>
    <row r="251" spans="1:9" ht="11.25" customHeight="1">
      <c r="A251" s="39" t="s">
        <v>2170</v>
      </c>
      <c r="B251" s="39" t="s">
        <v>2</v>
      </c>
      <c r="C251" s="39" t="s">
        <v>2765</v>
      </c>
      <c r="D251" s="39" t="s">
        <v>2766</v>
      </c>
      <c r="E251" s="39" t="s">
        <v>2767</v>
      </c>
      <c r="F251" s="39" t="s">
        <v>2768</v>
      </c>
      <c r="G251" t="s">
        <v>4</v>
      </c>
      <c r="H251" t="s">
        <v>4</v>
      </c>
      <c r="I251" s="39" t="s">
        <v>817</v>
      </c>
    </row>
    <row r="252" spans="1:9" ht="11.25" customHeight="1">
      <c r="A252" s="39" t="s">
        <v>2170</v>
      </c>
      <c r="B252" s="39" t="s">
        <v>2</v>
      </c>
      <c r="C252" s="39" t="s">
        <v>2777</v>
      </c>
      <c r="D252" s="39" t="s">
        <v>2778</v>
      </c>
      <c r="E252" s="39" t="s">
        <v>2779</v>
      </c>
      <c r="F252" s="39" t="s">
        <v>2244</v>
      </c>
      <c r="G252" t="s">
        <v>4</v>
      </c>
      <c r="H252" t="s">
        <v>4</v>
      </c>
      <c r="I252" s="39" t="s">
        <v>817</v>
      </c>
    </row>
    <row r="253" spans="1:9" ht="11.25" customHeight="1">
      <c r="A253" s="39" t="s">
        <v>2170</v>
      </c>
      <c r="B253" s="39" t="s">
        <v>2</v>
      </c>
      <c r="C253" s="39" t="s">
        <v>2780</v>
      </c>
      <c r="D253" s="39" t="s">
        <v>2781</v>
      </c>
      <c r="E253" s="39" t="s">
        <v>2782</v>
      </c>
      <c r="F253" s="39" t="s">
        <v>2271</v>
      </c>
      <c r="G253" t="s">
        <v>4</v>
      </c>
      <c r="H253" t="s">
        <v>4</v>
      </c>
      <c r="I253" s="39" t="s">
        <v>817</v>
      </c>
    </row>
    <row r="254" spans="1:9" ht="11.25" customHeight="1">
      <c r="A254" s="39" t="s">
        <v>2170</v>
      </c>
      <c r="B254" s="39" t="s">
        <v>2</v>
      </c>
      <c r="C254" s="39" t="s">
        <v>2783</v>
      </c>
      <c r="D254" s="39" t="s">
        <v>2784</v>
      </c>
      <c r="E254" s="39" t="s">
        <v>2785</v>
      </c>
      <c r="F254" s="39" t="s">
        <v>2786</v>
      </c>
      <c r="G254" t="s">
        <v>4</v>
      </c>
      <c r="H254" t="s">
        <v>4</v>
      </c>
      <c r="I254" s="39" t="s">
        <v>817</v>
      </c>
    </row>
    <row r="255" spans="1:9" ht="11.25" customHeight="1">
      <c r="A255" s="39" t="s">
        <v>2170</v>
      </c>
      <c r="B255" s="39" t="s">
        <v>2</v>
      </c>
      <c r="C255" s="39" t="s">
        <v>2787</v>
      </c>
      <c r="D255" s="39" t="s">
        <v>2788</v>
      </c>
      <c r="E255" s="39" t="s">
        <v>2785</v>
      </c>
      <c r="F255" s="39" t="s">
        <v>2789</v>
      </c>
      <c r="G255" s="39" t="s">
        <v>2790</v>
      </c>
      <c r="H255" t="s">
        <v>4</v>
      </c>
      <c r="I255" s="39" t="s">
        <v>817</v>
      </c>
    </row>
    <row r="256" spans="1:9" ht="11.25" customHeight="1">
      <c r="A256" s="39" t="s">
        <v>2170</v>
      </c>
      <c r="B256" s="39" t="s">
        <v>2</v>
      </c>
      <c r="C256" s="39" t="s">
        <v>2794</v>
      </c>
      <c r="D256" s="39" t="s">
        <v>2795</v>
      </c>
      <c r="E256" s="39" t="s">
        <v>2796</v>
      </c>
      <c r="F256" s="39" t="s">
        <v>2180</v>
      </c>
      <c r="G256" t="s">
        <v>4</v>
      </c>
      <c r="H256" t="s">
        <v>4</v>
      </c>
      <c r="I256" s="39" t="s">
        <v>817</v>
      </c>
    </row>
    <row r="257" spans="1:9" ht="11.25" customHeight="1">
      <c r="A257" s="39" t="s">
        <v>2170</v>
      </c>
      <c r="B257" s="39" t="s">
        <v>2</v>
      </c>
      <c r="C257" s="39" t="s">
        <v>2808</v>
      </c>
      <c r="D257" s="39" t="s">
        <v>2809</v>
      </c>
      <c r="E257" s="39" t="s">
        <v>2810</v>
      </c>
      <c r="F257" s="39" t="s">
        <v>2180</v>
      </c>
      <c r="G257" t="s">
        <v>4</v>
      </c>
      <c r="H257" t="s">
        <v>4</v>
      </c>
      <c r="I257" s="39" t="s">
        <v>817</v>
      </c>
    </row>
    <row r="258" spans="1:9" ht="11.25" customHeight="1">
      <c r="A258" s="39" t="s">
        <v>2170</v>
      </c>
      <c r="B258" s="39" t="s">
        <v>2</v>
      </c>
      <c r="C258" s="39" t="s">
        <v>2811</v>
      </c>
      <c r="D258" s="39" t="s">
        <v>2812</v>
      </c>
      <c r="E258" s="39" t="s">
        <v>2813</v>
      </c>
      <c r="F258" s="39" t="s">
        <v>2814</v>
      </c>
      <c r="G258" s="39" t="s">
        <v>2815</v>
      </c>
      <c r="H258" t="s">
        <v>4</v>
      </c>
      <c r="I258" s="39" t="s">
        <v>817</v>
      </c>
    </row>
    <row r="259" spans="1:9" ht="11.25" customHeight="1">
      <c r="A259" s="39" t="s">
        <v>2170</v>
      </c>
      <c r="B259" s="39" t="s">
        <v>2</v>
      </c>
      <c r="C259" s="39" t="s">
        <v>2820</v>
      </c>
      <c r="D259" s="39" t="s">
        <v>2821</v>
      </c>
      <c r="E259" s="39" t="s">
        <v>2822</v>
      </c>
      <c r="F259" s="39" t="s">
        <v>2823</v>
      </c>
      <c r="G259" t="s">
        <v>4</v>
      </c>
      <c r="H259" t="s">
        <v>4</v>
      </c>
      <c r="I259" s="39" t="s">
        <v>817</v>
      </c>
    </row>
    <row r="260" spans="1:9" ht="11.25" customHeight="1">
      <c r="A260" s="39" t="s">
        <v>2170</v>
      </c>
      <c r="B260" s="39" t="s">
        <v>2</v>
      </c>
      <c r="C260" s="39" t="s">
        <v>2828</v>
      </c>
      <c r="D260" s="39" t="s">
        <v>2829</v>
      </c>
      <c r="E260" s="39" t="s">
        <v>2830</v>
      </c>
      <c r="F260" s="39" t="s">
        <v>2823</v>
      </c>
      <c r="G260" s="39" t="s">
        <v>2831</v>
      </c>
      <c r="H260" t="s">
        <v>4</v>
      </c>
      <c r="I260" s="39" t="s">
        <v>817</v>
      </c>
    </row>
    <row r="261" spans="1:9" ht="11.25" customHeight="1">
      <c r="A261" s="39" t="s">
        <v>2170</v>
      </c>
      <c r="B261" s="39" t="s">
        <v>2</v>
      </c>
      <c r="C261" s="39" t="s">
        <v>2832</v>
      </c>
      <c r="D261" s="39" t="s">
        <v>2833</v>
      </c>
      <c r="E261" s="39" t="s">
        <v>2834</v>
      </c>
      <c r="F261" s="39" t="s">
        <v>2835</v>
      </c>
      <c r="G261" s="39" t="s">
        <v>2836</v>
      </c>
      <c r="H261" t="s">
        <v>4</v>
      </c>
      <c r="I261" s="39" t="s">
        <v>817</v>
      </c>
    </row>
    <row r="262" spans="1:9" ht="11.25" customHeight="1">
      <c r="A262" s="39" t="s">
        <v>2170</v>
      </c>
      <c r="B262" s="39" t="s">
        <v>2</v>
      </c>
      <c r="C262" s="39" t="s">
        <v>2837</v>
      </c>
      <c r="D262" s="39" t="s">
        <v>2838</v>
      </c>
      <c r="E262" s="39" t="s">
        <v>2839</v>
      </c>
      <c r="F262" s="39" t="s">
        <v>2180</v>
      </c>
      <c r="G262" t="s">
        <v>4</v>
      </c>
      <c r="H262" t="s">
        <v>4</v>
      </c>
      <c r="I262" s="39" t="s">
        <v>777</v>
      </c>
    </row>
    <row r="263" spans="1:9" ht="11.25" customHeight="1">
      <c r="A263" s="39" t="s">
        <v>2170</v>
      </c>
      <c r="B263" s="39" t="s">
        <v>2</v>
      </c>
      <c r="C263" s="39" t="s">
        <v>2204</v>
      </c>
      <c r="D263" s="39" t="s">
        <v>2205</v>
      </c>
      <c r="E263" s="39" t="s">
        <v>2206</v>
      </c>
      <c r="F263" s="39" t="s">
        <v>2207</v>
      </c>
      <c r="G263" t="s">
        <v>4</v>
      </c>
      <c r="H263" t="s">
        <v>4</v>
      </c>
      <c r="I263" s="39" t="s">
        <v>777</v>
      </c>
    </row>
    <row r="264" spans="1:9" ht="11.25" customHeight="1">
      <c r="A264" s="39" t="s">
        <v>2170</v>
      </c>
      <c r="B264" s="39" t="s">
        <v>2</v>
      </c>
      <c r="C264" s="39" t="s">
        <v>2840</v>
      </c>
      <c r="D264" s="39" t="s">
        <v>2841</v>
      </c>
      <c r="E264" s="39" t="s">
        <v>2842</v>
      </c>
      <c r="F264" s="39" t="s">
        <v>2180</v>
      </c>
      <c r="G264" t="s">
        <v>4</v>
      </c>
      <c r="H264" t="s">
        <v>4</v>
      </c>
      <c r="I264" s="39" t="s">
        <v>777</v>
      </c>
    </row>
    <row r="265" spans="1:9" ht="11.25" customHeight="1">
      <c r="A265" s="39" t="s">
        <v>2170</v>
      </c>
      <c r="B265" s="39" t="s">
        <v>2</v>
      </c>
      <c r="C265" s="39" t="s">
        <v>2216</v>
      </c>
      <c r="D265" s="39" t="s">
        <v>2217</v>
      </c>
      <c r="E265" s="39" t="s">
        <v>2218</v>
      </c>
      <c r="F265" s="39" t="s">
        <v>2180</v>
      </c>
      <c r="G265" s="39" t="s">
        <v>2219</v>
      </c>
      <c r="H265" t="s">
        <v>4</v>
      </c>
      <c r="I265" s="39" t="s">
        <v>777</v>
      </c>
    </row>
    <row r="266" spans="1:9" ht="11.25" customHeight="1">
      <c r="A266" s="39" t="s">
        <v>2170</v>
      </c>
      <c r="B266" s="39" t="s">
        <v>2</v>
      </c>
      <c r="C266" s="39" t="s">
        <v>2223</v>
      </c>
      <c r="D266" s="39" t="s">
        <v>2224</v>
      </c>
      <c r="E266" s="39" t="s">
        <v>2225</v>
      </c>
      <c r="F266" s="39" t="s">
        <v>2180</v>
      </c>
      <c r="G266" t="s">
        <v>4</v>
      </c>
      <c r="H266" t="s">
        <v>4</v>
      </c>
      <c r="I266" s="39" t="s">
        <v>777</v>
      </c>
    </row>
    <row r="267" spans="1:9" ht="11.25" customHeight="1">
      <c r="A267" s="39" t="s">
        <v>2170</v>
      </c>
      <c r="B267" s="39" t="s">
        <v>2</v>
      </c>
      <c r="C267" s="39" t="s">
        <v>2226</v>
      </c>
      <c r="D267" s="39" t="s">
        <v>2227</v>
      </c>
      <c r="E267" s="39" t="s">
        <v>2228</v>
      </c>
      <c r="F267" s="39" t="s">
        <v>2180</v>
      </c>
      <c r="G267" t="s">
        <v>4</v>
      </c>
      <c r="H267" t="s">
        <v>4</v>
      </c>
      <c r="I267" s="39" t="s">
        <v>777</v>
      </c>
    </row>
    <row r="268" spans="1:9" ht="11.25" customHeight="1">
      <c r="A268" s="39" t="s">
        <v>2170</v>
      </c>
      <c r="B268" s="39" t="s">
        <v>2</v>
      </c>
      <c r="C268" s="39" t="s">
        <v>2843</v>
      </c>
      <c r="D268" s="39" t="s">
        <v>2844</v>
      </c>
      <c r="E268" s="39" t="s">
        <v>2845</v>
      </c>
      <c r="F268" s="39" t="s">
        <v>15</v>
      </c>
      <c r="G268" s="39" t="s">
        <v>2846</v>
      </c>
      <c r="H268" t="s">
        <v>4</v>
      </c>
      <c r="I268" s="39" t="s">
        <v>777</v>
      </c>
    </row>
    <row r="269" spans="1:9" ht="11.25" customHeight="1">
      <c r="A269" s="39" t="s">
        <v>2170</v>
      </c>
      <c r="B269" s="39" t="s">
        <v>2</v>
      </c>
      <c r="C269" s="39" t="s">
        <v>2241</v>
      </c>
      <c r="D269" s="39" t="s">
        <v>2242</v>
      </c>
      <c r="E269" s="39" t="s">
        <v>2243</v>
      </c>
      <c r="F269" s="39" t="s">
        <v>2244</v>
      </c>
      <c r="G269" t="s">
        <v>4</v>
      </c>
      <c r="H269" t="s">
        <v>4</v>
      </c>
      <c r="I269" s="39" t="s">
        <v>777</v>
      </c>
    </row>
    <row r="270" spans="1:9" ht="11.25" customHeight="1">
      <c r="A270" s="39" t="s">
        <v>2170</v>
      </c>
      <c r="B270" s="39" t="s">
        <v>2</v>
      </c>
      <c r="C270" s="39" t="s">
        <v>2253</v>
      </c>
      <c r="D270" s="39" t="s">
        <v>2254</v>
      </c>
      <c r="E270" s="39" t="s">
        <v>2255</v>
      </c>
      <c r="F270" s="39" t="s">
        <v>2256</v>
      </c>
      <c r="G270" t="s">
        <v>4</v>
      </c>
      <c r="H270" t="s">
        <v>4</v>
      </c>
      <c r="I270" s="39" t="s">
        <v>777</v>
      </c>
    </row>
    <row r="271" spans="1:9" ht="11.25" customHeight="1">
      <c r="A271" s="39" t="s">
        <v>2170</v>
      </c>
      <c r="B271" s="39" t="s">
        <v>2</v>
      </c>
      <c r="C271" s="39" t="s">
        <v>2265</v>
      </c>
      <c r="D271" s="39" t="s">
        <v>2266</v>
      </c>
      <c r="E271" s="39" t="s">
        <v>2267</v>
      </c>
      <c r="F271" s="39" t="s">
        <v>2252</v>
      </c>
      <c r="G271" t="s">
        <v>4</v>
      </c>
      <c r="H271" t="s">
        <v>4</v>
      </c>
      <c r="I271" s="39" t="s">
        <v>777</v>
      </c>
    </row>
    <row r="272" spans="1:9" ht="11.25" customHeight="1">
      <c r="A272" s="39" t="s">
        <v>2170</v>
      </c>
      <c r="B272" s="39" t="s">
        <v>2</v>
      </c>
      <c r="C272" s="39" t="s">
        <v>2288</v>
      </c>
      <c r="D272" s="39" t="s">
        <v>2289</v>
      </c>
      <c r="E272" s="39" t="s">
        <v>2290</v>
      </c>
      <c r="F272" s="39" t="s">
        <v>2291</v>
      </c>
      <c r="G272" t="s">
        <v>4</v>
      </c>
      <c r="H272" t="s">
        <v>4</v>
      </c>
      <c r="I272" s="39" t="s">
        <v>777</v>
      </c>
    </row>
    <row r="273" spans="1:9" ht="11.25" customHeight="1">
      <c r="A273" s="39" t="s">
        <v>2170</v>
      </c>
      <c r="B273" s="39" t="s">
        <v>2</v>
      </c>
      <c r="C273" s="39" t="s">
        <v>2847</v>
      </c>
      <c r="D273" s="39" t="s">
        <v>2848</v>
      </c>
      <c r="E273" s="39" t="s">
        <v>2849</v>
      </c>
      <c r="F273" s="39" t="s">
        <v>2180</v>
      </c>
      <c r="G273" t="s">
        <v>4</v>
      </c>
      <c r="H273" t="s">
        <v>4</v>
      </c>
      <c r="I273" s="39" t="s">
        <v>777</v>
      </c>
    </row>
    <row r="274" spans="1:9" ht="11.25" customHeight="1">
      <c r="A274" s="39" t="s">
        <v>2170</v>
      </c>
      <c r="B274" s="39" t="s">
        <v>2</v>
      </c>
      <c r="C274" s="39" t="s">
        <v>2313</v>
      </c>
      <c r="D274" s="39" t="s">
        <v>2314</v>
      </c>
      <c r="E274" s="39" t="s">
        <v>2315</v>
      </c>
      <c r="F274" s="39" t="s">
        <v>2203</v>
      </c>
      <c r="G274" t="s">
        <v>4</v>
      </c>
      <c r="H274" t="s">
        <v>4</v>
      </c>
      <c r="I274" s="39" t="s">
        <v>777</v>
      </c>
    </row>
    <row r="275" spans="1:9" ht="11.25" customHeight="1">
      <c r="A275" s="39" t="s">
        <v>2170</v>
      </c>
      <c r="B275" s="39" t="s">
        <v>2</v>
      </c>
      <c r="C275" s="39" t="s">
        <v>2321</v>
      </c>
      <c r="D275" s="39" t="s">
        <v>2322</v>
      </c>
      <c r="E275" s="39" t="s">
        <v>2323</v>
      </c>
      <c r="F275" s="39" t="s">
        <v>2324</v>
      </c>
      <c r="G275" t="s">
        <v>4</v>
      </c>
      <c r="H275" t="s">
        <v>4</v>
      </c>
      <c r="I275" s="39" t="s">
        <v>777</v>
      </c>
    </row>
    <row r="276" spans="1:9" ht="11.25" customHeight="1">
      <c r="A276" s="39" t="s">
        <v>2170</v>
      </c>
      <c r="B276" s="39" t="s">
        <v>2</v>
      </c>
      <c r="C276" s="39" t="s">
        <v>2328</v>
      </c>
      <c r="D276" s="39" t="s">
        <v>2329</v>
      </c>
      <c r="E276" s="39" t="s">
        <v>2330</v>
      </c>
      <c r="F276" s="39" t="s">
        <v>2180</v>
      </c>
      <c r="G276" t="s">
        <v>4</v>
      </c>
      <c r="H276" t="s">
        <v>4</v>
      </c>
      <c r="I276" s="39" t="s">
        <v>777</v>
      </c>
    </row>
    <row r="277" spans="1:9" ht="11.25" customHeight="1">
      <c r="A277" s="39" t="s">
        <v>2170</v>
      </c>
      <c r="B277" s="39" t="s">
        <v>2</v>
      </c>
      <c r="C277" s="39" t="s">
        <v>2346</v>
      </c>
      <c r="D277" s="39" t="s">
        <v>2347</v>
      </c>
      <c r="E277" s="39" t="s">
        <v>2348</v>
      </c>
      <c r="F277" s="39" t="s">
        <v>2349</v>
      </c>
      <c r="G277" t="s">
        <v>4</v>
      </c>
      <c r="H277" t="s">
        <v>4</v>
      </c>
      <c r="I277" s="39" t="s">
        <v>777</v>
      </c>
    </row>
    <row r="278" spans="1:9" ht="11.25" customHeight="1">
      <c r="A278" s="39" t="s">
        <v>2170</v>
      </c>
      <c r="B278" s="39" t="s">
        <v>2</v>
      </c>
      <c r="C278" s="39" t="s">
        <v>2350</v>
      </c>
      <c r="D278" s="39" t="s">
        <v>2351</v>
      </c>
      <c r="E278" s="39" t="s">
        <v>2352</v>
      </c>
      <c r="F278" s="39" t="s">
        <v>2180</v>
      </c>
      <c r="G278" t="s">
        <v>4</v>
      </c>
      <c r="H278" t="s">
        <v>4</v>
      </c>
      <c r="I278" s="39" t="s">
        <v>777</v>
      </c>
    </row>
    <row r="279" spans="1:9" ht="11.25" customHeight="1">
      <c r="A279" s="39" t="s">
        <v>2170</v>
      </c>
      <c r="B279" s="39" t="s">
        <v>2</v>
      </c>
      <c r="C279" s="39" t="s">
        <v>2353</v>
      </c>
      <c r="D279" s="39" t="s">
        <v>2354</v>
      </c>
      <c r="E279" s="39" t="s">
        <v>2355</v>
      </c>
      <c r="F279" s="39" t="s">
        <v>2180</v>
      </c>
      <c r="G279" t="s">
        <v>4</v>
      </c>
      <c r="H279" t="s">
        <v>4</v>
      </c>
      <c r="I279" s="39" t="s">
        <v>777</v>
      </c>
    </row>
    <row r="280" spans="1:9" ht="11.25" customHeight="1">
      <c r="A280" s="39" t="s">
        <v>2170</v>
      </c>
      <c r="B280" s="39" t="s">
        <v>2</v>
      </c>
      <c r="C280" s="39" t="s">
        <v>2356</v>
      </c>
      <c r="D280" s="39" t="s">
        <v>2357</v>
      </c>
      <c r="E280" s="39" t="s">
        <v>2358</v>
      </c>
      <c r="F280" s="39" t="s">
        <v>2275</v>
      </c>
      <c r="G280" t="s">
        <v>4</v>
      </c>
      <c r="H280" t="s">
        <v>4</v>
      </c>
      <c r="I280" s="39" t="s">
        <v>777</v>
      </c>
    </row>
    <row r="281" spans="1:9" ht="11.25" customHeight="1">
      <c r="A281" s="39" t="s">
        <v>2170</v>
      </c>
      <c r="B281" s="39" t="s">
        <v>2</v>
      </c>
      <c r="C281" s="39" t="s">
        <v>2359</v>
      </c>
      <c r="D281" s="39" t="s">
        <v>2360</v>
      </c>
      <c r="E281" s="39" t="s">
        <v>2361</v>
      </c>
      <c r="F281" s="39" t="s">
        <v>2180</v>
      </c>
      <c r="G281" t="s">
        <v>4</v>
      </c>
      <c r="H281" t="s">
        <v>4</v>
      </c>
      <c r="I281" s="39" t="s">
        <v>777</v>
      </c>
    </row>
    <row r="282" spans="1:9" ht="11.25" customHeight="1">
      <c r="A282" s="39" t="s">
        <v>2170</v>
      </c>
      <c r="B282" s="39" t="s">
        <v>2</v>
      </c>
      <c r="C282" s="39" t="s">
        <v>2850</v>
      </c>
      <c r="D282" s="39" t="s">
        <v>2851</v>
      </c>
      <c r="E282" s="39" t="s">
        <v>2852</v>
      </c>
      <c r="F282" s="39" t="s">
        <v>2853</v>
      </c>
      <c r="G282" t="s">
        <v>4</v>
      </c>
      <c r="H282" t="s">
        <v>4</v>
      </c>
      <c r="I282" s="39" t="s">
        <v>777</v>
      </c>
    </row>
    <row r="283" spans="1:9" ht="11.25" customHeight="1">
      <c r="A283" s="39" t="s">
        <v>2170</v>
      </c>
      <c r="B283" s="39" t="s">
        <v>2</v>
      </c>
      <c r="C283" t="s">
        <v>4</v>
      </c>
      <c r="D283" s="39" t="s">
        <v>2362</v>
      </c>
      <c r="E283" s="39" t="s">
        <v>2363</v>
      </c>
      <c r="F283" s="39" t="s">
        <v>2364</v>
      </c>
      <c r="G283" t="s">
        <v>4</v>
      </c>
      <c r="H283" t="s">
        <v>4</v>
      </c>
      <c r="I283" s="39" t="s">
        <v>777</v>
      </c>
    </row>
    <row r="284" spans="1:9" ht="11.25" customHeight="1">
      <c r="A284" s="39" t="s">
        <v>2170</v>
      </c>
      <c r="B284" s="39" t="s">
        <v>2</v>
      </c>
      <c r="C284" s="39" t="s">
        <v>2854</v>
      </c>
      <c r="D284" s="39" t="s">
        <v>2855</v>
      </c>
      <c r="E284" s="39" t="s">
        <v>2856</v>
      </c>
      <c r="F284" s="39" t="s">
        <v>2180</v>
      </c>
      <c r="G284" t="s">
        <v>4</v>
      </c>
      <c r="H284" t="s">
        <v>4</v>
      </c>
      <c r="I284" s="39" t="s">
        <v>777</v>
      </c>
    </row>
    <row r="285" spans="1:9" ht="11.25" customHeight="1">
      <c r="A285" s="39" t="s">
        <v>2170</v>
      </c>
      <c r="B285" s="39" t="s">
        <v>2</v>
      </c>
      <c r="C285" s="39" t="s">
        <v>2374</v>
      </c>
      <c r="D285" s="39" t="s">
        <v>2375</v>
      </c>
      <c r="E285" s="39" t="s">
        <v>2376</v>
      </c>
      <c r="F285" s="39" t="s">
        <v>2180</v>
      </c>
      <c r="G285" t="s">
        <v>4</v>
      </c>
      <c r="H285" t="s">
        <v>4</v>
      </c>
      <c r="I285" s="39" t="s">
        <v>777</v>
      </c>
    </row>
    <row r="286" spans="1:9" ht="11.25" customHeight="1">
      <c r="A286" s="39" t="s">
        <v>2170</v>
      </c>
      <c r="B286" s="39" t="s">
        <v>2</v>
      </c>
      <c r="C286" s="39" t="s">
        <v>2857</v>
      </c>
      <c r="D286" s="39" t="s">
        <v>2858</v>
      </c>
      <c r="E286" s="39" t="s">
        <v>2859</v>
      </c>
      <c r="F286" s="39" t="s">
        <v>2860</v>
      </c>
      <c r="G286" t="s">
        <v>4</v>
      </c>
      <c r="H286" t="s">
        <v>4</v>
      </c>
      <c r="I286" s="39" t="s">
        <v>777</v>
      </c>
    </row>
    <row r="287" spans="1:9" ht="11.25" customHeight="1">
      <c r="A287" s="39" t="s">
        <v>2170</v>
      </c>
      <c r="B287" s="39" t="s">
        <v>2</v>
      </c>
      <c r="C287" s="39" t="s">
        <v>2377</v>
      </c>
      <c r="D287" s="39" t="s">
        <v>2378</v>
      </c>
      <c r="E287" s="39" t="s">
        <v>2379</v>
      </c>
      <c r="F287" s="39" t="s">
        <v>2176</v>
      </c>
      <c r="G287" s="39" t="s">
        <v>2380</v>
      </c>
      <c r="H287" s="39" t="s">
        <v>2381</v>
      </c>
      <c r="I287" s="39" t="s">
        <v>777</v>
      </c>
    </row>
    <row r="288" spans="1:9" ht="11.25" customHeight="1">
      <c r="A288" s="39" t="s">
        <v>2170</v>
      </c>
      <c r="B288" s="39" t="s">
        <v>2</v>
      </c>
      <c r="C288" s="39" t="s">
        <v>2387</v>
      </c>
      <c r="D288" s="39" t="s">
        <v>2388</v>
      </c>
      <c r="E288" s="39" t="s">
        <v>2389</v>
      </c>
      <c r="F288" s="39" t="s">
        <v>2271</v>
      </c>
      <c r="G288" t="s">
        <v>4</v>
      </c>
      <c r="H288" t="s">
        <v>4</v>
      </c>
      <c r="I288" s="39" t="s">
        <v>777</v>
      </c>
    </row>
    <row r="289" spans="1:9" ht="11.25" customHeight="1">
      <c r="A289" s="39" t="s">
        <v>2170</v>
      </c>
      <c r="B289" s="39" t="s">
        <v>2</v>
      </c>
      <c r="C289" s="39" t="s">
        <v>2394</v>
      </c>
      <c r="D289" s="39" t="s">
        <v>2395</v>
      </c>
      <c r="E289" s="39" t="s">
        <v>2396</v>
      </c>
      <c r="F289" s="39" t="s">
        <v>2397</v>
      </c>
      <c r="G289" s="39" t="s">
        <v>2398</v>
      </c>
      <c r="H289" t="s">
        <v>4</v>
      </c>
      <c r="I289" s="39" t="s">
        <v>777</v>
      </c>
    </row>
    <row r="290" spans="1:9" ht="11.25" customHeight="1">
      <c r="A290" s="39" t="s">
        <v>2170</v>
      </c>
      <c r="B290" s="39" t="s">
        <v>2</v>
      </c>
      <c r="C290" s="39" t="s">
        <v>2861</v>
      </c>
      <c r="D290" s="39" t="s">
        <v>2862</v>
      </c>
      <c r="E290" s="39" t="s">
        <v>2863</v>
      </c>
      <c r="F290" s="39" t="s">
        <v>2299</v>
      </c>
      <c r="G290" t="s">
        <v>4</v>
      </c>
      <c r="H290" t="s">
        <v>4</v>
      </c>
      <c r="I290" s="39" t="s">
        <v>777</v>
      </c>
    </row>
    <row r="291" spans="1:9" ht="11.25" customHeight="1">
      <c r="A291" s="39" t="s">
        <v>2170</v>
      </c>
      <c r="B291" s="39" t="s">
        <v>2</v>
      </c>
      <c r="C291" s="39" t="s">
        <v>2422</v>
      </c>
      <c r="D291" s="39" t="s">
        <v>2423</v>
      </c>
      <c r="E291" s="39" t="s">
        <v>2424</v>
      </c>
      <c r="F291" s="39" t="s">
        <v>2425</v>
      </c>
      <c r="G291" t="s">
        <v>4</v>
      </c>
      <c r="H291" t="s">
        <v>4</v>
      </c>
      <c r="I291" s="39" t="s">
        <v>777</v>
      </c>
    </row>
    <row r="292" spans="1:9" ht="11.25" customHeight="1">
      <c r="A292" s="39" t="s">
        <v>2170</v>
      </c>
      <c r="B292" s="39" t="s">
        <v>2</v>
      </c>
      <c r="C292" s="39" t="s">
        <v>2864</v>
      </c>
      <c r="D292" s="39" t="s">
        <v>2865</v>
      </c>
      <c r="E292" s="39" t="s">
        <v>2866</v>
      </c>
      <c r="F292" s="39" t="s">
        <v>2180</v>
      </c>
      <c r="G292" t="s">
        <v>4</v>
      </c>
      <c r="H292" t="s">
        <v>4</v>
      </c>
      <c r="I292" s="39" t="s">
        <v>777</v>
      </c>
    </row>
    <row r="293" spans="1:9" ht="11.25" customHeight="1">
      <c r="A293" s="39" t="s">
        <v>2170</v>
      </c>
      <c r="B293" s="39" t="s">
        <v>2</v>
      </c>
      <c r="C293" s="39" t="s">
        <v>2447</v>
      </c>
      <c r="D293" s="39" t="s">
        <v>2448</v>
      </c>
      <c r="E293" s="39" t="s">
        <v>2449</v>
      </c>
      <c r="F293" s="39" t="s">
        <v>2349</v>
      </c>
      <c r="G293" t="s">
        <v>4</v>
      </c>
      <c r="H293" t="s">
        <v>4</v>
      </c>
      <c r="I293" s="39" t="s">
        <v>777</v>
      </c>
    </row>
    <row r="294" spans="1:9" ht="11.25" customHeight="1">
      <c r="A294" s="39" t="s">
        <v>2170</v>
      </c>
      <c r="B294" s="39" t="s">
        <v>2</v>
      </c>
      <c r="C294" s="39" t="s">
        <v>2867</v>
      </c>
      <c r="D294" s="39" t="s">
        <v>2868</v>
      </c>
      <c r="E294" s="39" t="s">
        <v>2869</v>
      </c>
      <c r="F294" s="39" t="s">
        <v>2180</v>
      </c>
      <c r="G294" t="s">
        <v>4</v>
      </c>
      <c r="H294" t="s">
        <v>4</v>
      </c>
      <c r="I294" s="39" t="s">
        <v>777</v>
      </c>
    </row>
    <row r="295" spans="1:9" ht="11.25" customHeight="1">
      <c r="A295" s="39" t="s">
        <v>2170</v>
      </c>
      <c r="B295" s="39" t="s">
        <v>2</v>
      </c>
      <c r="C295" s="39" t="s">
        <v>2463</v>
      </c>
      <c r="D295" s="39" t="s">
        <v>2464</v>
      </c>
      <c r="E295" s="39" t="s">
        <v>2465</v>
      </c>
      <c r="F295" s="39" t="s">
        <v>2466</v>
      </c>
      <c r="G295" t="s">
        <v>4</v>
      </c>
      <c r="H295" t="s">
        <v>4</v>
      </c>
      <c r="I295" s="39" t="s">
        <v>777</v>
      </c>
    </row>
    <row r="296" spans="1:9" ht="11.25" customHeight="1">
      <c r="A296" s="39" t="s">
        <v>2170</v>
      </c>
      <c r="B296" s="39" t="s">
        <v>2</v>
      </c>
      <c r="C296" s="39" t="s">
        <v>2470</v>
      </c>
      <c r="D296" s="39" t="s">
        <v>2471</v>
      </c>
      <c r="E296" s="39" t="s">
        <v>2424</v>
      </c>
      <c r="F296" s="39" t="s">
        <v>2472</v>
      </c>
      <c r="G296" s="39" t="s">
        <v>2473</v>
      </c>
      <c r="H296" t="s">
        <v>4</v>
      </c>
      <c r="I296" s="39" t="s">
        <v>777</v>
      </c>
    </row>
    <row r="297" spans="1:9" ht="11.25" customHeight="1">
      <c r="A297" s="39" t="s">
        <v>2170</v>
      </c>
      <c r="B297" s="39" t="s">
        <v>2</v>
      </c>
      <c r="C297" s="39" t="s">
        <v>2870</v>
      </c>
      <c r="D297" s="39" t="s">
        <v>2871</v>
      </c>
      <c r="E297" s="39" t="s">
        <v>2872</v>
      </c>
      <c r="F297" s="39" t="s">
        <v>2295</v>
      </c>
      <c r="G297" t="s">
        <v>4</v>
      </c>
      <c r="H297" t="s">
        <v>4</v>
      </c>
      <c r="I297" s="39" t="s">
        <v>777</v>
      </c>
    </row>
    <row r="298" spans="1:9" ht="11.25" customHeight="1">
      <c r="A298" s="39" t="s">
        <v>2170</v>
      </c>
      <c r="B298" s="39" t="s">
        <v>2</v>
      </c>
      <c r="C298" s="39" t="s">
        <v>2873</v>
      </c>
      <c r="D298" s="39" t="s">
        <v>2874</v>
      </c>
      <c r="E298" s="39" t="s">
        <v>2875</v>
      </c>
      <c r="F298" s="39" t="s">
        <v>2480</v>
      </c>
      <c r="G298" t="s">
        <v>4</v>
      </c>
      <c r="H298" t="s">
        <v>4</v>
      </c>
      <c r="I298" s="39" t="s">
        <v>777</v>
      </c>
    </row>
    <row r="299" spans="1:9" ht="11.25" customHeight="1">
      <c r="A299" s="39" t="s">
        <v>2170</v>
      </c>
      <c r="B299" s="39" t="s">
        <v>2</v>
      </c>
      <c r="C299" s="39" t="s">
        <v>2495</v>
      </c>
      <c r="D299" s="39" t="s">
        <v>2496</v>
      </c>
      <c r="E299" s="39" t="s">
        <v>2497</v>
      </c>
      <c r="F299" s="39" t="s">
        <v>2180</v>
      </c>
      <c r="G299" s="39" t="s">
        <v>2498</v>
      </c>
      <c r="H299" t="s">
        <v>4</v>
      </c>
      <c r="I299" s="39" t="s">
        <v>777</v>
      </c>
    </row>
    <row r="300" spans="1:9" ht="11.25" customHeight="1">
      <c r="A300" s="39" t="s">
        <v>2170</v>
      </c>
      <c r="B300" s="39" t="s">
        <v>2</v>
      </c>
      <c r="C300" s="39" t="s">
        <v>2876</v>
      </c>
      <c r="D300" s="39" t="s">
        <v>2877</v>
      </c>
      <c r="E300" s="39" t="s">
        <v>2878</v>
      </c>
      <c r="F300" s="39" t="s">
        <v>2180</v>
      </c>
      <c r="G300" t="s">
        <v>4</v>
      </c>
      <c r="H300" t="s">
        <v>4</v>
      </c>
      <c r="I300" s="39" t="s">
        <v>777</v>
      </c>
    </row>
    <row r="301" spans="1:9" ht="11.25" customHeight="1">
      <c r="A301" s="39" t="s">
        <v>2170</v>
      </c>
      <c r="B301" s="39" t="s">
        <v>2</v>
      </c>
      <c r="C301" s="39" t="s">
        <v>2879</v>
      </c>
      <c r="D301" s="39" t="s">
        <v>2880</v>
      </c>
      <c r="E301" s="39" t="s">
        <v>2881</v>
      </c>
      <c r="F301" s="39" t="s">
        <v>2385</v>
      </c>
      <c r="G301" s="39" t="s">
        <v>2882</v>
      </c>
      <c r="H301" t="s">
        <v>4</v>
      </c>
      <c r="I301" s="39" t="s">
        <v>777</v>
      </c>
    </row>
    <row r="302" spans="1:9" ht="11.25" customHeight="1">
      <c r="A302" s="39" t="s">
        <v>2170</v>
      </c>
      <c r="B302" s="39" t="s">
        <v>2</v>
      </c>
      <c r="C302" s="39" t="s">
        <v>2883</v>
      </c>
      <c r="D302" s="39" t="s">
        <v>2884</v>
      </c>
      <c r="E302" s="39" t="s">
        <v>2881</v>
      </c>
      <c r="F302" s="39" t="s">
        <v>2236</v>
      </c>
      <c r="G302" t="s">
        <v>4</v>
      </c>
      <c r="H302" t="s">
        <v>4</v>
      </c>
      <c r="I302" s="39" t="s">
        <v>777</v>
      </c>
    </row>
    <row r="303" spans="1:9" ht="11.25" customHeight="1">
      <c r="A303" s="39" t="s">
        <v>2170</v>
      </c>
      <c r="B303" s="39" t="s">
        <v>2</v>
      </c>
      <c r="C303" s="39" t="s">
        <v>2527</v>
      </c>
      <c r="D303" s="39" t="s">
        <v>2528</v>
      </c>
      <c r="E303" s="39" t="s">
        <v>2529</v>
      </c>
      <c r="F303" s="39" t="s">
        <v>2180</v>
      </c>
      <c r="G303" s="39" t="s">
        <v>2530</v>
      </c>
      <c r="H303" t="s">
        <v>4</v>
      </c>
      <c r="I303" s="39" t="s">
        <v>777</v>
      </c>
    </row>
    <row r="304" spans="1:9" ht="11.25" customHeight="1">
      <c r="A304" s="39" t="s">
        <v>2170</v>
      </c>
      <c r="B304" s="39" t="s">
        <v>2</v>
      </c>
      <c r="C304" s="39" t="s">
        <v>2885</v>
      </c>
      <c r="D304" s="39" t="s">
        <v>2886</v>
      </c>
      <c r="E304" s="39" t="s">
        <v>2887</v>
      </c>
      <c r="F304" s="39" t="s">
        <v>2853</v>
      </c>
      <c r="G304" t="s">
        <v>4</v>
      </c>
      <c r="H304" t="s">
        <v>4</v>
      </c>
      <c r="I304" s="39" t="s">
        <v>777</v>
      </c>
    </row>
    <row r="305" spans="1:9" ht="11.25" customHeight="1">
      <c r="A305" s="39" t="s">
        <v>2170</v>
      </c>
      <c r="B305" s="39" t="s">
        <v>2</v>
      </c>
      <c r="C305" s="39" t="s">
        <v>2543</v>
      </c>
      <c r="D305" s="39" t="s">
        <v>2544</v>
      </c>
      <c r="E305" s="39" t="s">
        <v>2545</v>
      </c>
      <c r="F305" s="39" t="s">
        <v>2546</v>
      </c>
      <c r="G305" s="39" t="s">
        <v>2547</v>
      </c>
      <c r="H305" t="s">
        <v>4</v>
      </c>
      <c r="I305" s="39" t="s">
        <v>777</v>
      </c>
    </row>
    <row r="306" spans="1:9" ht="11.25" customHeight="1">
      <c r="A306" s="39" t="s">
        <v>2170</v>
      </c>
      <c r="B306" s="39" t="s">
        <v>2</v>
      </c>
      <c r="C306" s="39" t="s">
        <v>2555</v>
      </c>
      <c r="D306" s="39" t="s">
        <v>2556</v>
      </c>
      <c r="E306" s="39" t="s">
        <v>2557</v>
      </c>
      <c r="F306" s="39" t="s">
        <v>2558</v>
      </c>
      <c r="G306" t="s">
        <v>4</v>
      </c>
      <c r="H306" t="s">
        <v>4</v>
      </c>
      <c r="I306" s="39" t="s">
        <v>777</v>
      </c>
    </row>
    <row r="307" spans="1:9" ht="11.25" customHeight="1">
      <c r="A307" s="39" t="s">
        <v>2170</v>
      </c>
      <c r="B307" s="39" t="s">
        <v>2</v>
      </c>
      <c r="C307" s="39" t="s">
        <v>2571</v>
      </c>
      <c r="D307" s="39" t="s">
        <v>2572</v>
      </c>
      <c r="E307" s="39" t="s">
        <v>2573</v>
      </c>
      <c r="F307" s="39" t="s">
        <v>2558</v>
      </c>
      <c r="G307" s="39" t="s">
        <v>2574</v>
      </c>
      <c r="H307" t="s">
        <v>4</v>
      </c>
      <c r="I307" s="39" t="s">
        <v>777</v>
      </c>
    </row>
    <row r="308" spans="1:9" ht="11.25" customHeight="1">
      <c r="A308" s="39" t="s">
        <v>2170</v>
      </c>
      <c r="B308" s="39" t="s">
        <v>2</v>
      </c>
      <c r="C308" s="39" t="s">
        <v>2584</v>
      </c>
      <c r="D308" s="39" t="s">
        <v>2585</v>
      </c>
      <c r="E308" s="39" t="s">
        <v>2586</v>
      </c>
      <c r="F308" s="39" t="s">
        <v>2349</v>
      </c>
      <c r="G308" t="s">
        <v>4</v>
      </c>
      <c r="H308" t="s">
        <v>4</v>
      </c>
      <c r="I308" s="39" t="s">
        <v>777</v>
      </c>
    </row>
    <row r="309" spans="1:9" ht="11.25" customHeight="1">
      <c r="A309" s="39" t="s">
        <v>2170</v>
      </c>
      <c r="B309" s="39" t="s">
        <v>2</v>
      </c>
      <c r="C309" s="39" t="s">
        <v>2888</v>
      </c>
      <c r="D309" s="39" t="s">
        <v>2889</v>
      </c>
      <c r="E309" s="39" t="s">
        <v>2890</v>
      </c>
      <c r="F309" s="39" t="s">
        <v>2349</v>
      </c>
      <c r="G309" t="s">
        <v>4</v>
      </c>
      <c r="H309" t="s">
        <v>4</v>
      </c>
      <c r="I309" s="39" t="s">
        <v>777</v>
      </c>
    </row>
    <row r="310" spans="1:9" ht="11.25" customHeight="1">
      <c r="A310" s="39" t="s">
        <v>2170</v>
      </c>
      <c r="B310" s="39" t="s">
        <v>2</v>
      </c>
      <c r="C310" s="39" t="s">
        <v>2634</v>
      </c>
      <c r="D310" s="39" t="s">
        <v>2635</v>
      </c>
      <c r="E310" s="39" t="s">
        <v>2636</v>
      </c>
      <c r="F310" s="39" t="s">
        <v>2180</v>
      </c>
      <c r="G310" t="s">
        <v>4</v>
      </c>
      <c r="H310" t="s">
        <v>4</v>
      </c>
      <c r="I310" s="39" t="s">
        <v>777</v>
      </c>
    </row>
    <row r="311" spans="1:9" ht="11.25" customHeight="1">
      <c r="A311" s="39" t="s">
        <v>2170</v>
      </c>
      <c r="B311" s="39" t="s">
        <v>2</v>
      </c>
      <c r="C311" s="39" t="s">
        <v>2650</v>
      </c>
      <c r="D311" s="39" t="s">
        <v>2651</v>
      </c>
      <c r="E311" s="39" t="s">
        <v>2652</v>
      </c>
      <c r="F311" s="39" t="s">
        <v>2180</v>
      </c>
      <c r="G311" t="s">
        <v>4</v>
      </c>
      <c r="H311" t="s">
        <v>4</v>
      </c>
      <c r="I311" s="39" t="s">
        <v>777</v>
      </c>
    </row>
    <row r="312" spans="1:9" ht="11.25" customHeight="1">
      <c r="A312" s="39" t="s">
        <v>2170</v>
      </c>
      <c r="B312" s="39" t="s">
        <v>2</v>
      </c>
      <c r="C312" s="39" t="s">
        <v>2653</v>
      </c>
      <c r="D312" s="39" t="s">
        <v>2654</v>
      </c>
      <c r="E312" s="39" t="s">
        <v>2655</v>
      </c>
      <c r="F312" s="39" t="s">
        <v>2442</v>
      </c>
      <c r="G312" s="39" t="s">
        <v>2656</v>
      </c>
      <c r="H312" t="s">
        <v>4</v>
      </c>
      <c r="I312" s="39" t="s">
        <v>777</v>
      </c>
    </row>
    <row r="313" spans="1:9" ht="11.25" customHeight="1">
      <c r="A313" s="39" t="s">
        <v>2170</v>
      </c>
      <c r="B313" s="39" t="s">
        <v>2</v>
      </c>
      <c r="C313" s="39" t="s">
        <v>2891</v>
      </c>
      <c r="D313" s="39" t="s">
        <v>2892</v>
      </c>
      <c r="E313" s="39" t="s">
        <v>2893</v>
      </c>
      <c r="F313" s="39" t="s">
        <v>2188</v>
      </c>
      <c r="G313" s="39" t="s">
        <v>2894</v>
      </c>
      <c r="H313" t="s">
        <v>4</v>
      </c>
      <c r="I313" s="39" t="s">
        <v>777</v>
      </c>
    </row>
    <row r="314" spans="1:9" ht="11.25" customHeight="1">
      <c r="A314" s="39" t="s">
        <v>2170</v>
      </c>
      <c r="B314" s="39" t="s">
        <v>2</v>
      </c>
      <c r="C314" s="39" t="s">
        <v>2895</v>
      </c>
      <c r="D314" s="39" t="s">
        <v>2896</v>
      </c>
      <c r="E314" s="39" t="s">
        <v>2897</v>
      </c>
      <c r="F314" s="39" t="s">
        <v>2180</v>
      </c>
      <c r="G314" s="39" t="s">
        <v>2898</v>
      </c>
      <c r="H314" t="s">
        <v>4</v>
      </c>
      <c r="I314" s="39" t="s">
        <v>777</v>
      </c>
    </row>
    <row r="315" spans="1:9" ht="11.25" customHeight="1">
      <c r="A315" s="39" t="s">
        <v>2170</v>
      </c>
      <c r="B315" s="39" t="s">
        <v>2</v>
      </c>
      <c r="C315" s="39" t="s">
        <v>2899</v>
      </c>
      <c r="D315" s="39" t="s">
        <v>2900</v>
      </c>
      <c r="E315" s="39" t="s">
        <v>2901</v>
      </c>
      <c r="F315" s="39" t="s">
        <v>2610</v>
      </c>
      <c r="G315" s="39" t="s">
        <v>2902</v>
      </c>
      <c r="H315" t="s">
        <v>4</v>
      </c>
      <c r="I315" s="39" t="s">
        <v>777</v>
      </c>
    </row>
    <row r="316" spans="1:9" ht="11.25" customHeight="1">
      <c r="A316" s="39" t="s">
        <v>2170</v>
      </c>
      <c r="B316" s="39" t="s">
        <v>2</v>
      </c>
      <c r="C316" s="39" t="s">
        <v>2903</v>
      </c>
      <c r="D316" s="39" t="s">
        <v>2904</v>
      </c>
      <c r="E316" s="39" t="s">
        <v>2905</v>
      </c>
      <c r="F316" s="39" t="s">
        <v>2180</v>
      </c>
      <c r="G316" s="39" t="s">
        <v>2906</v>
      </c>
      <c r="H316" t="s">
        <v>4</v>
      </c>
      <c r="I316" s="39" t="s">
        <v>777</v>
      </c>
    </row>
    <row r="317" spans="1:9" ht="11.25" customHeight="1">
      <c r="A317" s="39" t="s">
        <v>2170</v>
      </c>
      <c r="B317" s="39" t="s">
        <v>2</v>
      </c>
      <c r="C317" s="39" t="s">
        <v>2907</v>
      </c>
      <c r="D317" s="39" t="s">
        <v>2908</v>
      </c>
      <c r="E317" s="39" t="s">
        <v>2909</v>
      </c>
      <c r="F317" s="39" t="s">
        <v>2180</v>
      </c>
      <c r="G317" t="s">
        <v>4</v>
      </c>
      <c r="H317" t="s">
        <v>4</v>
      </c>
      <c r="I317" s="39" t="s">
        <v>777</v>
      </c>
    </row>
    <row r="318" spans="1:9" ht="11.25" customHeight="1">
      <c r="A318" s="39" t="s">
        <v>2170</v>
      </c>
      <c r="B318" s="39" t="s">
        <v>2</v>
      </c>
      <c r="C318" s="39" t="s">
        <v>2699</v>
      </c>
      <c r="D318" s="39" t="s">
        <v>2700</v>
      </c>
      <c r="E318" s="39" t="s">
        <v>2701</v>
      </c>
      <c r="F318" s="39" t="s">
        <v>2180</v>
      </c>
      <c r="G318" t="s">
        <v>4</v>
      </c>
      <c r="H318" t="s">
        <v>4</v>
      </c>
      <c r="I318" s="39" t="s">
        <v>777</v>
      </c>
    </row>
    <row r="319" spans="1:9" ht="11.25" customHeight="1">
      <c r="A319" s="39" t="s">
        <v>2170</v>
      </c>
      <c r="B319" s="39" t="s">
        <v>2</v>
      </c>
      <c r="C319" s="39" t="s">
        <v>2910</v>
      </c>
      <c r="D319" s="39" t="s">
        <v>2911</v>
      </c>
      <c r="E319" s="39" t="s">
        <v>2912</v>
      </c>
      <c r="F319" s="39" t="s">
        <v>2913</v>
      </c>
      <c r="G319" t="s">
        <v>4</v>
      </c>
      <c r="H319" t="s">
        <v>4</v>
      </c>
      <c r="I319" s="39" t="s">
        <v>777</v>
      </c>
    </row>
    <row r="320" spans="1:9" ht="11.25" customHeight="1">
      <c r="A320" s="39" t="s">
        <v>2170</v>
      </c>
      <c r="B320" s="39" t="s">
        <v>2</v>
      </c>
      <c r="C320" s="39" t="s">
        <v>2706</v>
      </c>
      <c r="D320" s="39" t="s">
        <v>2707</v>
      </c>
      <c r="E320" s="39" t="s">
        <v>2708</v>
      </c>
      <c r="F320" s="39" t="s">
        <v>2709</v>
      </c>
      <c r="G320" t="s">
        <v>4</v>
      </c>
      <c r="H320" t="s">
        <v>4</v>
      </c>
      <c r="I320" s="39" t="s">
        <v>777</v>
      </c>
    </row>
    <row r="321" spans="1:9" ht="11.25" customHeight="1">
      <c r="A321" s="39" t="s">
        <v>2170</v>
      </c>
      <c r="B321" s="39" t="s">
        <v>2</v>
      </c>
      <c r="C321" s="39" t="s">
        <v>2716</v>
      </c>
      <c r="D321" s="39" t="s">
        <v>2717</v>
      </c>
      <c r="E321" s="39" t="s">
        <v>2718</v>
      </c>
      <c r="F321" s="39" t="s">
        <v>15</v>
      </c>
      <c r="G321" s="39" t="s">
        <v>2189</v>
      </c>
      <c r="H321" t="s">
        <v>4</v>
      </c>
      <c r="I321" s="39" t="s">
        <v>777</v>
      </c>
    </row>
    <row r="322" spans="1:9" ht="11.25" customHeight="1">
      <c r="A322" s="39" t="s">
        <v>2170</v>
      </c>
      <c r="B322" s="39" t="s">
        <v>2</v>
      </c>
      <c r="C322" s="39" t="s">
        <v>2914</v>
      </c>
      <c r="D322" s="39" t="s">
        <v>2915</v>
      </c>
      <c r="E322" s="39" t="s">
        <v>2916</v>
      </c>
      <c r="F322" s="39" t="s">
        <v>2180</v>
      </c>
      <c r="G322" t="s">
        <v>4</v>
      </c>
      <c r="H322" t="s">
        <v>4</v>
      </c>
      <c r="I322" s="39" t="s">
        <v>777</v>
      </c>
    </row>
    <row r="323" spans="1:9" ht="11.25" customHeight="1">
      <c r="A323" s="39" t="s">
        <v>2170</v>
      </c>
      <c r="B323" s="39" t="s">
        <v>2</v>
      </c>
      <c r="C323" s="39" t="s">
        <v>2726</v>
      </c>
      <c r="D323" s="39" t="s">
        <v>2727</v>
      </c>
      <c r="E323" s="39" t="s">
        <v>2728</v>
      </c>
      <c r="F323" s="39" t="s">
        <v>2442</v>
      </c>
      <c r="G323" t="s">
        <v>4</v>
      </c>
      <c r="H323" t="s">
        <v>4</v>
      </c>
      <c r="I323" s="39" t="s">
        <v>777</v>
      </c>
    </row>
    <row r="324" spans="1:9" ht="11.25" customHeight="1">
      <c r="A324" s="39" t="s">
        <v>2170</v>
      </c>
      <c r="B324" s="39" t="s">
        <v>2</v>
      </c>
      <c r="C324" s="39" t="s">
        <v>2729</v>
      </c>
      <c r="D324" s="39" t="s">
        <v>2730</v>
      </c>
      <c r="E324" s="39" t="s">
        <v>2731</v>
      </c>
      <c r="F324" s="39" t="s">
        <v>2180</v>
      </c>
      <c r="G324" s="39" t="s">
        <v>2732</v>
      </c>
      <c r="H324" t="s">
        <v>4</v>
      </c>
      <c r="I324" s="39" t="s">
        <v>777</v>
      </c>
    </row>
    <row r="325" spans="1:9" ht="11.25" customHeight="1">
      <c r="A325" s="39" t="s">
        <v>2170</v>
      </c>
      <c r="B325" s="39" t="s">
        <v>2</v>
      </c>
      <c r="C325" s="39" t="s">
        <v>2917</v>
      </c>
      <c r="D325" s="39" t="s">
        <v>2918</v>
      </c>
      <c r="E325" s="39" t="s">
        <v>2919</v>
      </c>
      <c r="F325" s="39" t="s">
        <v>2180</v>
      </c>
      <c r="G325" t="s">
        <v>4</v>
      </c>
      <c r="H325" t="s">
        <v>4</v>
      </c>
      <c r="I325" s="39" t="s">
        <v>777</v>
      </c>
    </row>
    <row r="326" spans="1:9" ht="11.25" customHeight="1">
      <c r="A326" s="39" t="s">
        <v>2170</v>
      </c>
      <c r="B326" s="39" t="s">
        <v>2</v>
      </c>
      <c r="C326" s="39" t="s">
        <v>2733</v>
      </c>
      <c r="D326" s="39" t="s">
        <v>2734</v>
      </c>
      <c r="E326" s="39" t="s">
        <v>2735</v>
      </c>
      <c r="F326" s="39" t="s">
        <v>2480</v>
      </c>
      <c r="G326" t="s">
        <v>4</v>
      </c>
      <c r="H326" t="s">
        <v>4</v>
      </c>
      <c r="I326" s="39" t="s">
        <v>777</v>
      </c>
    </row>
    <row r="327" spans="1:9" ht="11.25" customHeight="1">
      <c r="A327" s="39" t="s">
        <v>2170</v>
      </c>
      <c r="B327" s="39" t="s">
        <v>2</v>
      </c>
      <c r="C327" s="39" t="s">
        <v>2920</v>
      </c>
      <c r="D327" s="39" t="s">
        <v>2921</v>
      </c>
      <c r="E327" s="39" t="s">
        <v>2922</v>
      </c>
      <c r="F327" s="39" t="s">
        <v>2180</v>
      </c>
      <c r="G327" s="39" t="s">
        <v>2923</v>
      </c>
      <c r="H327" t="s">
        <v>4</v>
      </c>
      <c r="I327" s="39" t="s">
        <v>777</v>
      </c>
    </row>
    <row r="328" spans="1:9" ht="11.25" customHeight="1">
      <c r="A328" s="39" t="s">
        <v>2170</v>
      </c>
      <c r="B328" s="39" t="s">
        <v>2</v>
      </c>
      <c r="C328" s="39" t="s">
        <v>2924</v>
      </c>
      <c r="D328" s="39" t="s">
        <v>2925</v>
      </c>
      <c r="E328" s="39" t="s">
        <v>2363</v>
      </c>
      <c r="F328" s="39" t="s">
        <v>2364</v>
      </c>
      <c r="G328" t="s">
        <v>4</v>
      </c>
      <c r="H328" t="s">
        <v>4</v>
      </c>
      <c r="I328" s="39" t="s">
        <v>777</v>
      </c>
    </row>
    <row r="329" spans="1:9" ht="11.25" customHeight="1">
      <c r="A329" s="39" t="s">
        <v>2170</v>
      </c>
      <c r="B329" s="39" t="s">
        <v>2</v>
      </c>
      <c r="C329" s="39" t="s">
        <v>2736</v>
      </c>
      <c r="D329" s="39" t="s">
        <v>2737</v>
      </c>
      <c r="E329" s="39" t="s">
        <v>2738</v>
      </c>
      <c r="F329" s="39" t="s">
        <v>2739</v>
      </c>
      <c r="G329" s="39" t="s">
        <v>2740</v>
      </c>
      <c r="H329" t="s">
        <v>4</v>
      </c>
      <c r="I329" s="39" t="s">
        <v>777</v>
      </c>
    </row>
    <row r="330" spans="1:9" ht="11.25" customHeight="1">
      <c r="A330" s="39" t="s">
        <v>2170</v>
      </c>
      <c r="B330" s="39" t="s">
        <v>2</v>
      </c>
      <c r="C330" s="39" t="s">
        <v>2741</v>
      </c>
      <c r="D330" s="39" t="s">
        <v>2742</v>
      </c>
      <c r="E330" s="39" t="s">
        <v>2743</v>
      </c>
      <c r="F330" s="39" t="s">
        <v>2698</v>
      </c>
      <c r="G330" t="s">
        <v>4</v>
      </c>
      <c r="H330" t="s">
        <v>4</v>
      </c>
      <c r="I330" s="39" t="s">
        <v>777</v>
      </c>
    </row>
    <row r="331" spans="1:9" ht="11.25" customHeight="1">
      <c r="A331" s="39" t="s">
        <v>2170</v>
      </c>
      <c r="B331" s="39" t="s">
        <v>2</v>
      </c>
      <c r="C331" s="39" t="s">
        <v>0</v>
      </c>
      <c r="D331" s="39" t="s">
        <v>11</v>
      </c>
      <c r="E331" s="39" t="s">
        <v>13</v>
      </c>
      <c r="F331" s="39" t="s">
        <v>15</v>
      </c>
      <c r="G331" t="s">
        <v>4</v>
      </c>
      <c r="H331" t="s">
        <v>4</v>
      </c>
      <c r="I331" s="39" t="s">
        <v>777</v>
      </c>
    </row>
    <row r="332" spans="1:9" ht="11.25" customHeight="1">
      <c r="A332" s="39" t="s">
        <v>2170</v>
      </c>
      <c r="B332" s="39" t="s">
        <v>2</v>
      </c>
      <c r="C332" s="39" t="s">
        <v>2752</v>
      </c>
      <c r="D332" s="39" t="s">
        <v>2753</v>
      </c>
      <c r="E332" s="39" t="s">
        <v>2754</v>
      </c>
      <c r="F332" s="39" t="s">
        <v>2180</v>
      </c>
      <c r="G332" t="s">
        <v>4</v>
      </c>
      <c r="H332" t="s">
        <v>4</v>
      </c>
      <c r="I332" s="39" t="s">
        <v>777</v>
      </c>
    </row>
    <row r="333" spans="1:9" ht="11.25" customHeight="1">
      <c r="A333" s="39" t="s">
        <v>2170</v>
      </c>
      <c r="B333" s="39" t="s">
        <v>2</v>
      </c>
      <c r="C333" s="39" t="s">
        <v>2755</v>
      </c>
      <c r="D333" s="39" t="s">
        <v>2756</v>
      </c>
      <c r="E333" s="39" t="s">
        <v>2757</v>
      </c>
      <c r="F333" s="39" t="s">
        <v>2442</v>
      </c>
      <c r="G333" t="s">
        <v>4</v>
      </c>
      <c r="H333" t="s">
        <v>4</v>
      </c>
      <c r="I333" s="39" t="s">
        <v>777</v>
      </c>
    </row>
    <row r="334" spans="1:9" ht="11.25" customHeight="1">
      <c r="A334" s="39" t="s">
        <v>2170</v>
      </c>
      <c r="B334" s="39" t="s">
        <v>2</v>
      </c>
      <c r="C334" s="39" t="s">
        <v>2926</v>
      </c>
      <c r="D334" s="39" t="s">
        <v>2927</v>
      </c>
      <c r="E334" s="39" t="s">
        <v>2928</v>
      </c>
      <c r="F334" s="39" t="s">
        <v>2180</v>
      </c>
      <c r="G334" t="s">
        <v>4</v>
      </c>
      <c r="H334" t="s">
        <v>4</v>
      </c>
      <c r="I334" s="39" t="s">
        <v>777</v>
      </c>
    </row>
    <row r="335" spans="1:9" ht="11.25" customHeight="1">
      <c r="A335" s="39" t="s">
        <v>2170</v>
      </c>
      <c r="B335" s="39" t="s">
        <v>2</v>
      </c>
      <c r="C335" s="39" t="s">
        <v>2758</v>
      </c>
      <c r="D335" s="39" t="s">
        <v>2759</v>
      </c>
      <c r="E335" s="39" t="s">
        <v>2760</v>
      </c>
      <c r="F335" s="39" t="s">
        <v>2180</v>
      </c>
      <c r="G335" t="s">
        <v>4</v>
      </c>
      <c r="H335" t="s">
        <v>4</v>
      </c>
      <c r="I335" s="39" t="s">
        <v>777</v>
      </c>
    </row>
    <row r="336" spans="1:9" ht="11.25" customHeight="1">
      <c r="A336" s="39" t="s">
        <v>2170</v>
      </c>
      <c r="B336" s="39" t="s">
        <v>2</v>
      </c>
      <c r="C336" s="39" t="s">
        <v>2929</v>
      </c>
      <c r="D336" s="39" t="s">
        <v>2930</v>
      </c>
      <c r="E336" s="39" t="s">
        <v>2931</v>
      </c>
      <c r="F336" s="39" t="s">
        <v>2610</v>
      </c>
      <c r="G336" t="s">
        <v>4</v>
      </c>
      <c r="H336" t="s">
        <v>4</v>
      </c>
      <c r="I336" s="39" t="s">
        <v>777</v>
      </c>
    </row>
    <row r="337" spans="1:9" ht="11.25" customHeight="1">
      <c r="A337" s="39" t="s">
        <v>2170</v>
      </c>
      <c r="B337" s="39" t="s">
        <v>2</v>
      </c>
      <c r="C337" s="39" t="s">
        <v>2777</v>
      </c>
      <c r="D337" s="39" t="s">
        <v>2778</v>
      </c>
      <c r="E337" s="39" t="s">
        <v>2779</v>
      </c>
      <c r="F337" s="39" t="s">
        <v>2244</v>
      </c>
      <c r="G337" t="s">
        <v>4</v>
      </c>
      <c r="H337" t="s">
        <v>4</v>
      </c>
      <c r="I337" s="39" t="s">
        <v>777</v>
      </c>
    </row>
    <row r="338" spans="1:9" ht="11.25" customHeight="1">
      <c r="A338" s="39" t="s">
        <v>2170</v>
      </c>
      <c r="B338" s="39" t="s">
        <v>2</v>
      </c>
      <c r="C338" s="39" t="s">
        <v>2783</v>
      </c>
      <c r="D338" s="39" t="s">
        <v>2784</v>
      </c>
      <c r="E338" s="39" t="s">
        <v>2785</v>
      </c>
      <c r="F338" s="39" t="s">
        <v>2786</v>
      </c>
      <c r="G338" t="s">
        <v>4</v>
      </c>
      <c r="H338" t="s">
        <v>4</v>
      </c>
      <c r="I338" s="39" t="s">
        <v>777</v>
      </c>
    </row>
    <row r="339" spans="1:9" ht="11.25" customHeight="1">
      <c r="A339" s="39" t="s">
        <v>2170</v>
      </c>
      <c r="B339" s="39" t="s">
        <v>2</v>
      </c>
      <c r="C339" s="39" t="s">
        <v>2787</v>
      </c>
      <c r="D339" s="39" t="s">
        <v>2788</v>
      </c>
      <c r="E339" s="39" t="s">
        <v>2785</v>
      </c>
      <c r="F339" s="39" t="s">
        <v>2789</v>
      </c>
      <c r="G339" s="39" t="s">
        <v>2790</v>
      </c>
      <c r="H339" t="s">
        <v>4</v>
      </c>
      <c r="I339" s="39" t="s">
        <v>777</v>
      </c>
    </row>
    <row r="340" spans="1:9" ht="11.25" customHeight="1">
      <c r="A340" s="39" t="s">
        <v>2170</v>
      </c>
      <c r="B340" s="39" t="s">
        <v>2</v>
      </c>
      <c r="C340" s="39" t="s">
        <v>2932</v>
      </c>
      <c r="D340" s="39" t="s">
        <v>2933</v>
      </c>
      <c r="E340" s="39" t="s">
        <v>2928</v>
      </c>
      <c r="F340" s="39" t="s">
        <v>2466</v>
      </c>
      <c r="G340" t="s">
        <v>4</v>
      </c>
      <c r="H340" t="s">
        <v>4</v>
      </c>
      <c r="I340" s="39" t="s">
        <v>777</v>
      </c>
    </row>
    <row r="341" spans="1:9" ht="11.25" customHeight="1">
      <c r="A341" s="39" t="s">
        <v>2170</v>
      </c>
      <c r="B341" s="39" t="s">
        <v>2</v>
      </c>
      <c r="C341" s="39" t="s">
        <v>2794</v>
      </c>
      <c r="D341" s="39" t="s">
        <v>2795</v>
      </c>
      <c r="E341" s="39" t="s">
        <v>2796</v>
      </c>
      <c r="F341" s="39" t="s">
        <v>2180</v>
      </c>
      <c r="G341" t="s">
        <v>4</v>
      </c>
      <c r="H341" t="s">
        <v>4</v>
      </c>
      <c r="I341" s="39" t="s">
        <v>777</v>
      </c>
    </row>
    <row r="342" spans="1:9" ht="11.25" customHeight="1">
      <c r="A342" s="39" t="s">
        <v>2170</v>
      </c>
      <c r="B342" s="39" t="s">
        <v>2</v>
      </c>
      <c r="C342" s="39" t="s">
        <v>2805</v>
      </c>
      <c r="D342" s="39" t="s">
        <v>2806</v>
      </c>
      <c r="E342" s="39" t="s">
        <v>2807</v>
      </c>
      <c r="F342" s="39" t="s">
        <v>2263</v>
      </c>
      <c r="G342" t="s">
        <v>4</v>
      </c>
      <c r="H342" t="s">
        <v>4</v>
      </c>
      <c r="I342" s="39" t="s">
        <v>777</v>
      </c>
    </row>
    <row r="343" spans="1:9" ht="11.25" customHeight="1">
      <c r="A343" s="39" t="s">
        <v>2170</v>
      </c>
      <c r="B343" s="39" t="s">
        <v>2</v>
      </c>
      <c r="C343" s="39" t="s">
        <v>2808</v>
      </c>
      <c r="D343" s="39" t="s">
        <v>2809</v>
      </c>
      <c r="E343" s="39" t="s">
        <v>2810</v>
      </c>
      <c r="F343" s="39" t="s">
        <v>2180</v>
      </c>
      <c r="G343" t="s">
        <v>4</v>
      </c>
      <c r="H343" t="s">
        <v>4</v>
      </c>
      <c r="I343" s="39" t="s">
        <v>777</v>
      </c>
    </row>
    <row r="344" spans="1:9" ht="11.25" customHeight="1">
      <c r="A344" s="39" t="s">
        <v>2170</v>
      </c>
      <c r="B344" s="39" t="s">
        <v>2</v>
      </c>
      <c r="C344" s="39" t="s">
        <v>2934</v>
      </c>
      <c r="D344" s="39" t="s">
        <v>2935</v>
      </c>
      <c r="E344" s="39" t="s">
        <v>2936</v>
      </c>
      <c r="F344" s="39" t="s">
        <v>2937</v>
      </c>
      <c r="G344" t="s">
        <v>4</v>
      </c>
      <c r="H344" t="s">
        <v>4</v>
      </c>
      <c r="I344" s="39" t="s">
        <v>777</v>
      </c>
    </row>
    <row r="345" spans="1:9" ht="11.25" customHeight="1">
      <c r="A345" s="39" t="s">
        <v>2170</v>
      </c>
      <c r="B345" s="39" t="s">
        <v>2</v>
      </c>
      <c r="C345" s="39" t="s">
        <v>2824</v>
      </c>
      <c r="D345" s="39" t="s">
        <v>2825</v>
      </c>
      <c r="E345" s="39" t="s">
        <v>2826</v>
      </c>
      <c r="F345" s="39" t="s">
        <v>2827</v>
      </c>
      <c r="G345" t="s">
        <v>4</v>
      </c>
      <c r="H345" t="s">
        <v>4</v>
      </c>
      <c r="I345" s="39" t="s">
        <v>777</v>
      </c>
    </row>
    <row r="346" spans="1:9" ht="11.25" customHeight="1">
      <c r="A346" s="39" t="s">
        <v>2170</v>
      </c>
      <c r="B346" s="39" t="s">
        <v>2</v>
      </c>
      <c r="C346" s="39" t="s">
        <v>2938</v>
      </c>
      <c r="D346" s="39" t="s">
        <v>2939</v>
      </c>
      <c r="E346" s="39" t="s">
        <v>2940</v>
      </c>
      <c r="F346" s="39" t="s">
        <v>2941</v>
      </c>
      <c r="G346" t="s">
        <v>4</v>
      </c>
      <c r="H346" t="s">
        <v>4</v>
      </c>
      <c r="I346" s="39" t="s">
        <v>777</v>
      </c>
    </row>
    <row r="347" spans="1:9" ht="11.25" customHeight="1">
      <c r="A347" s="39" t="s">
        <v>2170</v>
      </c>
      <c r="B347" s="39" t="s">
        <v>2</v>
      </c>
      <c r="C347" s="39" t="s">
        <v>2832</v>
      </c>
      <c r="D347" s="39" t="s">
        <v>2833</v>
      </c>
      <c r="E347" s="39" t="s">
        <v>2834</v>
      </c>
      <c r="F347" s="39" t="s">
        <v>2835</v>
      </c>
      <c r="G347" s="39" t="s">
        <v>2836</v>
      </c>
      <c r="H347" t="s">
        <v>4</v>
      </c>
      <c r="I347" s="39" t="s">
        <v>777</v>
      </c>
    </row>
    <row r="348" spans="1:9" ht="11.25" customHeight="1">
      <c r="A348" s="39" t="s">
        <v>2170</v>
      </c>
      <c r="B348" s="39" t="s">
        <v>2</v>
      </c>
      <c r="C348" s="39" t="s">
        <v>2190</v>
      </c>
      <c r="D348" s="39" t="s">
        <v>2191</v>
      </c>
      <c r="E348" s="39" t="s">
        <v>2192</v>
      </c>
      <c r="F348" s="39" t="s">
        <v>2193</v>
      </c>
      <c r="G348" s="39" t="s">
        <v>2194</v>
      </c>
      <c r="H348" t="s">
        <v>4</v>
      </c>
      <c r="I348" s="39" t="s">
        <v>830</v>
      </c>
    </row>
    <row r="349" spans="1:9" ht="11.25" customHeight="1">
      <c r="A349" s="39" t="s">
        <v>2170</v>
      </c>
      <c r="B349" s="39" t="s">
        <v>2</v>
      </c>
      <c r="C349" s="39" t="s">
        <v>2204</v>
      </c>
      <c r="D349" s="39" t="s">
        <v>2205</v>
      </c>
      <c r="E349" s="39" t="s">
        <v>2206</v>
      </c>
      <c r="F349" s="39" t="s">
        <v>2207</v>
      </c>
      <c r="G349" t="s">
        <v>4</v>
      </c>
      <c r="H349" t="s">
        <v>4</v>
      </c>
      <c r="I349" s="39" t="s">
        <v>830</v>
      </c>
    </row>
    <row r="350" spans="1:9" ht="11.25" customHeight="1">
      <c r="A350" s="39" t="s">
        <v>2170</v>
      </c>
      <c r="B350" s="39" t="s">
        <v>2</v>
      </c>
      <c r="C350" s="39" t="s">
        <v>2840</v>
      </c>
      <c r="D350" s="39" t="s">
        <v>2841</v>
      </c>
      <c r="E350" s="39" t="s">
        <v>2842</v>
      </c>
      <c r="F350" s="39" t="s">
        <v>2180</v>
      </c>
      <c r="G350" t="s">
        <v>4</v>
      </c>
      <c r="H350" t="s">
        <v>4</v>
      </c>
      <c r="I350" s="39" t="s">
        <v>830</v>
      </c>
    </row>
    <row r="351" spans="1:9" ht="11.25" customHeight="1">
      <c r="A351" s="39" t="s">
        <v>2170</v>
      </c>
      <c r="B351" s="39" t="s">
        <v>2</v>
      </c>
      <c r="C351" s="39" t="s">
        <v>2216</v>
      </c>
      <c r="D351" s="39" t="s">
        <v>2217</v>
      </c>
      <c r="E351" s="39" t="s">
        <v>2218</v>
      </c>
      <c r="F351" s="39" t="s">
        <v>2180</v>
      </c>
      <c r="G351" s="39" t="s">
        <v>2219</v>
      </c>
      <c r="H351" t="s">
        <v>4</v>
      </c>
      <c r="I351" s="39" t="s">
        <v>830</v>
      </c>
    </row>
    <row r="352" spans="1:9" ht="11.25" customHeight="1">
      <c r="A352" s="39" t="s">
        <v>2170</v>
      </c>
      <c r="B352" s="39" t="s">
        <v>2</v>
      </c>
      <c r="C352" s="39" t="s">
        <v>2223</v>
      </c>
      <c r="D352" s="39" t="s">
        <v>2224</v>
      </c>
      <c r="E352" s="39" t="s">
        <v>2225</v>
      </c>
      <c r="F352" s="39" t="s">
        <v>2180</v>
      </c>
      <c r="G352" t="s">
        <v>4</v>
      </c>
      <c r="H352" t="s">
        <v>4</v>
      </c>
      <c r="I352" s="39" t="s">
        <v>830</v>
      </c>
    </row>
    <row r="353" spans="1:9" ht="11.25" customHeight="1">
      <c r="A353" s="39" t="s">
        <v>2170</v>
      </c>
      <c r="B353" s="39" t="s">
        <v>2</v>
      </c>
      <c r="C353" s="39" t="s">
        <v>2226</v>
      </c>
      <c r="D353" s="39" t="s">
        <v>2227</v>
      </c>
      <c r="E353" s="39" t="s">
        <v>2228</v>
      </c>
      <c r="F353" s="39" t="s">
        <v>2180</v>
      </c>
      <c r="G353" t="s">
        <v>4</v>
      </c>
      <c r="H353" t="s">
        <v>4</v>
      </c>
      <c r="I353" s="39" t="s">
        <v>830</v>
      </c>
    </row>
    <row r="354" spans="1:9" ht="11.25" customHeight="1">
      <c r="A354" s="39" t="s">
        <v>2170</v>
      </c>
      <c r="B354" s="39" t="s">
        <v>2</v>
      </c>
      <c r="C354" s="39" t="s">
        <v>2241</v>
      </c>
      <c r="D354" s="39" t="s">
        <v>2242</v>
      </c>
      <c r="E354" s="39" t="s">
        <v>2243</v>
      </c>
      <c r="F354" s="39" t="s">
        <v>2244</v>
      </c>
      <c r="G354" t="s">
        <v>4</v>
      </c>
      <c r="H354" t="s">
        <v>4</v>
      </c>
      <c r="I354" s="39" t="s">
        <v>830</v>
      </c>
    </row>
    <row r="355" spans="1:9" ht="11.25" customHeight="1">
      <c r="A355" s="39" t="s">
        <v>2170</v>
      </c>
      <c r="B355" s="39" t="s">
        <v>2</v>
      </c>
      <c r="C355" s="39" t="s">
        <v>2253</v>
      </c>
      <c r="D355" s="39" t="s">
        <v>2254</v>
      </c>
      <c r="E355" s="39" t="s">
        <v>2255</v>
      </c>
      <c r="F355" s="39" t="s">
        <v>2256</v>
      </c>
      <c r="G355" t="s">
        <v>4</v>
      </c>
      <c r="H355" t="s">
        <v>4</v>
      </c>
      <c r="I355" s="39" t="s">
        <v>830</v>
      </c>
    </row>
    <row r="356" spans="1:9" ht="11.25" customHeight="1">
      <c r="A356" s="39" t="s">
        <v>2170</v>
      </c>
      <c r="B356" s="39" t="s">
        <v>2</v>
      </c>
      <c r="C356" s="39" t="s">
        <v>2265</v>
      </c>
      <c r="D356" s="39" t="s">
        <v>2266</v>
      </c>
      <c r="E356" s="39" t="s">
        <v>2267</v>
      </c>
      <c r="F356" s="39" t="s">
        <v>2252</v>
      </c>
      <c r="G356" t="s">
        <v>4</v>
      </c>
      <c r="H356" t="s">
        <v>4</v>
      </c>
      <c r="I356" s="39" t="s">
        <v>830</v>
      </c>
    </row>
    <row r="357" spans="1:9" ht="11.25" customHeight="1">
      <c r="A357" s="39" t="s">
        <v>2170</v>
      </c>
      <c r="B357" s="39" t="s">
        <v>2</v>
      </c>
      <c r="C357" s="39" t="s">
        <v>2288</v>
      </c>
      <c r="D357" s="39" t="s">
        <v>2289</v>
      </c>
      <c r="E357" s="39" t="s">
        <v>2290</v>
      </c>
      <c r="F357" s="39" t="s">
        <v>2291</v>
      </c>
      <c r="G357" t="s">
        <v>4</v>
      </c>
      <c r="H357" t="s">
        <v>4</v>
      </c>
      <c r="I357" s="39" t="s">
        <v>830</v>
      </c>
    </row>
    <row r="358" spans="1:9" ht="11.25" customHeight="1">
      <c r="A358" s="39" t="s">
        <v>2170</v>
      </c>
      <c r="B358" s="39" t="s">
        <v>2</v>
      </c>
      <c r="C358" s="39" t="s">
        <v>2847</v>
      </c>
      <c r="D358" s="39" t="s">
        <v>2848</v>
      </c>
      <c r="E358" s="39" t="s">
        <v>2849</v>
      </c>
      <c r="F358" s="39" t="s">
        <v>2180</v>
      </c>
      <c r="G358" t="s">
        <v>4</v>
      </c>
      <c r="H358" t="s">
        <v>4</v>
      </c>
      <c r="I358" s="39" t="s">
        <v>830</v>
      </c>
    </row>
    <row r="359" spans="1:9" ht="11.25" customHeight="1">
      <c r="A359" s="39" t="s">
        <v>2170</v>
      </c>
      <c r="B359" s="39" t="s">
        <v>2</v>
      </c>
      <c r="C359" s="39" t="s">
        <v>2309</v>
      </c>
      <c r="D359" s="39" t="s">
        <v>2310</v>
      </c>
      <c r="E359" s="39" t="s">
        <v>2311</v>
      </c>
      <c r="F359" s="39" t="s">
        <v>2312</v>
      </c>
      <c r="G359" t="s">
        <v>4</v>
      </c>
      <c r="H359" t="s">
        <v>4</v>
      </c>
      <c r="I359" s="39" t="s">
        <v>830</v>
      </c>
    </row>
    <row r="360" spans="1:9" ht="11.25" customHeight="1">
      <c r="A360" s="39" t="s">
        <v>2170</v>
      </c>
      <c r="B360" s="39" t="s">
        <v>2</v>
      </c>
      <c r="C360" s="39" t="s">
        <v>2313</v>
      </c>
      <c r="D360" s="39" t="s">
        <v>2314</v>
      </c>
      <c r="E360" s="39" t="s">
        <v>2315</v>
      </c>
      <c r="F360" s="39" t="s">
        <v>2203</v>
      </c>
      <c r="G360" t="s">
        <v>4</v>
      </c>
      <c r="H360" t="s">
        <v>4</v>
      </c>
      <c r="I360" s="39" t="s">
        <v>830</v>
      </c>
    </row>
    <row r="361" spans="1:9" ht="11.25" customHeight="1">
      <c r="A361" s="39" t="s">
        <v>2170</v>
      </c>
      <c r="B361" s="39" t="s">
        <v>2</v>
      </c>
      <c r="C361" s="39" t="s">
        <v>2942</v>
      </c>
      <c r="D361" s="39" t="s">
        <v>2943</v>
      </c>
      <c r="E361" s="39" t="s">
        <v>2944</v>
      </c>
      <c r="F361" s="39" t="s">
        <v>2180</v>
      </c>
      <c r="G361" t="s">
        <v>4</v>
      </c>
      <c r="H361" t="s">
        <v>4</v>
      </c>
      <c r="I361" s="39" t="s">
        <v>830</v>
      </c>
    </row>
    <row r="362" spans="1:9" ht="11.25" customHeight="1">
      <c r="A362" s="39" t="s">
        <v>2170</v>
      </c>
      <c r="B362" s="39" t="s">
        <v>2</v>
      </c>
      <c r="C362" s="39" t="s">
        <v>2321</v>
      </c>
      <c r="D362" s="39" t="s">
        <v>2322</v>
      </c>
      <c r="E362" s="39" t="s">
        <v>2323</v>
      </c>
      <c r="F362" s="39" t="s">
        <v>2324</v>
      </c>
      <c r="G362" t="s">
        <v>4</v>
      </c>
      <c r="H362" t="s">
        <v>4</v>
      </c>
      <c r="I362" s="39" t="s">
        <v>830</v>
      </c>
    </row>
    <row r="363" spans="1:9" ht="11.25" customHeight="1">
      <c r="A363" s="39" t="s">
        <v>2170</v>
      </c>
      <c r="B363" s="39" t="s">
        <v>2</v>
      </c>
      <c r="C363" s="39" t="s">
        <v>2328</v>
      </c>
      <c r="D363" s="39" t="s">
        <v>2329</v>
      </c>
      <c r="E363" s="39" t="s">
        <v>2330</v>
      </c>
      <c r="F363" s="39" t="s">
        <v>2180</v>
      </c>
      <c r="G363" t="s">
        <v>4</v>
      </c>
      <c r="H363" t="s">
        <v>4</v>
      </c>
      <c r="I363" s="39" t="s">
        <v>830</v>
      </c>
    </row>
    <row r="364" spans="1:9" ht="11.25" customHeight="1">
      <c r="A364" s="39" t="s">
        <v>2170</v>
      </c>
      <c r="B364" s="39" t="s">
        <v>2</v>
      </c>
      <c r="C364" s="39" t="s">
        <v>2346</v>
      </c>
      <c r="D364" s="39" t="s">
        <v>2347</v>
      </c>
      <c r="E364" s="39" t="s">
        <v>2348</v>
      </c>
      <c r="F364" s="39" t="s">
        <v>2349</v>
      </c>
      <c r="G364" t="s">
        <v>4</v>
      </c>
      <c r="H364" t="s">
        <v>4</v>
      </c>
      <c r="I364" s="39" t="s">
        <v>830</v>
      </c>
    </row>
    <row r="365" spans="1:9" ht="11.25" customHeight="1">
      <c r="A365" s="39" t="s">
        <v>2170</v>
      </c>
      <c r="B365" s="39" t="s">
        <v>2</v>
      </c>
      <c r="C365" s="39" t="s">
        <v>2350</v>
      </c>
      <c r="D365" s="39" t="s">
        <v>2351</v>
      </c>
      <c r="E365" s="39" t="s">
        <v>2352</v>
      </c>
      <c r="F365" s="39" t="s">
        <v>2180</v>
      </c>
      <c r="G365" t="s">
        <v>4</v>
      </c>
      <c r="H365" t="s">
        <v>4</v>
      </c>
      <c r="I365" s="39" t="s">
        <v>830</v>
      </c>
    </row>
    <row r="366" spans="1:9" ht="11.25" customHeight="1">
      <c r="A366" s="39" t="s">
        <v>2170</v>
      </c>
      <c r="B366" s="39" t="s">
        <v>2</v>
      </c>
      <c r="C366" s="39" t="s">
        <v>2353</v>
      </c>
      <c r="D366" s="39" t="s">
        <v>2354</v>
      </c>
      <c r="E366" s="39" t="s">
        <v>2355</v>
      </c>
      <c r="F366" s="39" t="s">
        <v>2180</v>
      </c>
      <c r="G366" t="s">
        <v>4</v>
      </c>
      <c r="H366" t="s">
        <v>4</v>
      </c>
      <c r="I366" s="39" t="s">
        <v>830</v>
      </c>
    </row>
    <row r="367" spans="1:9" ht="11.25" customHeight="1">
      <c r="A367" s="39" t="s">
        <v>2170</v>
      </c>
      <c r="B367" s="39" t="s">
        <v>2</v>
      </c>
      <c r="C367" s="39" t="s">
        <v>2945</v>
      </c>
      <c r="D367" s="39" t="s">
        <v>2946</v>
      </c>
      <c r="E367" s="39" t="s">
        <v>2947</v>
      </c>
      <c r="F367" s="39" t="s">
        <v>2562</v>
      </c>
      <c r="G367" t="s">
        <v>4</v>
      </c>
      <c r="H367" t="s">
        <v>4</v>
      </c>
      <c r="I367" s="39" t="s">
        <v>830</v>
      </c>
    </row>
    <row r="368" spans="1:9" ht="11.25" customHeight="1">
      <c r="A368" s="39" t="s">
        <v>2170</v>
      </c>
      <c r="B368" s="39" t="s">
        <v>2</v>
      </c>
      <c r="C368" s="39" t="s">
        <v>2356</v>
      </c>
      <c r="D368" s="39" t="s">
        <v>2357</v>
      </c>
      <c r="E368" s="39" t="s">
        <v>2358</v>
      </c>
      <c r="F368" s="39" t="s">
        <v>2275</v>
      </c>
      <c r="G368" t="s">
        <v>4</v>
      </c>
      <c r="H368" t="s">
        <v>4</v>
      </c>
      <c r="I368" s="39" t="s">
        <v>830</v>
      </c>
    </row>
    <row r="369" spans="1:9" ht="11.25" customHeight="1">
      <c r="A369" s="39" t="s">
        <v>2170</v>
      </c>
      <c r="B369" s="39" t="s">
        <v>2</v>
      </c>
      <c r="C369" t="s">
        <v>4</v>
      </c>
      <c r="D369" s="39" t="s">
        <v>2362</v>
      </c>
      <c r="E369" s="39" t="s">
        <v>2363</v>
      </c>
      <c r="F369" s="39" t="s">
        <v>2364</v>
      </c>
      <c r="G369" t="s">
        <v>4</v>
      </c>
      <c r="H369" t="s">
        <v>4</v>
      </c>
      <c r="I369" s="39" t="s">
        <v>830</v>
      </c>
    </row>
    <row r="370" spans="1:9" ht="11.25" customHeight="1">
      <c r="A370" s="39" t="s">
        <v>2170</v>
      </c>
      <c r="B370" s="39" t="s">
        <v>2</v>
      </c>
      <c r="C370" s="39" t="s">
        <v>2857</v>
      </c>
      <c r="D370" s="39" t="s">
        <v>2858</v>
      </c>
      <c r="E370" s="39" t="s">
        <v>2859</v>
      </c>
      <c r="F370" s="39" t="s">
        <v>2860</v>
      </c>
      <c r="G370" t="s">
        <v>4</v>
      </c>
      <c r="H370" t="s">
        <v>4</v>
      </c>
      <c r="I370" s="39" t="s">
        <v>830</v>
      </c>
    </row>
    <row r="371" spans="1:9" ht="11.25" customHeight="1">
      <c r="A371" s="39" t="s">
        <v>2170</v>
      </c>
      <c r="B371" s="39" t="s">
        <v>2</v>
      </c>
      <c r="C371" s="39" t="s">
        <v>2377</v>
      </c>
      <c r="D371" s="39" t="s">
        <v>2378</v>
      </c>
      <c r="E371" s="39" t="s">
        <v>2379</v>
      </c>
      <c r="F371" s="39" t="s">
        <v>2176</v>
      </c>
      <c r="G371" s="39" t="s">
        <v>2380</v>
      </c>
      <c r="H371" s="39" t="s">
        <v>2381</v>
      </c>
      <c r="I371" s="39" t="s">
        <v>830</v>
      </c>
    </row>
    <row r="372" spans="1:9" ht="11.25" customHeight="1">
      <c r="A372" s="39" t="s">
        <v>2170</v>
      </c>
      <c r="B372" s="39" t="s">
        <v>2</v>
      </c>
      <c r="C372" s="39" t="s">
        <v>2861</v>
      </c>
      <c r="D372" s="39" t="s">
        <v>2862</v>
      </c>
      <c r="E372" s="39" t="s">
        <v>2863</v>
      </c>
      <c r="F372" s="39" t="s">
        <v>2299</v>
      </c>
      <c r="G372" t="s">
        <v>4</v>
      </c>
      <c r="H372" t="s">
        <v>4</v>
      </c>
      <c r="I372" s="39" t="s">
        <v>830</v>
      </c>
    </row>
    <row r="373" spans="1:9" ht="11.25" customHeight="1">
      <c r="A373" s="39" t="s">
        <v>2170</v>
      </c>
      <c r="B373" s="39" t="s">
        <v>2</v>
      </c>
      <c r="C373" s="39" t="s">
        <v>2422</v>
      </c>
      <c r="D373" s="39" t="s">
        <v>2423</v>
      </c>
      <c r="E373" s="39" t="s">
        <v>2424</v>
      </c>
      <c r="F373" s="39" t="s">
        <v>2425</v>
      </c>
      <c r="G373" t="s">
        <v>4</v>
      </c>
      <c r="H373" t="s">
        <v>4</v>
      </c>
      <c r="I373" s="39" t="s">
        <v>830</v>
      </c>
    </row>
    <row r="374" spans="1:9" ht="11.25" customHeight="1">
      <c r="A374" s="39" t="s">
        <v>2170</v>
      </c>
      <c r="B374" s="39" t="s">
        <v>2</v>
      </c>
      <c r="C374" s="39" t="s">
        <v>2864</v>
      </c>
      <c r="D374" s="39" t="s">
        <v>2865</v>
      </c>
      <c r="E374" s="39" t="s">
        <v>2866</v>
      </c>
      <c r="F374" s="39" t="s">
        <v>2180</v>
      </c>
      <c r="G374" t="s">
        <v>4</v>
      </c>
      <c r="H374" t="s">
        <v>4</v>
      </c>
      <c r="I374" s="39" t="s">
        <v>830</v>
      </c>
    </row>
    <row r="375" spans="1:9" ht="11.25" customHeight="1">
      <c r="A375" s="39" t="s">
        <v>2170</v>
      </c>
      <c r="B375" s="39" t="s">
        <v>2</v>
      </c>
      <c r="C375" s="39" t="s">
        <v>2447</v>
      </c>
      <c r="D375" s="39" t="s">
        <v>2448</v>
      </c>
      <c r="E375" s="39" t="s">
        <v>2449</v>
      </c>
      <c r="F375" s="39" t="s">
        <v>2349</v>
      </c>
      <c r="G375" t="s">
        <v>4</v>
      </c>
      <c r="H375" t="s">
        <v>4</v>
      </c>
      <c r="I375" s="39" t="s">
        <v>830</v>
      </c>
    </row>
    <row r="376" spans="1:9" ht="11.25" customHeight="1">
      <c r="A376" s="39" t="s">
        <v>2170</v>
      </c>
      <c r="B376" s="39" t="s">
        <v>2</v>
      </c>
      <c r="C376" s="39" t="s">
        <v>2867</v>
      </c>
      <c r="D376" s="39" t="s">
        <v>2868</v>
      </c>
      <c r="E376" s="39" t="s">
        <v>2869</v>
      </c>
      <c r="F376" s="39" t="s">
        <v>2180</v>
      </c>
      <c r="G376" t="s">
        <v>4</v>
      </c>
      <c r="H376" t="s">
        <v>4</v>
      </c>
      <c r="I376" s="39" t="s">
        <v>830</v>
      </c>
    </row>
    <row r="377" spans="1:9" ht="11.25" customHeight="1">
      <c r="A377" s="39" t="s">
        <v>2170</v>
      </c>
      <c r="B377" s="39" t="s">
        <v>2</v>
      </c>
      <c r="C377" s="39" t="s">
        <v>2463</v>
      </c>
      <c r="D377" s="39" t="s">
        <v>2464</v>
      </c>
      <c r="E377" s="39" t="s">
        <v>2465</v>
      </c>
      <c r="F377" s="39" t="s">
        <v>2466</v>
      </c>
      <c r="G377" t="s">
        <v>4</v>
      </c>
      <c r="H377" t="s">
        <v>4</v>
      </c>
      <c r="I377" s="39" t="s">
        <v>830</v>
      </c>
    </row>
    <row r="378" spans="1:9" ht="11.25" customHeight="1">
      <c r="A378" s="39" t="s">
        <v>2170</v>
      </c>
      <c r="B378" s="39" t="s">
        <v>2</v>
      </c>
      <c r="C378" s="39" t="s">
        <v>2470</v>
      </c>
      <c r="D378" s="39" t="s">
        <v>2471</v>
      </c>
      <c r="E378" s="39" t="s">
        <v>2424</v>
      </c>
      <c r="F378" s="39" t="s">
        <v>2472</v>
      </c>
      <c r="G378" s="39" t="s">
        <v>2473</v>
      </c>
      <c r="H378" t="s">
        <v>4</v>
      </c>
      <c r="I378" s="39" t="s">
        <v>830</v>
      </c>
    </row>
    <row r="379" spans="1:9" ht="11.25" customHeight="1">
      <c r="A379" s="39" t="s">
        <v>2170</v>
      </c>
      <c r="B379" s="39" t="s">
        <v>2</v>
      </c>
      <c r="C379" s="39" t="s">
        <v>2948</v>
      </c>
      <c r="D379" s="39" t="s">
        <v>2949</v>
      </c>
      <c r="E379" s="39" t="s">
        <v>2950</v>
      </c>
      <c r="F379" s="39" t="s">
        <v>2951</v>
      </c>
      <c r="G379" t="s">
        <v>4</v>
      </c>
      <c r="H379" t="s">
        <v>4</v>
      </c>
      <c r="I379" s="39" t="s">
        <v>830</v>
      </c>
    </row>
    <row r="380" spans="1:9" ht="11.25" customHeight="1">
      <c r="A380" s="39" t="s">
        <v>2170</v>
      </c>
      <c r="B380" s="39" t="s">
        <v>2</v>
      </c>
      <c r="C380" s="39" t="s">
        <v>2952</v>
      </c>
      <c r="D380" s="39" t="s">
        <v>2953</v>
      </c>
      <c r="E380" s="39" t="s">
        <v>2954</v>
      </c>
      <c r="F380" s="39" t="s">
        <v>2291</v>
      </c>
      <c r="G380" t="s">
        <v>4</v>
      </c>
      <c r="H380" t="s">
        <v>4</v>
      </c>
      <c r="I380" s="39" t="s">
        <v>830</v>
      </c>
    </row>
    <row r="381" spans="1:9" ht="11.25" customHeight="1">
      <c r="A381" s="39" t="s">
        <v>2170</v>
      </c>
      <c r="B381" s="39" t="s">
        <v>2</v>
      </c>
      <c r="C381" s="39" t="s">
        <v>2873</v>
      </c>
      <c r="D381" s="39" t="s">
        <v>2874</v>
      </c>
      <c r="E381" s="39" t="s">
        <v>2875</v>
      </c>
      <c r="F381" s="39" t="s">
        <v>2480</v>
      </c>
      <c r="G381" t="s">
        <v>4</v>
      </c>
      <c r="H381" t="s">
        <v>4</v>
      </c>
      <c r="I381" s="39" t="s">
        <v>830</v>
      </c>
    </row>
    <row r="382" spans="1:9" ht="11.25" customHeight="1">
      <c r="A382" s="39" t="s">
        <v>2170</v>
      </c>
      <c r="B382" s="39" t="s">
        <v>2</v>
      </c>
      <c r="C382" s="39" t="s">
        <v>2955</v>
      </c>
      <c r="D382" s="39" t="s">
        <v>2956</v>
      </c>
      <c r="E382" s="39" t="s">
        <v>2957</v>
      </c>
      <c r="F382" s="39" t="s">
        <v>2295</v>
      </c>
      <c r="G382" t="s">
        <v>4</v>
      </c>
      <c r="H382" t="s">
        <v>4</v>
      </c>
      <c r="I382" s="39" t="s">
        <v>830</v>
      </c>
    </row>
    <row r="383" spans="1:9" ht="11.25" customHeight="1">
      <c r="A383" s="39" t="s">
        <v>2170</v>
      </c>
      <c r="B383" s="39" t="s">
        <v>2</v>
      </c>
      <c r="C383" s="39" t="s">
        <v>2495</v>
      </c>
      <c r="D383" s="39" t="s">
        <v>2496</v>
      </c>
      <c r="E383" s="39" t="s">
        <v>2497</v>
      </c>
      <c r="F383" s="39" t="s">
        <v>2180</v>
      </c>
      <c r="G383" s="39" t="s">
        <v>2498</v>
      </c>
      <c r="H383" t="s">
        <v>4</v>
      </c>
      <c r="I383" s="39" t="s">
        <v>830</v>
      </c>
    </row>
    <row r="384" spans="1:9" ht="11.25" customHeight="1">
      <c r="A384" s="39" t="s">
        <v>2170</v>
      </c>
      <c r="B384" s="39" t="s">
        <v>2</v>
      </c>
      <c r="C384" s="39" t="s">
        <v>2876</v>
      </c>
      <c r="D384" s="39" t="s">
        <v>2877</v>
      </c>
      <c r="E384" s="39" t="s">
        <v>2878</v>
      </c>
      <c r="F384" s="39" t="s">
        <v>2180</v>
      </c>
      <c r="G384" t="s">
        <v>4</v>
      </c>
      <c r="H384" t="s">
        <v>4</v>
      </c>
      <c r="I384" s="39" t="s">
        <v>830</v>
      </c>
    </row>
    <row r="385" spans="1:9" ht="11.25" customHeight="1">
      <c r="A385" s="39" t="s">
        <v>2170</v>
      </c>
      <c r="B385" s="39" t="s">
        <v>2</v>
      </c>
      <c r="C385" s="39" t="s">
        <v>2958</v>
      </c>
      <c r="D385" s="39" t="s">
        <v>2959</v>
      </c>
      <c r="E385" s="39" t="s">
        <v>2960</v>
      </c>
      <c r="F385" s="39" t="s">
        <v>2180</v>
      </c>
      <c r="G385" s="39" t="s">
        <v>2961</v>
      </c>
      <c r="H385" t="s">
        <v>4</v>
      </c>
      <c r="I385" s="39" t="s">
        <v>830</v>
      </c>
    </row>
    <row r="386" spans="1:9" ht="11.25" customHeight="1">
      <c r="A386" s="39" t="s">
        <v>2170</v>
      </c>
      <c r="B386" s="39" t="s">
        <v>2</v>
      </c>
      <c r="C386" s="39" t="s">
        <v>2879</v>
      </c>
      <c r="D386" s="39" t="s">
        <v>2880</v>
      </c>
      <c r="E386" s="39" t="s">
        <v>2881</v>
      </c>
      <c r="F386" s="39" t="s">
        <v>2385</v>
      </c>
      <c r="G386" s="39" t="s">
        <v>2882</v>
      </c>
      <c r="H386" t="s">
        <v>4</v>
      </c>
      <c r="I386" s="39" t="s">
        <v>830</v>
      </c>
    </row>
    <row r="387" spans="1:9" ht="11.25" customHeight="1">
      <c r="A387" s="39" t="s">
        <v>2170</v>
      </c>
      <c r="B387" s="39" t="s">
        <v>2</v>
      </c>
      <c r="C387" s="39" t="s">
        <v>2962</v>
      </c>
      <c r="D387" s="39" t="s">
        <v>2963</v>
      </c>
      <c r="E387" s="39" t="s">
        <v>2964</v>
      </c>
      <c r="F387" s="39" t="s">
        <v>2511</v>
      </c>
      <c r="G387" s="39" t="s">
        <v>2965</v>
      </c>
      <c r="H387" t="s">
        <v>4</v>
      </c>
      <c r="I387" s="39" t="s">
        <v>830</v>
      </c>
    </row>
    <row r="388" spans="1:9" ht="11.25" customHeight="1">
      <c r="A388" s="39" t="s">
        <v>2170</v>
      </c>
      <c r="B388" s="39" t="s">
        <v>2</v>
      </c>
      <c r="C388" s="39" t="s">
        <v>2883</v>
      </c>
      <c r="D388" s="39" t="s">
        <v>2884</v>
      </c>
      <c r="E388" s="39" t="s">
        <v>2881</v>
      </c>
      <c r="F388" s="39" t="s">
        <v>2236</v>
      </c>
      <c r="G388" t="s">
        <v>4</v>
      </c>
      <c r="H388" t="s">
        <v>4</v>
      </c>
      <c r="I388" s="39" t="s">
        <v>830</v>
      </c>
    </row>
    <row r="389" spans="1:9" ht="11.25" customHeight="1">
      <c r="A389" s="39" t="s">
        <v>2170</v>
      </c>
      <c r="B389" s="39" t="s">
        <v>2</v>
      </c>
      <c r="C389" s="39" t="s">
        <v>2527</v>
      </c>
      <c r="D389" s="39" t="s">
        <v>2528</v>
      </c>
      <c r="E389" s="39" t="s">
        <v>2529</v>
      </c>
      <c r="F389" s="39" t="s">
        <v>2180</v>
      </c>
      <c r="G389" s="39" t="s">
        <v>2530</v>
      </c>
      <c r="H389" t="s">
        <v>4</v>
      </c>
      <c r="I389" s="39" t="s">
        <v>830</v>
      </c>
    </row>
    <row r="390" spans="1:9" ht="11.25" customHeight="1">
      <c r="A390" s="39" t="s">
        <v>2170</v>
      </c>
      <c r="B390" s="39" t="s">
        <v>2</v>
      </c>
      <c r="C390" s="39" t="s">
        <v>2885</v>
      </c>
      <c r="D390" s="39" t="s">
        <v>2886</v>
      </c>
      <c r="E390" s="39" t="s">
        <v>2887</v>
      </c>
      <c r="F390" s="39" t="s">
        <v>2853</v>
      </c>
      <c r="G390" t="s">
        <v>4</v>
      </c>
      <c r="H390" t="s">
        <v>4</v>
      </c>
      <c r="I390" s="39" t="s">
        <v>830</v>
      </c>
    </row>
    <row r="391" spans="1:9" ht="11.25" customHeight="1">
      <c r="A391" s="39" t="s">
        <v>2170</v>
      </c>
      <c r="B391" s="39" t="s">
        <v>2</v>
      </c>
      <c r="C391" s="39" t="s">
        <v>2555</v>
      </c>
      <c r="D391" s="39" t="s">
        <v>2556</v>
      </c>
      <c r="E391" s="39" t="s">
        <v>2557</v>
      </c>
      <c r="F391" s="39" t="s">
        <v>2558</v>
      </c>
      <c r="G391" t="s">
        <v>4</v>
      </c>
      <c r="H391" t="s">
        <v>4</v>
      </c>
      <c r="I391" s="39" t="s">
        <v>830</v>
      </c>
    </row>
    <row r="392" spans="1:9" ht="11.25" customHeight="1">
      <c r="A392" s="39" t="s">
        <v>2170</v>
      </c>
      <c r="B392" s="39" t="s">
        <v>2</v>
      </c>
      <c r="C392" s="39" t="s">
        <v>2571</v>
      </c>
      <c r="D392" s="39" t="s">
        <v>2572</v>
      </c>
      <c r="E392" s="39" t="s">
        <v>2573</v>
      </c>
      <c r="F392" s="39" t="s">
        <v>2558</v>
      </c>
      <c r="G392" s="39" t="s">
        <v>2574</v>
      </c>
      <c r="H392" t="s">
        <v>4</v>
      </c>
      <c r="I392" s="39" t="s">
        <v>830</v>
      </c>
    </row>
    <row r="393" spans="1:9" ht="11.25" customHeight="1">
      <c r="A393" s="39" t="s">
        <v>2170</v>
      </c>
      <c r="B393" s="39" t="s">
        <v>2</v>
      </c>
      <c r="C393" s="39" t="s">
        <v>2581</v>
      </c>
      <c r="D393" s="39" t="s">
        <v>2582</v>
      </c>
      <c r="E393" s="39" t="s">
        <v>2583</v>
      </c>
      <c r="F393" s="39" t="s">
        <v>2284</v>
      </c>
      <c r="G393" t="s">
        <v>4</v>
      </c>
      <c r="H393" t="s">
        <v>4</v>
      </c>
      <c r="I393" s="39" t="s">
        <v>830</v>
      </c>
    </row>
    <row r="394" spans="1:9" ht="11.25" customHeight="1">
      <c r="A394" s="39" t="s">
        <v>2170</v>
      </c>
      <c r="B394" s="39" t="s">
        <v>2</v>
      </c>
      <c r="C394" s="39" t="s">
        <v>2966</v>
      </c>
      <c r="D394" s="39" t="s">
        <v>2967</v>
      </c>
      <c r="E394" s="39" t="s">
        <v>2968</v>
      </c>
      <c r="F394" s="39" t="s">
        <v>2180</v>
      </c>
      <c r="G394" t="s">
        <v>4</v>
      </c>
      <c r="H394" t="s">
        <v>4</v>
      </c>
      <c r="I394" s="39" t="s">
        <v>830</v>
      </c>
    </row>
    <row r="395" spans="1:9" ht="11.25" customHeight="1">
      <c r="A395" s="39" t="s">
        <v>2170</v>
      </c>
      <c r="B395" s="39" t="s">
        <v>2</v>
      </c>
      <c r="C395" s="39" t="s">
        <v>2888</v>
      </c>
      <c r="D395" s="39" t="s">
        <v>2889</v>
      </c>
      <c r="E395" s="39" t="s">
        <v>2890</v>
      </c>
      <c r="F395" s="39" t="s">
        <v>2349</v>
      </c>
      <c r="G395" t="s">
        <v>4</v>
      </c>
      <c r="H395" t="s">
        <v>4</v>
      </c>
      <c r="I395" s="39" t="s">
        <v>830</v>
      </c>
    </row>
    <row r="396" spans="1:9" ht="11.25" customHeight="1">
      <c r="A396" s="39" t="s">
        <v>2170</v>
      </c>
      <c r="B396" s="39" t="s">
        <v>2</v>
      </c>
      <c r="C396" s="39" t="s">
        <v>2634</v>
      </c>
      <c r="D396" s="39" t="s">
        <v>2635</v>
      </c>
      <c r="E396" s="39" t="s">
        <v>2636</v>
      </c>
      <c r="F396" s="39" t="s">
        <v>2180</v>
      </c>
      <c r="G396" t="s">
        <v>4</v>
      </c>
      <c r="H396" t="s">
        <v>4</v>
      </c>
      <c r="I396" s="39" t="s">
        <v>830</v>
      </c>
    </row>
    <row r="397" spans="1:9" ht="11.25" customHeight="1">
      <c r="A397" s="39" t="s">
        <v>2170</v>
      </c>
      <c r="B397" s="39" t="s">
        <v>2</v>
      </c>
      <c r="C397" s="39" t="s">
        <v>2650</v>
      </c>
      <c r="D397" s="39" t="s">
        <v>2651</v>
      </c>
      <c r="E397" s="39" t="s">
        <v>2652</v>
      </c>
      <c r="F397" s="39" t="s">
        <v>2180</v>
      </c>
      <c r="G397" t="s">
        <v>4</v>
      </c>
      <c r="H397" t="s">
        <v>4</v>
      </c>
      <c r="I397" s="39" t="s">
        <v>830</v>
      </c>
    </row>
    <row r="398" spans="1:9" ht="11.25" customHeight="1">
      <c r="A398" s="39" t="s">
        <v>2170</v>
      </c>
      <c r="B398" s="39" t="s">
        <v>2</v>
      </c>
      <c r="C398" s="39" t="s">
        <v>2891</v>
      </c>
      <c r="D398" s="39" t="s">
        <v>2892</v>
      </c>
      <c r="E398" s="39" t="s">
        <v>2893</v>
      </c>
      <c r="F398" s="39" t="s">
        <v>2188</v>
      </c>
      <c r="G398" s="39" t="s">
        <v>2894</v>
      </c>
      <c r="H398" t="s">
        <v>4</v>
      </c>
      <c r="I398" s="39" t="s">
        <v>830</v>
      </c>
    </row>
    <row r="399" spans="1:9" ht="11.25" customHeight="1">
      <c r="A399" s="39" t="s">
        <v>2170</v>
      </c>
      <c r="B399" s="39" t="s">
        <v>2</v>
      </c>
      <c r="C399" s="39" t="s">
        <v>2665</v>
      </c>
      <c r="D399" s="39" t="s">
        <v>2666</v>
      </c>
      <c r="E399" s="39" t="s">
        <v>2667</v>
      </c>
      <c r="F399" s="39" t="s">
        <v>2207</v>
      </c>
      <c r="G399" t="s">
        <v>4</v>
      </c>
      <c r="H399" t="s">
        <v>4</v>
      </c>
      <c r="I399" s="39" t="s">
        <v>830</v>
      </c>
    </row>
    <row r="400" spans="1:9" ht="11.25" customHeight="1">
      <c r="A400" s="39" t="s">
        <v>2170</v>
      </c>
      <c r="B400" s="39" t="s">
        <v>2</v>
      </c>
      <c r="C400" s="39" t="s">
        <v>2895</v>
      </c>
      <c r="D400" s="39" t="s">
        <v>2896</v>
      </c>
      <c r="E400" s="39" t="s">
        <v>2897</v>
      </c>
      <c r="F400" s="39" t="s">
        <v>2180</v>
      </c>
      <c r="G400" s="39" t="s">
        <v>2898</v>
      </c>
      <c r="H400" t="s">
        <v>4</v>
      </c>
      <c r="I400" s="39" t="s">
        <v>830</v>
      </c>
    </row>
    <row r="401" spans="1:9" ht="11.25" customHeight="1">
      <c r="A401" s="39" t="s">
        <v>2170</v>
      </c>
      <c r="B401" s="39" t="s">
        <v>2</v>
      </c>
      <c r="C401" s="39" t="s">
        <v>2899</v>
      </c>
      <c r="D401" s="39" t="s">
        <v>2900</v>
      </c>
      <c r="E401" s="39" t="s">
        <v>2901</v>
      </c>
      <c r="F401" s="39" t="s">
        <v>2610</v>
      </c>
      <c r="G401" s="39" t="s">
        <v>2902</v>
      </c>
      <c r="H401" t="s">
        <v>4</v>
      </c>
      <c r="I401" s="39" t="s">
        <v>830</v>
      </c>
    </row>
    <row r="402" spans="1:9" ht="11.25" customHeight="1">
      <c r="A402" s="39" t="s">
        <v>2170</v>
      </c>
      <c r="B402" s="39" t="s">
        <v>2</v>
      </c>
      <c r="C402" s="39" t="s">
        <v>2903</v>
      </c>
      <c r="D402" s="39" t="s">
        <v>2904</v>
      </c>
      <c r="E402" s="39" t="s">
        <v>2905</v>
      </c>
      <c r="F402" s="39" t="s">
        <v>2180</v>
      </c>
      <c r="G402" s="39" t="s">
        <v>2906</v>
      </c>
      <c r="H402" t="s">
        <v>4</v>
      </c>
      <c r="I402" s="39" t="s">
        <v>830</v>
      </c>
    </row>
    <row r="403" spans="1:9" ht="11.25" customHeight="1">
      <c r="A403" s="39" t="s">
        <v>2170</v>
      </c>
      <c r="B403" s="39" t="s">
        <v>2</v>
      </c>
      <c r="C403" s="39" t="s">
        <v>2907</v>
      </c>
      <c r="D403" s="39" t="s">
        <v>2908</v>
      </c>
      <c r="E403" s="39" t="s">
        <v>2909</v>
      </c>
      <c r="F403" s="39" t="s">
        <v>2180</v>
      </c>
      <c r="G403" t="s">
        <v>4</v>
      </c>
      <c r="H403" t="s">
        <v>4</v>
      </c>
      <c r="I403" s="39" t="s">
        <v>830</v>
      </c>
    </row>
    <row r="404" spans="1:9" ht="11.25" customHeight="1">
      <c r="A404" s="39" t="s">
        <v>2170</v>
      </c>
      <c r="B404" s="39" t="s">
        <v>2</v>
      </c>
      <c r="C404" s="39" t="s">
        <v>2699</v>
      </c>
      <c r="D404" s="39" t="s">
        <v>2700</v>
      </c>
      <c r="E404" s="39" t="s">
        <v>2701</v>
      </c>
      <c r="F404" s="39" t="s">
        <v>2180</v>
      </c>
      <c r="G404" t="s">
        <v>4</v>
      </c>
      <c r="H404" t="s">
        <v>4</v>
      </c>
      <c r="I404" s="39" t="s">
        <v>830</v>
      </c>
    </row>
    <row r="405" spans="1:9" ht="11.25" customHeight="1">
      <c r="A405" s="39" t="s">
        <v>2170</v>
      </c>
      <c r="B405" s="39" t="s">
        <v>2</v>
      </c>
      <c r="C405" s="39" t="s">
        <v>2706</v>
      </c>
      <c r="D405" s="39" t="s">
        <v>2707</v>
      </c>
      <c r="E405" s="39" t="s">
        <v>2708</v>
      </c>
      <c r="F405" s="39" t="s">
        <v>2709</v>
      </c>
      <c r="G405" t="s">
        <v>4</v>
      </c>
      <c r="H405" t="s">
        <v>4</v>
      </c>
      <c r="I405" s="39" t="s">
        <v>830</v>
      </c>
    </row>
    <row r="406" spans="1:9" ht="11.25" customHeight="1">
      <c r="A406" s="39" t="s">
        <v>2170</v>
      </c>
      <c r="B406" s="39" t="s">
        <v>2</v>
      </c>
      <c r="C406" s="39" t="s">
        <v>2726</v>
      </c>
      <c r="D406" s="39" t="s">
        <v>2727</v>
      </c>
      <c r="E406" s="39" t="s">
        <v>2728</v>
      </c>
      <c r="F406" s="39" t="s">
        <v>2442</v>
      </c>
      <c r="G406" t="s">
        <v>4</v>
      </c>
      <c r="H406" t="s">
        <v>4</v>
      </c>
      <c r="I406" s="39" t="s">
        <v>830</v>
      </c>
    </row>
    <row r="407" spans="1:9" ht="11.25" customHeight="1">
      <c r="A407" s="39" t="s">
        <v>2170</v>
      </c>
      <c r="B407" s="39" t="s">
        <v>2</v>
      </c>
      <c r="C407" s="39" t="s">
        <v>2729</v>
      </c>
      <c r="D407" s="39" t="s">
        <v>2730</v>
      </c>
      <c r="E407" s="39" t="s">
        <v>2731</v>
      </c>
      <c r="F407" s="39" t="s">
        <v>2180</v>
      </c>
      <c r="G407" s="39" t="s">
        <v>2732</v>
      </c>
      <c r="H407" t="s">
        <v>4</v>
      </c>
      <c r="I407" s="39" t="s">
        <v>830</v>
      </c>
    </row>
    <row r="408" spans="1:9" ht="11.25" customHeight="1">
      <c r="A408" s="39" t="s">
        <v>2170</v>
      </c>
      <c r="B408" s="39" t="s">
        <v>2</v>
      </c>
      <c r="C408" s="39" t="s">
        <v>2917</v>
      </c>
      <c r="D408" s="39" t="s">
        <v>2918</v>
      </c>
      <c r="E408" s="39" t="s">
        <v>2919</v>
      </c>
      <c r="F408" s="39" t="s">
        <v>2180</v>
      </c>
      <c r="G408" t="s">
        <v>4</v>
      </c>
      <c r="H408" t="s">
        <v>4</v>
      </c>
      <c r="I408" s="39" t="s">
        <v>830</v>
      </c>
    </row>
    <row r="409" spans="1:9" ht="11.25" customHeight="1">
      <c r="A409" s="39" t="s">
        <v>2170</v>
      </c>
      <c r="B409" s="39" t="s">
        <v>2</v>
      </c>
      <c r="C409" s="39" t="s">
        <v>2733</v>
      </c>
      <c r="D409" s="39" t="s">
        <v>2734</v>
      </c>
      <c r="E409" s="39" t="s">
        <v>2735</v>
      </c>
      <c r="F409" s="39" t="s">
        <v>2480</v>
      </c>
      <c r="G409" t="s">
        <v>4</v>
      </c>
      <c r="H409" t="s">
        <v>4</v>
      </c>
      <c r="I409" s="39" t="s">
        <v>830</v>
      </c>
    </row>
    <row r="410" spans="1:9" ht="11.25" customHeight="1">
      <c r="A410" s="39" t="s">
        <v>2170</v>
      </c>
      <c r="B410" s="39" t="s">
        <v>2</v>
      </c>
      <c r="C410" s="39" t="s">
        <v>2920</v>
      </c>
      <c r="D410" s="39" t="s">
        <v>2921</v>
      </c>
      <c r="E410" s="39" t="s">
        <v>2922</v>
      </c>
      <c r="F410" s="39" t="s">
        <v>2180</v>
      </c>
      <c r="G410" s="39" t="s">
        <v>2923</v>
      </c>
      <c r="H410" t="s">
        <v>4</v>
      </c>
      <c r="I410" s="39" t="s">
        <v>830</v>
      </c>
    </row>
    <row r="411" spans="1:9" ht="11.25" customHeight="1">
      <c r="A411" s="39" t="s">
        <v>2170</v>
      </c>
      <c r="B411" s="39" t="s">
        <v>2</v>
      </c>
      <c r="C411" s="39" t="s">
        <v>2736</v>
      </c>
      <c r="D411" s="39" t="s">
        <v>2737</v>
      </c>
      <c r="E411" s="39" t="s">
        <v>2738</v>
      </c>
      <c r="F411" s="39" t="s">
        <v>2739</v>
      </c>
      <c r="G411" s="39" t="s">
        <v>2740</v>
      </c>
      <c r="H411" t="s">
        <v>4</v>
      </c>
      <c r="I411" s="39" t="s">
        <v>830</v>
      </c>
    </row>
    <row r="412" spans="1:9" ht="11.25" customHeight="1">
      <c r="A412" s="39" t="s">
        <v>2170</v>
      </c>
      <c r="B412" s="39" t="s">
        <v>2</v>
      </c>
      <c r="C412" s="39" t="s">
        <v>2741</v>
      </c>
      <c r="D412" s="39" t="s">
        <v>2742</v>
      </c>
      <c r="E412" s="39" t="s">
        <v>2743</v>
      </c>
      <c r="F412" s="39" t="s">
        <v>2698</v>
      </c>
      <c r="G412" t="s">
        <v>4</v>
      </c>
      <c r="H412" t="s">
        <v>4</v>
      </c>
      <c r="I412" s="39" t="s">
        <v>830</v>
      </c>
    </row>
    <row r="413" spans="1:9" ht="11.25" customHeight="1">
      <c r="A413" s="39" t="s">
        <v>2170</v>
      </c>
      <c r="B413" s="39" t="s">
        <v>2</v>
      </c>
      <c r="C413" s="39" t="s">
        <v>2752</v>
      </c>
      <c r="D413" s="39" t="s">
        <v>2753</v>
      </c>
      <c r="E413" s="39" t="s">
        <v>2754</v>
      </c>
      <c r="F413" s="39" t="s">
        <v>2180</v>
      </c>
      <c r="G413" t="s">
        <v>4</v>
      </c>
      <c r="H413" t="s">
        <v>4</v>
      </c>
      <c r="I413" s="39" t="s">
        <v>830</v>
      </c>
    </row>
    <row r="414" spans="1:9" ht="11.25" customHeight="1">
      <c r="A414" s="39" t="s">
        <v>2170</v>
      </c>
      <c r="B414" s="39" t="s">
        <v>2</v>
      </c>
      <c r="C414" s="39" t="s">
        <v>2777</v>
      </c>
      <c r="D414" s="39" t="s">
        <v>2778</v>
      </c>
      <c r="E414" s="39" t="s">
        <v>2779</v>
      </c>
      <c r="F414" s="39" t="s">
        <v>2244</v>
      </c>
      <c r="G414" t="s">
        <v>4</v>
      </c>
      <c r="H414" t="s">
        <v>4</v>
      </c>
      <c r="I414" s="39" t="s">
        <v>830</v>
      </c>
    </row>
    <row r="415" spans="1:9" ht="11.25" customHeight="1">
      <c r="A415" s="39" t="s">
        <v>2170</v>
      </c>
      <c r="B415" s="39" t="s">
        <v>2</v>
      </c>
      <c r="C415" s="39" t="s">
        <v>2783</v>
      </c>
      <c r="D415" s="39" t="s">
        <v>2784</v>
      </c>
      <c r="E415" s="39" t="s">
        <v>2785</v>
      </c>
      <c r="F415" s="39" t="s">
        <v>2786</v>
      </c>
      <c r="G415" t="s">
        <v>4</v>
      </c>
      <c r="H415" t="s">
        <v>4</v>
      </c>
      <c r="I415" s="39" t="s">
        <v>830</v>
      </c>
    </row>
    <row r="416" spans="1:9" ht="11.25" customHeight="1">
      <c r="A416" s="39" t="s">
        <v>2170</v>
      </c>
      <c r="B416" s="39" t="s">
        <v>2</v>
      </c>
      <c r="C416" s="39" t="s">
        <v>2787</v>
      </c>
      <c r="D416" s="39" t="s">
        <v>2788</v>
      </c>
      <c r="E416" s="39" t="s">
        <v>2785</v>
      </c>
      <c r="F416" s="39" t="s">
        <v>2789</v>
      </c>
      <c r="G416" s="39" t="s">
        <v>2790</v>
      </c>
      <c r="H416" t="s">
        <v>4</v>
      </c>
      <c r="I416" s="39" t="s">
        <v>830</v>
      </c>
    </row>
    <row r="417" spans="1:9" ht="11.25" customHeight="1">
      <c r="A417" s="39" t="s">
        <v>2170</v>
      </c>
      <c r="B417" s="39" t="s">
        <v>2</v>
      </c>
      <c r="C417" s="39" t="s">
        <v>2932</v>
      </c>
      <c r="D417" s="39" t="s">
        <v>2933</v>
      </c>
      <c r="E417" s="39" t="s">
        <v>2928</v>
      </c>
      <c r="F417" s="39" t="s">
        <v>2466</v>
      </c>
      <c r="G417" t="s">
        <v>4</v>
      </c>
      <c r="H417" t="s">
        <v>4</v>
      </c>
      <c r="I417" s="39" t="s">
        <v>830</v>
      </c>
    </row>
    <row r="418" spans="1:9" ht="11.25" customHeight="1">
      <c r="A418" s="39" t="s">
        <v>2170</v>
      </c>
      <c r="B418" s="39" t="s">
        <v>2</v>
      </c>
      <c r="C418" s="39" t="s">
        <v>2794</v>
      </c>
      <c r="D418" s="39" t="s">
        <v>2795</v>
      </c>
      <c r="E418" s="39" t="s">
        <v>2796</v>
      </c>
      <c r="F418" s="39" t="s">
        <v>2180</v>
      </c>
      <c r="G418" t="s">
        <v>4</v>
      </c>
      <c r="H418" t="s">
        <v>4</v>
      </c>
      <c r="I418" s="39" t="s">
        <v>830</v>
      </c>
    </row>
    <row r="419" spans="1:9" ht="11.25" customHeight="1">
      <c r="A419" s="39" t="s">
        <v>2170</v>
      </c>
      <c r="B419" s="39" t="s">
        <v>2</v>
      </c>
      <c r="C419" s="39" t="s">
        <v>2808</v>
      </c>
      <c r="D419" s="39" t="s">
        <v>2809</v>
      </c>
      <c r="E419" s="39" t="s">
        <v>2810</v>
      </c>
      <c r="F419" s="39" t="s">
        <v>2180</v>
      </c>
      <c r="G419" t="s">
        <v>4</v>
      </c>
      <c r="H419" t="s">
        <v>4</v>
      </c>
      <c r="I419" s="39" t="s">
        <v>830</v>
      </c>
    </row>
    <row r="420" spans="1:9" ht="11.25" customHeight="1">
      <c r="A420" s="39" t="s">
        <v>2170</v>
      </c>
      <c r="B420" s="39" t="s">
        <v>2</v>
      </c>
      <c r="C420" s="39" t="s">
        <v>2934</v>
      </c>
      <c r="D420" s="39" t="s">
        <v>2935</v>
      </c>
      <c r="E420" s="39" t="s">
        <v>2936</v>
      </c>
      <c r="F420" s="39" t="s">
        <v>2937</v>
      </c>
      <c r="G420" t="s">
        <v>4</v>
      </c>
      <c r="H420" t="s">
        <v>4</v>
      </c>
      <c r="I420" s="39" t="s">
        <v>830</v>
      </c>
    </row>
    <row r="421" spans="1:9" ht="11.25" customHeight="1">
      <c r="A421" s="39" t="s">
        <v>2170</v>
      </c>
      <c r="B421" s="39" t="s">
        <v>2</v>
      </c>
      <c r="C421" s="39" t="s">
        <v>2824</v>
      </c>
      <c r="D421" s="39" t="s">
        <v>2825</v>
      </c>
      <c r="E421" s="39" t="s">
        <v>2826</v>
      </c>
      <c r="F421" s="39" t="s">
        <v>2827</v>
      </c>
      <c r="G421" t="s">
        <v>4</v>
      </c>
      <c r="H421" t="s">
        <v>4</v>
      </c>
      <c r="I421" s="39" t="s">
        <v>830</v>
      </c>
    </row>
    <row r="422" spans="1:9" ht="11.25" customHeight="1">
      <c r="A422" s="39" t="s">
        <v>2170</v>
      </c>
      <c r="B422" s="39" t="s">
        <v>2</v>
      </c>
      <c r="C422" s="39" t="s">
        <v>2938</v>
      </c>
      <c r="D422" s="39" t="s">
        <v>2939</v>
      </c>
      <c r="E422" s="39" t="s">
        <v>2940</v>
      </c>
      <c r="F422" s="39" t="s">
        <v>2941</v>
      </c>
      <c r="G422" t="s">
        <v>4</v>
      </c>
      <c r="H422" t="s">
        <v>4</v>
      </c>
      <c r="I422" s="39" t="s">
        <v>830</v>
      </c>
    </row>
    <row r="423" spans="1:9" ht="11.25" customHeight="1">
      <c r="A423" s="39" t="s">
        <v>2170</v>
      </c>
      <c r="B423" s="39" t="s">
        <v>2</v>
      </c>
      <c r="C423" s="39" t="s">
        <v>2832</v>
      </c>
      <c r="D423" s="39" t="s">
        <v>2833</v>
      </c>
      <c r="E423" s="39" t="s">
        <v>2834</v>
      </c>
      <c r="F423" s="39" t="s">
        <v>2835</v>
      </c>
      <c r="G423" s="39" t="s">
        <v>2836</v>
      </c>
      <c r="H423" t="s">
        <v>4</v>
      </c>
      <c r="I423" s="39" t="s">
        <v>830</v>
      </c>
    </row>
    <row r="424" spans="1:9" ht="11.25" customHeight="1">
      <c r="A424" s="39" t="s">
        <v>2170</v>
      </c>
      <c r="B424" s="39" t="s">
        <v>2</v>
      </c>
      <c r="C424" s="39" t="s">
        <v>2969</v>
      </c>
      <c r="D424" s="39" t="s">
        <v>2970</v>
      </c>
      <c r="E424" s="39" t="s">
        <v>2971</v>
      </c>
      <c r="F424" s="39" t="s">
        <v>2240</v>
      </c>
      <c r="G424" s="39" t="s">
        <v>2972</v>
      </c>
      <c r="H424" t="s">
        <v>4</v>
      </c>
      <c r="I424" s="39" t="s">
        <v>1543</v>
      </c>
    </row>
    <row r="425" spans="1:9" ht="11.25" customHeight="1">
      <c r="A425" s="39" t="s">
        <v>2170</v>
      </c>
      <c r="B425" s="39" t="s">
        <v>2</v>
      </c>
      <c r="C425" t="s">
        <v>4</v>
      </c>
      <c r="D425" s="39" t="s">
        <v>2362</v>
      </c>
      <c r="E425" s="39" t="s">
        <v>2363</v>
      </c>
      <c r="F425" s="39" t="s">
        <v>2364</v>
      </c>
      <c r="G425" t="s">
        <v>4</v>
      </c>
      <c r="H425" t="s">
        <v>4</v>
      </c>
      <c r="I425" s="39" t="s">
        <v>1543</v>
      </c>
    </row>
    <row r="426" spans="1:9" ht="11.25" customHeight="1">
      <c r="A426" s="39" t="s">
        <v>2170</v>
      </c>
      <c r="B426" s="39" t="s">
        <v>2</v>
      </c>
      <c r="C426" s="39" t="s">
        <v>2973</v>
      </c>
      <c r="D426" s="39" t="s">
        <v>2490</v>
      </c>
      <c r="E426" s="39" t="s">
        <v>2491</v>
      </c>
      <c r="F426" s="39" t="s">
        <v>2974</v>
      </c>
      <c r="G426" s="39" t="s">
        <v>2975</v>
      </c>
      <c r="H426" t="s">
        <v>4</v>
      </c>
      <c r="I426" s="39" t="s">
        <v>1543</v>
      </c>
    </row>
    <row r="427" spans="1:9" ht="11.25" customHeight="1">
      <c r="A427" s="39" t="s">
        <v>2170</v>
      </c>
      <c r="B427" s="39" t="s">
        <v>2</v>
      </c>
      <c r="C427" s="39" t="s">
        <v>2489</v>
      </c>
      <c r="D427" s="39" t="s">
        <v>2490</v>
      </c>
      <c r="E427" s="39" t="s">
        <v>2491</v>
      </c>
      <c r="F427" s="39" t="s">
        <v>15</v>
      </c>
      <c r="G427" t="s">
        <v>4</v>
      </c>
      <c r="H427" t="s">
        <v>4</v>
      </c>
      <c r="I427" s="39" t="s">
        <v>1543</v>
      </c>
    </row>
    <row r="428" spans="1:9" ht="11.25" customHeight="1">
      <c r="A428" s="39" t="s">
        <v>2170</v>
      </c>
      <c r="B428" s="39" t="s">
        <v>2</v>
      </c>
      <c r="C428" s="39" t="s">
        <v>2976</v>
      </c>
      <c r="D428" s="39" t="s">
        <v>2977</v>
      </c>
      <c r="E428" s="39" t="s">
        <v>2978</v>
      </c>
      <c r="F428" s="39" t="s">
        <v>2442</v>
      </c>
      <c r="G428" s="39" t="s">
        <v>2979</v>
      </c>
      <c r="H428" t="s">
        <v>4</v>
      </c>
      <c r="I428" s="39" t="s">
        <v>1543</v>
      </c>
    </row>
    <row r="429" spans="1:9" ht="11.25" customHeight="1">
      <c r="A429" s="39" t="s">
        <v>2170</v>
      </c>
      <c r="B429" s="39" t="s">
        <v>2</v>
      </c>
      <c r="C429" s="39" t="s">
        <v>2523</v>
      </c>
      <c r="D429" s="39" t="s">
        <v>2524</v>
      </c>
      <c r="E429" s="39" t="s">
        <v>2525</v>
      </c>
      <c r="F429" s="39" t="s">
        <v>2215</v>
      </c>
      <c r="G429" t="s">
        <v>4</v>
      </c>
      <c r="H429" s="39" t="s">
        <v>2526</v>
      </c>
      <c r="I429" s="39" t="s">
        <v>1543</v>
      </c>
    </row>
    <row r="430" spans="1:9" ht="11.25" customHeight="1">
      <c r="A430" s="39" t="s">
        <v>2170</v>
      </c>
      <c r="B430" s="39" t="s">
        <v>2</v>
      </c>
      <c r="C430" s="39" t="s">
        <v>2980</v>
      </c>
      <c r="D430" s="39" t="s">
        <v>2981</v>
      </c>
      <c r="E430" s="39" t="s">
        <v>2982</v>
      </c>
      <c r="F430" s="39" t="s">
        <v>2180</v>
      </c>
      <c r="G430" s="39" t="s">
        <v>2983</v>
      </c>
      <c r="H430" t="s">
        <v>4</v>
      </c>
      <c r="I430" s="39" t="s">
        <v>1543</v>
      </c>
    </row>
    <row r="431" spans="1:9" ht="11.25" customHeight="1">
      <c r="A431" s="39" t="s">
        <v>2170</v>
      </c>
      <c r="B431" s="39" t="s">
        <v>2</v>
      </c>
      <c r="C431" s="39" t="s">
        <v>2984</v>
      </c>
      <c r="D431" s="39" t="s">
        <v>2985</v>
      </c>
      <c r="E431" s="39" t="s">
        <v>2986</v>
      </c>
      <c r="F431" s="39" t="s">
        <v>2291</v>
      </c>
      <c r="G431" s="39" t="s">
        <v>2987</v>
      </c>
      <c r="H431" t="s">
        <v>4</v>
      </c>
      <c r="I431" s="39" t="s">
        <v>1543</v>
      </c>
    </row>
    <row r="432" spans="1:9" ht="11.25" customHeight="1">
      <c r="A432" s="39" t="s">
        <v>2170</v>
      </c>
      <c r="B432" s="39" t="s">
        <v>2</v>
      </c>
      <c r="C432" s="39" t="s">
        <v>2988</v>
      </c>
      <c r="D432" s="39" t="s">
        <v>2989</v>
      </c>
      <c r="E432" s="39" t="s">
        <v>2990</v>
      </c>
      <c r="F432" s="39" t="s">
        <v>2437</v>
      </c>
      <c r="G432" s="39" t="s">
        <v>2991</v>
      </c>
      <c r="H432" t="s">
        <v>4</v>
      </c>
      <c r="I432" s="39" t="s">
        <v>1543</v>
      </c>
    </row>
    <row r="433" spans="1:9" ht="11.25" customHeight="1">
      <c r="A433" s="39" t="s">
        <v>2170</v>
      </c>
      <c r="B433" s="39" t="s">
        <v>2</v>
      </c>
      <c r="C433" s="39" t="s">
        <v>2668</v>
      </c>
      <c r="D433" s="39" t="s">
        <v>2669</v>
      </c>
      <c r="E433" s="39" t="s">
        <v>2670</v>
      </c>
      <c r="F433" s="39" t="s">
        <v>2263</v>
      </c>
      <c r="G433" s="39" t="s">
        <v>2671</v>
      </c>
      <c r="H433" t="s">
        <v>4</v>
      </c>
      <c r="I433" s="39" t="s">
        <v>1543</v>
      </c>
    </row>
    <row r="434" spans="1:9" ht="11.25" customHeight="1">
      <c r="A434" s="39" t="s">
        <v>2170</v>
      </c>
      <c r="B434" s="39" t="s">
        <v>2</v>
      </c>
      <c r="C434" s="39" t="s">
        <v>2992</v>
      </c>
      <c r="D434" s="39" t="s">
        <v>2993</v>
      </c>
      <c r="E434" s="39" t="s">
        <v>2994</v>
      </c>
      <c r="F434" s="39" t="s">
        <v>2698</v>
      </c>
      <c r="G434" t="s">
        <v>4</v>
      </c>
      <c r="H434" t="s">
        <v>4</v>
      </c>
      <c r="I434" s="39" t="s">
        <v>1543</v>
      </c>
    </row>
    <row r="435" spans="1:9" ht="11.25" customHeight="1">
      <c r="A435" s="39" t="s">
        <v>2170</v>
      </c>
      <c r="B435" s="39" t="s">
        <v>2</v>
      </c>
      <c r="C435" s="39" t="s">
        <v>2995</v>
      </c>
      <c r="D435" s="39" t="s">
        <v>2996</v>
      </c>
      <c r="E435" s="39" t="s">
        <v>2997</v>
      </c>
      <c r="F435" s="39" t="s">
        <v>2393</v>
      </c>
      <c r="G435" s="39" t="s">
        <v>2998</v>
      </c>
      <c r="H435" t="s">
        <v>4</v>
      </c>
      <c r="I435" s="39" t="s">
        <v>1543</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50"/>
  <sheetViews>
    <sheetView showGridLines="0" workbookViewId="0"/>
  </sheetViews>
  <sheetFormatPr defaultRowHeight="11.25" customHeight="1"/>
  <sheetData>
    <row r="1" spans="1:7" ht="11.25" customHeight="1">
      <c r="A1" s="39" t="s">
        <v>2999</v>
      </c>
      <c r="B1" s="39" t="s">
        <v>3000</v>
      </c>
      <c r="C1" s="39" t="s">
        <v>3001</v>
      </c>
      <c r="D1" s="39" t="s">
        <v>3002</v>
      </c>
      <c r="E1" s="39" t="s">
        <v>3003</v>
      </c>
      <c r="F1" s="39" t="s">
        <v>3004</v>
      </c>
      <c r="G1" s="39" t="s">
        <v>3005</v>
      </c>
    </row>
    <row r="2" spans="1:7" ht="11.25" customHeight="1">
      <c r="A2" s="39" t="s">
        <v>2</v>
      </c>
      <c r="B2" t="s">
        <v>32</v>
      </c>
      <c r="C2" t="s">
        <v>33</v>
      </c>
      <c r="D2" t="s">
        <v>32</v>
      </c>
      <c r="E2" t="s">
        <v>33</v>
      </c>
      <c r="F2" t="s">
        <v>3006</v>
      </c>
      <c r="G2" t="s">
        <v>31</v>
      </c>
    </row>
    <row r="3" spans="1:7" ht="11.25" customHeight="1">
      <c r="A3" s="39" t="s">
        <v>2</v>
      </c>
      <c r="B3" t="s">
        <v>32</v>
      </c>
      <c r="C3" t="s">
        <v>33</v>
      </c>
      <c r="D3" t="s">
        <v>3007</v>
      </c>
      <c r="E3" t="s">
        <v>3008</v>
      </c>
      <c r="F3" t="s">
        <v>3009</v>
      </c>
      <c r="G3" t="s">
        <v>39</v>
      </c>
    </row>
    <row r="4" spans="1:7" ht="11.25" customHeight="1">
      <c r="A4" s="39" t="s">
        <v>2</v>
      </c>
      <c r="B4" t="s">
        <v>32</v>
      </c>
      <c r="C4" t="s">
        <v>33</v>
      </c>
      <c r="D4" t="s">
        <v>3010</v>
      </c>
      <c r="E4" t="s">
        <v>3011</v>
      </c>
      <c r="F4" t="s">
        <v>3012</v>
      </c>
      <c r="G4" t="s">
        <v>26</v>
      </c>
    </row>
    <row r="5" spans="1:7" ht="11.25" customHeight="1">
      <c r="A5" s="39" t="s">
        <v>2</v>
      </c>
      <c r="B5" t="s">
        <v>32</v>
      </c>
      <c r="C5" t="s">
        <v>33</v>
      </c>
      <c r="D5" t="s">
        <v>3013</v>
      </c>
      <c r="E5" t="s">
        <v>3014</v>
      </c>
      <c r="F5" t="s">
        <v>3012</v>
      </c>
      <c r="G5" t="s">
        <v>27</v>
      </c>
    </row>
    <row r="6" spans="1:7" ht="11.25" customHeight="1">
      <c r="A6" s="39" t="s">
        <v>2</v>
      </c>
      <c r="B6" t="s">
        <v>32</v>
      </c>
      <c r="C6" t="s">
        <v>33</v>
      </c>
      <c r="D6" t="s">
        <v>3015</v>
      </c>
      <c r="E6" t="s">
        <v>3016</v>
      </c>
      <c r="F6" t="s">
        <v>3012</v>
      </c>
      <c r="G6" t="s">
        <v>40</v>
      </c>
    </row>
    <row r="7" spans="1:7" ht="11.25" customHeight="1">
      <c r="A7" s="39" t="s">
        <v>2</v>
      </c>
      <c r="B7" t="s">
        <v>32</v>
      </c>
      <c r="C7" t="s">
        <v>33</v>
      </c>
      <c r="D7" t="s">
        <v>3017</v>
      </c>
      <c r="E7" t="s">
        <v>3018</v>
      </c>
      <c r="F7" t="s">
        <v>3012</v>
      </c>
      <c r="G7" t="s">
        <v>28</v>
      </c>
    </row>
    <row r="8" spans="1:7" ht="11.25" customHeight="1">
      <c r="A8" s="39" t="s">
        <v>2</v>
      </c>
      <c r="B8" t="s">
        <v>32</v>
      </c>
      <c r="C8" t="s">
        <v>33</v>
      </c>
      <c r="D8" t="s">
        <v>3019</v>
      </c>
      <c r="E8" t="s">
        <v>3020</v>
      </c>
      <c r="F8" t="s">
        <v>3012</v>
      </c>
      <c r="G8" t="s">
        <v>29</v>
      </c>
    </row>
    <row r="9" spans="1:7" ht="11.25" customHeight="1">
      <c r="A9" s="39" t="s">
        <v>2</v>
      </c>
      <c r="B9" t="s">
        <v>32</v>
      </c>
      <c r="C9" t="s">
        <v>33</v>
      </c>
      <c r="D9" t="s">
        <v>3021</v>
      </c>
      <c r="E9" t="s">
        <v>3022</v>
      </c>
      <c r="F9" t="s">
        <v>3012</v>
      </c>
      <c r="G9" t="s">
        <v>41</v>
      </c>
    </row>
    <row r="10" spans="1:7" ht="11.25" customHeight="1">
      <c r="A10" s="39" t="s">
        <v>2</v>
      </c>
      <c r="B10" t="s">
        <v>32</v>
      </c>
      <c r="C10" t="s">
        <v>33</v>
      </c>
      <c r="D10" t="s">
        <v>3023</v>
      </c>
      <c r="E10" t="s">
        <v>3024</v>
      </c>
      <c r="F10" t="s">
        <v>3012</v>
      </c>
      <c r="G10" t="s">
        <v>73</v>
      </c>
    </row>
    <row r="11" spans="1:7" ht="11.25" customHeight="1">
      <c r="A11" s="39" t="s">
        <v>2</v>
      </c>
      <c r="B11" t="s">
        <v>32</v>
      </c>
      <c r="C11" t="s">
        <v>33</v>
      </c>
      <c r="D11" t="s">
        <v>3025</v>
      </c>
      <c r="E11" t="s">
        <v>3026</v>
      </c>
      <c r="F11" t="s">
        <v>3012</v>
      </c>
      <c r="G11" t="s">
        <v>74</v>
      </c>
    </row>
    <row r="12" spans="1:7" ht="11.25" customHeight="1">
      <c r="A12" s="39" t="s">
        <v>2</v>
      </c>
      <c r="B12" t="s">
        <v>32</v>
      </c>
      <c r="C12" t="s">
        <v>33</v>
      </c>
      <c r="D12" t="s">
        <v>3027</v>
      </c>
      <c r="E12" t="s">
        <v>3028</v>
      </c>
      <c r="F12" t="s">
        <v>3009</v>
      </c>
      <c r="G12" t="s">
        <v>75</v>
      </c>
    </row>
    <row r="13" spans="1:7" ht="11.25" customHeight="1">
      <c r="A13" s="39" t="s">
        <v>2</v>
      </c>
      <c r="B13" t="s">
        <v>32</v>
      </c>
      <c r="C13" t="s">
        <v>33</v>
      </c>
      <c r="D13" t="s">
        <v>3029</v>
      </c>
      <c r="E13" t="s">
        <v>3030</v>
      </c>
      <c r="F13" t="s">
        <v>3012</v>
      </c>
      <c r="G13" t="s">
        <v>76</v>
      </c>
    </row>
    <row r="14" spans="1:7" ht="11.25" customHeight="1">
      <c r="A14" s="39" t="s">
        <v>2</v>
      </c>
      <c r="B14" t="s">
        <v>32</v>
      </c>
      <c r="C14" t="s">
        <v>33</v>
      </c>
      <c r="D14" t="s">
        <v>3031</v>
      </c>
      <c r="E14" t="s">
        <v>3032</v>
      </c>
      <c r="F14" t="s">
        <v>3012</v>
      </c>
      <c r="G14" t="s">
        <v>77</v>
      </c>
    </row>
    <row r="15" spans="1:7" ht="11.25" customHeight="1">
      <c r="A15" s="39" t="s">
        <v>2</v>
      </c>
      <c r="B15" t="s">
        <v>32</v>
      </c>
      <c r="C15" t="s">
        <v>33</v>
      </c>
      <c r="D15" t="s">
        <v>3033</v>
      </c>
      <c r="E15" t="s">
        <v>3034</v>
      </c>
      <c r="F15" t="s">
        <v>3009</v>
      </c>
      <c r="G15" t="s">
        <v>78</v>
      </c>
    </row>
    <row r="16" spans="1:7" ht="11.25" customHeight="1">
      <c r="A16" s="39" t="s">
        <v>2</v>
      </c>
      <c r="B16" t="s">
        <v>32</v>
      </c>
      <c r="C16" t="s">
        <v>33</v>
      </c>
      <c r="D16" t="s">
        <v>3035</v>
      </c>
      <c r="E16" t="s">
        <v>3036</v>
      </c>
      <c r="F16" t="s">
        <v>3009</v>
      </c>
      <c r="G16" t="s">
        <v>1386</v>
      </c>
    </row>
    <row r="17" spans="1:7" ht="11.25" customHeight="1">
      <c r="A17" s="39" t="s">
        <v>2</v>
      </c>
      <c r="B17" t="s">
        <v>32</v>
      </c>
      <c r="C17" t="s">
        <v>33</v>
      </c>
      <c r="D17" t="s">
        <v>3037</v>
      </c>
      <c r="E17" t="s">
        <v>3038</v>
      </c>
      <c r="F17" t="s">
        <v>3012</v>
      </c>
      <c r="G17" t="s">
        <v>1392</v>
      </c>
    </row>
    <row r="18" spans="1:7" ht="11.25" customHeight="1">
      <c r="A18" s="39" t="s">
        <v>2</v>
      </c>
      <c r="B18" t="s">
        <v>32</v>
      </c>
      <c r="C18" t="s">
        <v>33</v>
      </c>
      <c r="D18" t="s">
        <v>3039</v>
      </c>
      <c r="E18" t="s">
        <v>3040</v>
      </c>
      <c r="F18" t="s">
        <v>3009</v>
      </c>
      <c r="G18" t="s">
        <v>1404</v>
      </c>
    </row>
    <row r="19" spans="1:7" ht="11.25" customHeight="1">
      <c r="A19" s="39" t="s">
        <v>2</v>
      </c>
      <c r="B19" t="s">
        <v>32</v>
      </c>
      <c r="C19" t="s">
        <v>33</v>
      </c>
      <c r="D19" t="s">
        <v>3041</v>
      </c>
      <c r="E19" t="s">
        <v>3042</v>
      </c>
      <c r="F19" t="s">
        <v>3012</v>
      </c>
      <c r="G19" t="s">
        <v>1418</v>
      </c>
    </row>
    <row r="20" spans="1:7" ht="11.25" customHeight="1">
      <c r="A20" s="39" t="s">
        <v>2</v>
      </c>
      <c r="B20" t="s">
        <v>32</v>
      </c>
      <c r="C20" t="s">
        <v>33</v>
      </c>
      <c r="D20" t="s">
        <v>3043</v>
      </c>
      <c r="E20" t="s">
        <v>3044</v>
      </c>
      <c r="F20" t="s">
        <v>3012</v>
      </c>
      <c r="G20" t="s">
        <v>1430</v>
      </c>
    </row>
    <row r="21" spans="1:7" ht="11.25" customHeight="1">
      <c r="A21" s="39" t="s">
        <v>2</v>
      </c>
      <c r="B21" t="s">
        <v>32</v>
      </c>
      <c r="C21" t="s">
        <v>33</v>
      </c>
      <c r="D21" t="s">
        <v>3045</v>
      </c>
      <c r="E21" t="s">
        <v>3046</v>
      </c>
      <c r="F21" t="s">
        <v>3012</v>
      </c>
      <c r="G21" t="s">
        <v>1439</v>
      </c>
    </row>
    <row r="22" spans="1:7" ht="11.25" customHeight="1">
      <c r="A22" s="39" t="s">
        <v>2</v>
      </c>
      <c r="B22" t="s">
        <v>32</v>
      </c>
      <c r="C22" t="s">
        <v>33</v>
      </c>
      <c r="D22" t="s">
        <v>3045</v>
      </c>
      <c r="E22" t="s">
        <v>3047</v>
      </c>
      <c r="F22" t="s">
        <v>3009</v>
      </c>
      <c r="G22" t="s">
        <v>1455</v>
      </c>
    </row>
    <row r="23" spans="1:7" ht="11.25" customHeight="1">
      <c r="A23" s="39" t="s">
        <v>2</v>
      </c>
      <c r="B23" t="s">
        <v>32</v>
      </c>
      <c r="C23" t="s">
        <v>33</v>
      </c>
      <c r="D23" t="s">
        <v>3048</v>
      </c>
      <c r="E23" t="s">
        <v>3049</v>
      </c>
      <c r="F23" t="s">
        <v>3012</v>
      </c>
      <c r="G23" t="s">
        <v>1462</v>
      </c>
    </row>
    <row r="24" spans="1:7" ht="11.25" customHeight="1">
      <c r="A24" s="39" t="s">
        <v>2</v>
      </c>
      <c r="B24" t="s">
        <v>32</v>
      </c>
      <c r="C24" t="s">
        <v>33</v>
      </c>
      <c r="D24" t="s">
        <v>3050</v>
      </c>
      <c r="E24" t="s">
        <v>3051</v>
      </c>
      <c r="F24" t="s">
        <v>3009</v>
      </c>
      <c r="G24" t="s">
        <v>1470</v>
      </c>
    </row>
    <row r="25" spans="1:7" ht="11.25" customHeight="1">
      <c r="A25" s="39" t="s">
        <v>2</v>
      </c>
      <c r="B25" t="s">
        <v>32</v>
      </c>
      <c r="C25" t="s">
        <v>33</v>
      </c>
      <c r="D25" t="s">
        <v>3052</v>
      </c>
      <c r="E25" t="s">
        <v>3053</v>
      </c>
      <c r="F25" t="s">
        <v>3012</v>
      </c>
      <c r="G25" t="s">
        <v>1477</v>
      </c>
    </row>
    <row r="26" spans="1:7" ht="11.25" customHeight="1">
      <c r="A26" s="39" t="s">
        <v>2</v>
      </c>
      <c r="B26" t="s">
        <v>32</v>
      </c>
      <c r="C26" t="s">
        <v>33</v>
      </c>
      <c r="D26" t="s">
        <v>3054</v>
      </c>
      <c r="E26" t="s">
        <v>3055</v>
      </c>
      <c r="F26" t="s">
        <v>3012</v>
      </c>
      <c r="G26" t="s">
        <v>1481</v>
      </c>
    </row>
    <row r="27" spans="1:7" ht="11.25" customHeight="1">
      <c r="A27" s="39" t="s">
        <v>2</v>
      </c>
      <c r="B27" t="s">
        <v>32</v>
      </c>
      <c r="C27" t="s">
        <v>33</v>
      </c>
      <c r="D27" t="s">
        <v>3056</v>
      </c>
      <c r="E27" t="s">
        <v>3057</v>
      </c>
      <c r="F27" t="s">
        <v>3012</v>
      </c>
      <c r="G27" t="s">
        <v>1486</v>
      </c>
    </row>
    <row r="28" spans="1:7" ht="11.25" customHeight="1">
      <c r="A28" s="39" t="s">
        <v>2</v>
      </c>
      <c r="B28" t="s">
        <v>32</v>
      </c>
      <c r="C28" t="s">
        <v>33</v>
      </c>
      <c r="D28" t="s">
        <v>3058</v>
      </c>
      <c r="E28" t="s">
        <v>3059</v>
      </c>
      <c r="F28" t="s">
        <v>3012</v>
      </c>
      <c r="G28" t="s">
        <v>1494</v>
      </c>
    </row>
    <row r="29" spans="1:7" ht="11.25" customHeight="1">
      <c r="A29" s="39" t="s">
        <v>2</v>
      </c>
      <c r="B29" t="s">
        <v>32</v>
      </c>
      <c r="C29" t="s">
        <v>33</v>
      </c>
      <c r="D29" t="s">
        <v>3060</v>
      </c>
      <c r="E29" t="s">
        <v>3061</v>
      </c>
      <c r="F29" t="s">
        <v>3012</v>
      </c>
      <c r="G29" t="s">
        <v>1496</v>
      </c>
    </row>
    <row r="30" spans="1:7" ht="11.25" customHeight="1">
      <c r="A30" s="39" t="s">
        <v>2</v>
      </c>
      <c r="B30" t="s">
        <v>32</v>
      </c>
      <c r="C30" t="s">
        <v>33</v>
      </c>
      <c r="D30" t="s">
        <v>3062</v>
      </c>
      <c r="E30" t="s">
        <v>3063</v>
      </c>
      <c r="F30" t="s">
        <v>3012</v>
      </c>
      <c r="G30" t="s">
        <v>1499</v>
      </c>
    </row>
    <row r="31" spans="1:7" ht="11.25" customHeight="1">
      <c r="A31" s="39" t="s">
        <v>2</v>
      </c>
      <c r="B31" t="s">
        <v>32</v>
      </c>
      <c r="C31" t="s">
        <v>33</v>
      </c>
      <c r="D31" t="s">
        <v>3064</v>
      </c>
      <c r="E31" t="s">
        <v>3065</v>
      </c>
      <c r="F31" t="s">
        <v>3012</v>
      </c>
      <c r="G31" t="s">
        <v>1505</v>
      </c>
    </row>
    <row r="32" spans="1:7" ht="11.25" customHeight="1">
      <c r="A32" s="39" t="s">
        <v>2</v>
      </c>
      <c r="B32" t="s">
        <v>32</v>
      </c>
      <c r="C32" t="s">
        <v>33</v>
      </c>
      <c r="D32" t="s">
        <v>3066</v>
      </c>
      <c r="E32" t="s">
        <v>3067</v>
      </c>
      <c r="F32" t="s">
        <v>3009</v>
      </c>
      <c r="G32" t="s">
        <v>1507</v>
      </c>
    </row>
    <row r="33" spans="1:7" ht="11.25" customHeight="1">
      <c r="A33" s="39" t="s">
        <v>2</v>
      </c>
      <c r="B33" t="s">
        <v>32</v>
      </c>
      <c r="C33" t="s">
        <v>33</v>
      </c>
      <c r="D33" t="s">
        <v>3068</v>
      </c>
      <c r="E33" t="s">
        <v>3069</v>
      </c>
      <c r="F33" t="s">
        <v>3012</v>
      </c>
      <c r="G33" t="s">
        <v>1509</v>
      </c>
    </row>
    <row r="34" spans="1:7" ht="11.25" customHeight="1">
      <c r="A34" s="39" t="s">
        <v>2</v>
      </c>
      <c r="B34" t="s">
        <v>32</v>
      </c>
      <c r="C34" t="s">
        <v>33</v>
      </c>
      <c r="D34" t="s">
        <v>3070</v>
      </c>
      <c r="E34" t="s">
        <v>3071</v>
      </c>
      <c r="F34" t="s">
        <v>3009</v>
      </c>
      <c r="G34" t="s">
        <v>1511</v>
      </c>
    </row>
    <row r="35" spans="1:7" ht="11.25" customHeight="1">
      <c r="A35" s="39" t="s">
        <v>2</v>
      </c>
      <c r="B35" t="s">
        <v>32</v>
      </c>
      <c r="C35" t="s">
        <v>33</v>
      </c>
      <c r="D35" t="s">
        <v>3072</v>
      </c>
      <c r="E35" t="s">
        <v>3073</v>
      </c>
      <c r="F35" t="s">
        <v>3012</v>
      </c>
      <c r="G35" t="s">
        <v>1516</v>
      </c>
    </row>
    <row r="36" spans="1:7" ht="11.25" customHeight="1">
      <c r="A36" s="39" t="s">
        <v>2</v>
      </c>
      <c r="B36" t="s">
        <v>32</v>
      </c>
      <c r="C36" t="s">
        <v>33</v>
      </c>
      <c r="D36" t="s">
        <v>3074</v>
      </c>
      <c r="E36" t="s">
        <v>3075</v>
      </c>
      <c r="F36" t="s">
        <v>3012</v>
      </c>
      <c r="G36" t="s">
        <v>1521</v>
      </c>
    </row>
    <row r="37" spans="1:7" ht="11.25" customHeight="1">
      <c r="A37" s="39" t="s">
        <v>2</v>
      </c>
      <c r="B37" t="s">
        <v>32</v>
      </c>
      <c r="C37" t="s">
        <v>33</v>
      </c>
      <c r="D37" t="s">
        <v>3076</v>
      </c>
      <c r="E37" t="s">
        <v>3077</v>
      </c>
      <c r="F37" t="s">
        <v>3012</v>
      </c>
      <c r="G37" t="s">
        <v>1525</v>
      </c>
    </row>
    <row r="38" spans="1:7" ht="11.25" customHeight="1">
      <c r="A38" s="39" t="s">
        <v>2</v>
      </c>
      <c r="B38" t="s">
        <v>32</v>
      </c>
      <c r="C38" t="s">
        <v>33</v>
      </c>
      <c r="D38" t="s">
        <v>3078</v>
      </c>
      <c r="E38" t="s">
        <v>3079</v>
      </c>
      <c r="F38" t="s">
        <v>3009</v>
      </c>
      <c r="G38" t="s">
        <v>1533</v>
      </c>
    </row>
    <row r="39" spans="1:7" ht="11.25" customHeight="1">
      <c r="A39" s="39" t="s">
        <v>2</v>
      </c>
      <c r="B39" t="s">
        <v>32</v>
      </c>
      <c r="C39" t="s">
        <v>33</v>
      </c>
      <c r="D39" t="s">
        <v>3080</v>
      </c>
      <c r="E39" t="s">
        <v>3081</v>
      </c>
      <c r="F39" t="s">
        <v>3009</v>
      </c>
      <c r="G39" t="s">
        <v>1539</v>
      </c>
    </row>
    <row r="40" spans="1:7" ht="11.25" customHeight="1">
      <c r="A40" s="39" t="s">
        <v>2</v>
      </c>
      <c r="B40" t="s">
        <v>32</v>
      </c>
      <c r="C40" t="s">
        <v>33</v>
      </c>
      <c r="D40" t="s">
        <v>3082</v>
      </c>
      <c r="E40" t="s">
        <v>3083</v>
      </c>
      <c r="F40" t="s">
        <v>3012</v>
      </c>
      <c r="G40" t="s">
        <v>1544</v>
      </c>
    </row>
    <row r="41" spans="1:7" ht="11.25" customHeight="1">
      <c r="A41" s="39" t="s">
        <v>2</v>
      </c>
      <c r="B41" t="s">
        <v>32</v>
      </c>
      <c r="C41" t="s">
        <v>33</v>
      </c>
      <c r="D41" t="s">
        <v>3084</v>
      </c>
      <c r="E41" t="s">
        <v>3085</v>
      </c>
      <c r="F41" t="s">
        <v>3012</v>
      </c>
      <c r="G41" t="s">
        <v>1548</v>
      </c>
    </row>
    <row r="42" spans="1:7" ht="11.25" customHeight="1">
      <c r="A42" s="39" t="s">
        <v>2</v>
      </c>
      <c r="B42" t="s">
        <v>32</v>
      </c>
      <c r="C42" t="s">
        <v>33</v>
      </c>
      <c r="D42" t="s">
        <v>3086</v>
      </c>
      <c r="E42" t="s">
        <v>3087</v>
      </c>
      <c r="F42" t="s">
        <v>3012</v>
      </c>
      <c r="G42" t="s">
        <v>1551</v>
      </c>
    </row>
    <row r="43" spans="1:7" ht="11.25" customHeight="1">
      <c r="A43" s="39" t="s">
        <v>2</v>
      </c>
      <c r="B43" t="s">
        <v>32</v>
      </c>
      <c r="C43" t="s">
        <v>33</v>
      </c>
      <c r="D43" t="s">
        <v>3088</v>
      </c>
      <c r="E43" t="s">
        <v>3089</v>
      </c>
      <c r="F43" t="s">
        <v>3009</v>
      </c>
      <c r="G43" t="s">
        <v>1558</v>
      </c>
    </row>
    <row r="44" spans="1:7" ht="11.25" customHeight="1">
      <c r="A44" s="39" t="s">
        <v>2</v>
      </c>
      <c r="B44" t="s">
        <v>32</v>
      </c>
      <c r="C44" t="s">
        <v>33</v>
      </c>
      <c r="D44" t="s">
        <v>3090</v>
      </c>
      <c r="E44" t="s">
        <v>3091</v>
      </c>
      <c r="F44" t="s">
        <v>3009</v>
      </c>
      <c r="G44" t="s">
        <v>1567</v>
      </c>
    </row>
    <row r="45" spans="1:7" ht="11.25" customHeight="1">
      <c r="A45" s="39" t="s">
        <v>2</v>
      </c>
      <c r="B45" t="s">
        <v>32</v>
      </c>
      <c r="C45" t="s">
        <v>33</v>
      </c>
      <c r="D45" t="s">
        <v>3092</v>
      </c>
      <c r="E45" t="s">
        <v>3093</v>
      </c>
      <c r="F45" t="s">
        <v>3012</v>
      </c>
      <c r="G45" t="s">
        <v>1572</v>
      </c>
    </row>
    <row r="46" spans="1:7" ht="11.25" customHeight="1">
      <c r="A46" s="39" t="s">
        <v>2</v>
      </c>
      <c r="B46" t="s">
        <v>32</v>
      </c>
      <c r="C46" t="s">
        <v>33</v>
      </c>
      <c r="D46" t="s">
        <v>3094</v>
      </c>
      <c r="E46" t="s">
        <v>3095</v>
      </c>
      <c r="F46" t="s">
        <v>3012</v>
      </c>
      <c r="G46" t="s">
        <v>1575</v>
      </c>
    </row>
    <row r="47" spans="1:7" ht="11.25" customHeight="1">
      <c r="A47" s="39" t="s">
        <v>2</v>
      </c>
      <c r="B47" t="s">
        <v>32</v>
      </c>
      <c r="C47" t="s">
        <v>33</v>
      </c>
      <c r="D47" t="s">
        <v>3096</v>
      </c>
      <c r="E47" t="s">
        <v>3097</v>
      </c>
      <c r="F47" t="s">
        <v>3009</v>
      </c>
      <c r="G47" t="s">
        <v>1581</v>
      </c>
    </row>
    <row r="48" spans="1:7" ht="11.25" customHeight="1">
      <c r="A48" s="39" t="s">
        <v>2</v>
      </c>
      <c r="B48" t="s">
        <v>32</v>
      </c>
      <c r="C48" t="s">
        <v>33</v>
      </c>
      <c r="D48" t="s">
        <v>3098</v>
      </c>
      <c r="E48" t="s">
        <v>3099</v>
      </c>
      <c r="F48" t="s">
        <v>3009</v>
      </c>
      <c r="G48" t="s">
        <v>1586</v>
      </c>
    </row>
    <row r="49" spans="1:7" ht="11.25" customHeight="1">
      <c r="A49" s="39" t="s">
        <v>2</v>
      </c>
      <c r="B49" t="s">
        <v>32</v>
      </c>
      <c r="C49" t="s">
        <v>33</v>
      </c>
      <c r="D49" t="s">
        <v>3100</v>
      </c>
      <c r="E49" t="s">
        <v>3101</v>
      </c>
      <c r="F49" t="s">
        <v>3012</v>
      </c>
      <c r="G49" t="s">
        <v>1589</v>
      </c>
    </row>
    <row r="50" spans="1:7" ht="11.25" customHeight="1">
      <c r="A50" s="39" t="s">
        <v>2</v>
      </c>
      <c r="B50" t="s">
        <v>32</v>
      </c>
      <c r="C50" t="s">
        <v>33</v>
      </c>
      <c r="D50" t="s">
        <v>3102</v>
      </c>
      <c r="E50" t="s">
        <v>3103</v>
      </c>
      <c r="F50" t="s">
        <v>3012</v>
      </c>
      <c r="G50" t="s">
        <v>1593</v>
      </c>
    </row>
    <row r="51" spans="1:7" ht="11.25" customHeight="1">
      <c r="A51" s="39" t="s">
        <v>2</v>
      </c>
      <c r="B51" t="s">
        <v>32</v>
      </c>
      <c r="C51" t="s">
        <v>33</v>
      </c>
      <c r="D51" t="s">
        <v>3104</v>
      </c>
      <c r="E51" t="s">
        <v>3105</v>
      </c>
      <c r="F51" t="s">
        <v>3012</v>
      </c>
      <c r="G51" t="s">
        <v>1598</v>
      </c>
    </row>
    <row r="52" spans="1:7" ht="11.25" customHeight="1">
      <c r="A52" s="39" t="s">
        <v>2</v>
      </c>
      <c r="B52" t="s">
        <v>32</v>
      </c>
      <c r="C52" t="s">
        <v>33</v>
      </c>
      <c r="D52" t="s">
        <v>3106</v>
      </c>
      <c r="E52" t="s">
        <v>3107</v>
      </c>
      <c r="F52" t="s">
        <v>3012</v>
      </c>
      <c r="G52" t="s">
        <v>1602</v>
      </c>
    </row>
    <row r="53" spans="1:7" ht="11.25" customHeight="1">
      <c r="A53" s="39" t="s">
        <v>2</v>
      </c>
      <c r="B53" t="s">
        <v>32</v>
      </c>
      <c r="C53" t="s">
        <v>33</v>
      </c>
      <c r="D53" t="s">
        <v>3108</v>
      </c>
      <c r="E53" t="s">
        <v>3109</v>
      </c>
      <c r="F53" t="s">
        <v>3012</v>
      </c>
      <c r="G53" t="s">
        <v>1604</v>
      </c>
    </row>
    <row r="54" spans="1:7" ht="11.25" customHeight="1">
      <c r="A54" s="39" t="s">
        <v>2</v>
      </c>
      <c r="B54" t="s">
        <v>32</v>
      </c>
      <c r="C54" t="s">
        <v>33</v>
      </c>
      <c r="D54" t="s">
        <v>3110</v>
      </c>
      <c r="E54" t="s">
        <v>3111</v>
      </c>
      <c r="F54" t="s">
        <v>3012</v>
      </c>
      <c r="G54" t="s">
        <v>1607</v>
      </c>
    </row>
    <row r="55" spans="1:7" ht="11.25" customHeight="1">
      <c r="A55" s="39" t="s">
        <v>2</v>
      </c>
      <c r="B55" t="s">
        <v>32</v>
      </c>
      <c r="C55" t="s">
        <v>33</v>
      </c>
      <c r="D55" t="s">
        <v>3112</v>
      </c>
      <c r="E55" t="s">
        <v>3113</v>
      </c>
      <c r="F55" t="s">
        <v>3012</v>
      </c>
      <c r="G55" t="s">
        <v>1611</v>
      </c>
    </row>
    <row r="56" spans="1:7" ht="11.25" customHeight="1">
      <c r="A56" s="39" t="s">
        <v>2</v>
      </c>
      <c r="B56" t="s">
        <v>32</v>
      </c>
      <c r="C56" t="s">
        <v>33</v>
      </c>
      <c r="D56" t="s">
        <v>3114</v>
      </c>
      <c r="E56" t="s">
        <v>3115</v>
      </c>
      <c r="F56" t="s">
        <v>3012</v>
      </c>
      <c r="G56" t="s">
        <v>1614</v>
      </c>
    </row>
    <row r="57" spans="1:7" ht="11.25" customHeight="1">
      <c r="A57" s="39" t="s">
        <v>2</v>
      </c>
      <c r="B57" t="s">
        <v>32</v>
      </c>
      <c r="C57" t="s">
        <v>33</v>
      </c>
      <c r="D57" t="s">
        <v>3116</v>
      </c>
      <c r="E57" t="s">
        <v>3117</v>
      </c>
      <c r="F57" t="s">
        <v>3012</v>
      </c>
      <c r="G57" t="s">
        <v>1617</v>
      </c>
    </row>
    <row r="58" spans="1:7" ht="11.25" customHeight="1">
      <c r="A58" s="39" t="s">
        <v>2</v>
      </c>
      <c r="B58" t="s">
        <v>32</v>
      </c>
      <c r="C58" t="s">
        <v>33</v>
      </c>
      <c r="D58" t="s">
        <v>3118</v>
      </c>
      <c r="E58" t="s">
        <v>3119</v>
      </c>
      <c r="F58" t="s">
        <v>3009</v>
      </c>
      <c r="G58" t="s">
        <v>1620</v>
      </c>
    </row>
    <row r="59" spans="1:7" ht="11.25" customHeight="1">
      <c r="A59" s="39" t="s">
        <v>2</v>
      </c>
      <c r="B59" t="s">
        <v>32</v>
      </c>
      <c r="C59" t="s">
        <v>33</v>
      </c>
      <c r="D59" t="s">
        <v>3120</v>
      </c>
      <c r="E59" t="s">
        <v>3121</v>
      </c>
      <c r="F59" t="s">
        <v>3012</v>
      </c>
      <c r="G59" t="s">
        <v>1624</v>
      </c>
    </row>
    <row r="60" spans="1:7" ht="11.25" customHeight="1">
      <c r="A60" s="39" t="s">
        <v>2</v>
      </c>
      <c r="B60" t="s">
        <v>32</v>
      </c>
      <c r="C60" t="s">
        <v>33</v>
      </c>
      <c r="D60" t="s">
        <v>3122</v>
      </c>
      <c r="E60" t="s">
        <v>3123</v>
      </c>
      <c r="F60" t="s">
        <v>3012</v>
      </c>
      <c r="G60" t="s">
        <v>1627</v>
      </c>
    </row>
    <row r="61" spans="1:7" ht="11.25" customHeight="1">
      <c r="A61" s="39" t="s">
        <v>2</v>
      </c>
      <c r="B61" t="s">
        <v>32</v>
      </c>
      <c r="C61" t="s">
        <v>33</v>
      </c>
      <c r="D61" t="s">
        <v>3124</v>
      </c>
      <c r="E61" t="s">
        <v>3125</v>
      </c>
      <c r="F61" t="s">
        <v>3012</v>
      </c>
      <c r="G61" t="s">
        <v>3126</v>
      </c>
    </row>
    <row r="62" spans="1:7" ht="11.25" customHeight="1">
      <c r="A62" s="39" t="s">
        <v>2</v>
      </c>
      <c r="B62" t="s">
        <v>32</v>
      </c>
      <c r="C62" t="s">
        <v>33</v>
      </c>
      <c r="D62" t="s">
        <v>3127</v>
      </c>
      <c r="E62" t="s">
        <v>3128</v>
      </c>
      <c r="F62" t="s">
        <v>3012</v>
      </c>
      <c r="G62" t="s">
        <v>3129</v>
      </c>
    </row>
    <row r="63" spans="1:7" ht="11.25" customHeight="1">
      <c r="A63" s="39" t="s">
        <v>2</v>
      </c>
      <c r="B63" t="s">
        <v>32</v>
      </c>
      <c r="C63" t="s">
        <v>33</v>
      </c>
      <c r="D63" t="s">
        <v>3130</v>
      </c>
      <c r="E63" t="s">
        <v>3131</v>
      </c>
      <c r="F63" t="s">
        <v>3012</v>
      </c>
      <c r="G63" t="s">
        <v>3132</v>
      </c>
    </row>
    <row r="64" spans="1:7" ht="11.25" customHeight="1">
      <c r="A64" s="39" t="s">
        <v>2</v>
      </c>
      <c r="B64" t="s">
        <v>32</v>
      </c>
      <c r="C64" t="s">
        <v>33</v>
      </c>
      <c r="D64" t="s">
        <v>3133</v>
      </c>
      <c r="E64" t="s">
        <v>3134</v>
      </c>
      <c r="F64" t="s">
        <v>3012</v>
      </c>
      <c r="G64" t="s">
        <v>3135</v>
      </c>
    </row>
    <row r="65" spans="1:7" ht="11.25" customHeight="1">
      <c r="A65" s="39" t="s">
        <v>2</v>
      </c>
      <c r="B65" t="s">
        <v>32</v>
      </c>
      <c r="C65" t="s">
        <v>33</v>
      </c>
      <c r="D65" t="s">
        <v>3136</v>
      </c>
      <c r="E65" t="s">
        <v>3137</v>
      </c>
      <c r="F65" t="s">
        <v>3012</v>
      </c>
      <c r="G65" t="s">
        <v>3138</v>
      </c>
    </row>
    <row r="66" spans="1:7" ht="11.25" customHeight="1">
      <c r="A66" s="39" t="s">
        <v>2</v>
      </c>
      <c r="B66" t="s">
        <v>32</v>
      </c>
      <c r="C66" t="s">
        <v>33</v>
      </c>
      <c r="D66" t="s">
        <v>3139</v>
      </c>
      <c r="E66" t="s">
        <v>3140</v>
      </c>
      <c r="F66" t="s">
        <v>3012</v>
      </c>
      <c r="G66" t="s">
        <v>3141</v>
      </c>
    </row>
    <row r="67" spans="1:7" ht="11.25" customHeight="1">
      <c r="A67" s="39" t="s">
        <v>2</v>
      </c>
      <c r="B67" t="s">
        <v>32</v>
      </c>
      <c r="C67" t="s">
        <v>33</v>
      </c>
      <c r="D67" t="s">
        <v>3142</v>
      </c>
      <c r="E67" t="s">
        <v>3143</v>
      </c>
      <c r="F67" t="s">
        <v>3012</v>
      </c>
      <c r="G67" t="s">
        <v>1944</v>
      </c>
    </row>
    <row r="68" spans="1:7" ht="11.25" customHeight="1">
      <c r="A68" s="39" t="s">
        <v>2</v>
      </c>
      <c r="B68" t="s">
        <v>32</v>
      </c>
      <c r="C68" t="s">
        <v>33</v>
      </c>
      <c r="D68" t="s">
        <v>3144</v>
      </c>
      <c r="E68" t="s">
        <v>3145</v>
      </c>
      <c r="F68" t="s">
        <v>3012</v>
      </c>
      <c r="G68" t="s">
        <v>3146</v>
      </c>
    </row>
    <row r="69" spans="1:7" ht="11.25" customHeight="1">
      <c r="A69" s="39" t="s">
        <v>2</v>
      </c>
      <c r="B69" t="s">
        <v>32</v>
      </c>
      <c r="C69" t="s">
        <v>33</v>
      </c>
      <c r="D69" t="s">
        <v>3147</v>
      </c>
      <c r="E69" t="s">
        <v>3148</v>
      </c>
      <c r="F69" t="s">
        <v>3012</v>
      </c>
      <c r="G69" t="s">
        <v>2147</v>
      </c>
    </row>
    <row r="70" spans="1:7" ht="11.25" customHeight="1">
      <c r="A70" s="39" t="s">
        <v>2</v>
      </c>
      <c r="B70" t="s">
        <v>32</v>
      </c>
      <c r="C70" t="s">
        <v>33</v>
      </c>
      <c r="D70" t="s">
        <v>3149</v>
      </c>
      <c r="E70" t="s">
        <v>3150</v>
      </c>
      <c r="F70" t="s">
        <v>3009</v>
      </c>
      <c r="G70" t="s">
        <v>3151</v>
      </c>
    </row>
    <row r="71" spans="1:7" ht="11.25" customHeight="1">
      <c r="A71" s="39" t="s">
        <v>2</v>
      </c>
      <c r="B71" t="s">
        <v>32</v>
      </c>
      <c r="C71" t="s">
        <v>33</v>
      </c>
      <c r="D71" t="s">
        <v>3152</v>
      </c>
      <c r="E71" t="s">
        <v>3153</v>
      </c>
      <c r="F71" t="s">
        <v>3009</v>
      </c>
      <c r="G71" t="s">
        <v>3154</v>
      </c>
    </row>
    <row r="72" spans="1:7" ht="11.25" customHeight="1">
      <c r="A72" s="39" t="s">
        <v>2</v>
      </c>
      <c r="B72" t="s">
        <v>32</v>
      </c>
      <c r="C72" t="s">
        <v>33</v>
      </c>
      <c r="D72" t="s">
        <v>3155</v>
      </c>
      <c r="E72" t="s">
        <v>3156</v>
      </c>
      <c r="F72" t="s">
        <v>3009</v>
      </c>
      <c r="G72" t="s">
        <v>3157</v>
      </c>
    </row>
    <row r="73" spans="1:7" ht="11.25" customHeight="1">
      <c r="A73" s="39" t="s">
        <v>2</v>
      </c>
      <c r="B73" t="s">
        <v>32</v>
      </c>
      <c r="C73" t="s">
        <v>33</v>
      </c>
      <c r="D73" t="s">
        <v>3158</v>
      </c>
      <c r="E73" t="s">
        <v>3159</v>
      </c>
      <c r="F73" t="s">
        <v>3009</v>
      </c>
      <c r="G73" t="s">
        <v>3160</v>
      </c>
    </row>
    <row r="74" spans="1:7" ht="11.25" customHeight="1">
      <c r="A74" s="39" t="s">
        <v>2</v>
      </c>
      <c r="B74" t="s">
        <v>32</v>
      </c>
      <c r="C74" t="s">
        <v>33</v>
      </c>
      <c r="D74" t="s">
        <v>3161</v>
      </c>
      <c r="E74" t="s">
        <v>3162</v>
      </c>
      <c r="F74" t="s">
        <v>3012</v>
      </c>
      <c r="G74" t="s">
        <v>3163</v>
      </c>
    </row>
    <row r="75" spans="1:7" ht="11.25" customHeight="1">
      <c r="A75" s="39" t="s">
        <v>2</v>
      </c>
      <c r="B75" t="s">
        <v>32</v>
      </c>
      <c r="C75" t="s">
        <v>33</v>
      </c>
      <c r="D75" t="s">
        <v>3164</v>
      </c>
      <c r="E75" t="s">
        <v>3165</v>
      </c>
      <c r="F75" t="s">
        <v>3012</v>
      </c>
      <c r="G75" t="s">
        <v>3166</v>
      </c>
    </row>
    <row r="76" spans="1:7" ht="11.25" customHeight="1">
      <c r="A76" s="39" t="s">
        <v>2</v>
      </c>
      <c r="B76" t="s">
        <v>32</v>
      </c>
      <c r="C76" t="s">
        <v>33</v>
      </c>
      <c r="D76" t="s">
        <v>3167</v>
      </c>
      <c r="E76" t="s">
        <v>3168</v>
      </c>
      <c r="F76" t="s">
        <v>3012</v>
      </c>
      <c r="G76" t="s">
        <v>3169</v>
      </c>
    </row>
    <row r="77" spans="1:7" ht="11.25" customHeight="1">
      <c r="A77" s="39" t="s">
        <v>2</v>
      </c>
      <c r="B77" t="s">
        <v>32</v>
      </c>
      <c r="C77" t="s">
        <v>33</v>
      </c>
      <c r="D77" t="s">
        <v>3170</v>
      </c>
      <c r="E77" t="s">
        <v>3171</v>
      </c>
      <c r="F77" t="s">
        <v>3012</v>
      </c>
      <c r="G77" t="s">
        <v>3172</v>
      </c>
    </row>
    <row r="78" spans="1:7" ht="11.25" customHeight="1">
      <c r="A78" s="39" t="s">
        <v>2</v>
      </c>
      <c r="B78" t="s">
        <v>32</v>
      </c>
      <c r="C78" t="s">
        <v>33</v>
      </c>
      <c r="D78" t="s">
        <v>3173</v>
      </c>
      <c r="E78" t="s">
        <v>3174</v>
      </c>
      <c r="F78" t="s">
        <v>3012</v>
      </c>
      <c r="G78" t="s">
        <v>3175</v>
      </c>
    </row>
    <row r="79" spans="1:7" ht="11.25" customHeight="1">
      <c r="A79" s="39" t="s">
        <v>2</v>
      </c>
      <c r="B79" t="s">
        <v>32</v>
      </c>
      <c r="C79" t="s">
        <v>33</v>
      </c>
      <c r="D79" t="s">
        <v>3176</v>
      </c>
      <c r="E79" t="s">
        <v>3177</v>
      </c>
      <c r="F79" t="s">
        <v>3009</v>
      </c>
      <c r="G79" t="s">
        <v>3178</v>
      </c>
    </row>
    <row r="80" spans="1:7" ht="11.25" customHeight="1">
      <c r="A80" s="39" t="s">
        <v>2</v>
      </c>
      <c r="B80" t="s">
        <v>32</v>
      </c>
      <c r="C80" t="s">
        <v>33</v>
      </c>
      <c r="D80" t="s">
        <v>3179</v>
      </c>
      <c r="E80" t="s">
        <v>3180</v>
      </c>
      <c r="F80" t="s">
        <v>3009</v>
      </c>
      <c r="G80" t="s">
        <v>3181</v>
      </c>
    </row>
    <row r="81" spans="1:7" ht="11.25" customHeight="1">
      <c r="A81" s="39" t="s">
        <v>2</v>
      </c>
      <c r="B81" t="s">
        <v>32</v>
      </c>
      <c r="C81" t="s">
        <v>33</v>
      </c>
      <c r="D81" t="s">
        <v>3182</v>
      </c>
      <c r="E81" t="s">
        <v>3183</v>
      </c>
      <c r="F81" t="s">
        <v>3009</v>
      </c>
      <c r="G81" t="s">
        <v>3184</v>
      </c>
    </row>
    <row r="82" spans="1:7" ht="11.25" customHeight="1">
      <c r="A82" s="39" t="s">
        <v>2</v>
      </c>
      <c r="B82" t="s">
        <v>32</v>
      </c>
      <c r="C82" t="s">
        <v>33</v>
      </c>
      <c r="D82" t="s">
        <v>3185</v>
      </c>
      <c r="E82" t="s">
        <v>3186</v>
      </c>
      <c r="F82" t="s">
        <v>3012</v>
      </c>
      <c r="G82" t="s">
        <v>3187</v>
      </c>
    </row>
    <row r="83" spans="1:7" ht="11.25" customHeight="1">
      <c r="A83" s="39" t="s">
        <v>2</v>
      </c>
      <c r="B83" t="s">
        <v>32</v>
      </c>
      <c r="C83" t="s">
        <v>33</v>
      </c>
      <c r="D83" t="s">
        <v>3188</v>
      </c>
      <c r="E83" t="s">
        <v>3189</v>
      </c>
      <c r="F83" t="s">
        <v>3012</v>
      </c>
      <c r="G83" t="s">
        <v>3190</v>
      </c>
    </row>
    <row r="84" spans="1:7" ht="11.25" customHeight="1">
      <c r="A84" s="39" t="s">
        <v>2</v>
      </c>
      <c r="B84" t="s">
        <v>32</v>
      </c>
      <c r="C84" t="s">
        <v>33</v>
      </c>
      <c r="D84" t="s">
        <v>3191</v>
      </c>
      <c r="E84" t="s">
        <v>3192</v>
      </c>
      <c r="F84" t="s">
        <v>3012</v>
      </c>
      <c r="G84" t="s">
        <v>3193</v>
      </c>
    </row>
    <row r="85" spans="1:7" ht="11.25" customHeight="1">
      <c r="A85" s="39" t="s">
        <v>2</v>
      </c>
      <c r="B85" t="s">
        <v>32</v>
      </c>
      <c r="C85" t="s">
        <v>33</v>
      </c>
      <c r="D85" t="s">
        <v>3194</v>
      </c>
      <c r="E85" t="s">
        <v>3195</v>
      </c>
      <c r="F85" t="s">
        <v>3012</v>
      </c>
      <c r="G85" t="s">
        <v>3196</v>
      </c>
    </row>
    <row r="86" spans="1:7" ht="11.25" customHeight="1">
      <c r="A86" s="39" t="s">
        <v>2</v>
      </c>
      <c r="B86" t="s">
        <v>32</v>
      </c>
      <c r="C86" t="s">
        <v>33</v>
      </c>
      <c r="D86" t="s">
        <v>3197</v>
      </c>
      <c r="E86" t="s">
        <v>3198</v>
      </c>
      <c r="F86" t="s">
        <v>3012</v>
      </c>
      <c r="G86" t="s">
        <v>3199</v>
      </c>
    </row>
    <row r="87" spans="1:7" ht="11.25" customHeight="1">
      <c r="A87" s="39" t="s">
        <v>2</v>
      </c>
      <c r="B87" t="s">
        <v>32</v>
      </c>
      <c r="C87" t="s">
        <v>33</v>
      </c>
      <c r="D87" t="s">
        <v>3200</v>
      </c>
      <c r="E87" t="s">
        <v>3201</v>
      </c>
      <c r="F87" t="s">
        <v>3012</v>
      </c>
      <c r="G87" t="s">
        <v>3202</v>
      </c>
    </row>
    <row r="88" spans="1:7" ht="11.25" customHeight="1">
      <c r="A88" s="39" t="s">
        <v>2</v>
      </c>
      <c r="B88" t="s">
        <v>32</v>
      </c>
      <c r="C88" t="s">
        <v>33</v>
      </c>
      <c r="D88" t="s">
        <v>3203</v>
      </c>
      <c r="E88" t="s">
        <v>3204</v>
      </c>
      <c r="F88" t="s">
        <v>3012</v>
      </c>
      <c r="G88" t="s">
        <v>3205</v>
      </c>
    </row>
    <row r="89" spans="1:7" ht="11.25" customHeight="1">
      <c r="A89" s="39" t="s">
        <v>2</v>
      </c>
      <c r="B89" t="s">
        <v>32</v>
      </c>
      <c r="C89" t="s">
        <v>33</v>
      </c>
      <c r="D89" t="s">
        <v>3206</v>
      </c>
      <c r="E89" t="s">
        <v>3207</v>
      </c>
      <c r="F89" t="s">
        <v>3012</v>
      </c>
      <c r="G89" t="s">
        <v>3208</v>
      </c>
    </row>
    <row r="90" spans="1:7" ht="11.25" customHeight="1">
      <c r="A90" s="39" t="s">
        <v>2</v>
      </c>
      <c r="B90" t="s">
        <v>32</v>
      </c>
      <c r="C90" t="s">
        <v>33</v>
      </c>
      <c r="D90" t="s">
        <v>3209</v>
      </c>
      <c r="E90" t="s">
        <v>3210</v>
      </c>
      <c r="F90" t="s">
        <v>3012</v>
      </c>
      <c r="G90" t="s">
        <v>3211</v>
      </c>
    </row>
    <row r="91" spans="1:7" ht="11.25" customHeight="1">
      <c r="A91" s="39" t="s">
        <v>2</v>
      </c>
      <c r="B91" t="s">
        <v>32</v>
      </c>
      <c r="C91" t="s">
        <v>33</v>
      </c>
      <c r="D91" t="s">
        <v>3212</v>
      </c>
      <c r="E91" t="s">
        <v>3213</v>
      </c>
      <c r="F91" t="s">
        <v>3012</v>
      </c>
      <c r="G91" t="s">
        <v>3214</v>
      </c>
    </row>
    <row r="92" spans="1:7" ht="11.25" customHeight="1">
      <c r="A92" s="39" t="s">
        <v>2</v>
      </c>
      <c r="B92" t="s">
        <v>32</v>
      </c>
      <c r="C92" t="s">
        <v>33</v>
      </c>
      <c r="D92" t="s">
        <v>3215</v>
      </c>
      <c r="E92" t="s">
        <v>3216</v>
      </c>
      <c r="F92" t="s">
        <v>3012</v>
      </c>
      <c r="G92" t="s">
        <v>3217</v>
      </c>
    </row>
    <row r="93" spans="1:7" ht="11.25" customHeight="1">
      <c r="A93" s="39" t="s">
        <v>2</v>
      </c>
      <c r="B93" t="s">
        <v>32</v>
      </c>
      <c r="C93" t="s">
        <v>33</v>
      </c>
      <c r="D93" t="s">
        <v>3218</v>
      </c>
      <c r="E93" t="s">
        <v>3219</v>
      </c>
      <c r="F93" t="s">
        <v>3012</v>
      </c>
      <c r="G93" t="s">
        <v>3220</v>
      </c>
    </row>
    <row r="94" spans="1:7" ht="11.25" customHeight="1">
      <c r="A94" s="39" t="s">
        <v>2</v>
      </c>
      <c r="B94" t="s">
        <v>32</v>
      </c>
      <c r="C94" t="s">
        <v>33</v>
      </c>
      <c r="D94" t="s">
        <v>3221</v>
      </c>
      <c r="E94" t="s">
        <v>3222</v>
      </c>
      <c r="F94" t="s">
        <v>3012</v>
      </c>
      <c r="G94" t="s">
        <v>3223</v>
      </c>
    </row>
    <row r="95" spans="1:7" ht="11.25" customHeight="1">
      <c r="A95" s="39" t="s">
        <v>2</v>
      </c>
      <c r="B95" t="s">
        <v>32</v>
      </c>
      <c r="C95" t="s">
        <v>33</v>
      </c>
      <c r="D95" t="s">
        <v>3224</v>
      </c>
      <c r="E95" t="s">
        <v>3225</v>
      </c>
      <c r="F95" t="s">
        <v>3012</v>
      </c>
      <c r="G95" t="s">
        <v>3226</v>
      </c>
    </row>
    <row r="96" spans="1:7" ht="11.25" customHeight="1">
      <c r="A96" s="39" t="s">
        <v>2</v>
      </c>
      <c r="B96" t="s">
        <v>32</v>
      </c>
      <c r="C96" t="s">
        <v>33</v>
      </c>
      <c r="D96" t="s">
        <v>3227</v>
      </c>
      <c r="E96" t="s">
        <v>3228</v>
      </c>
      <c r="F96" t="s">
        <v>3012</v>
      </c>
      <c r="G96" t="s">
        <v>3229</v>
      </c>
    </row>
    <row r="97" spans="1:7" ht="11.25" customHeight="1">
      <c r="A97" s="39" t="s">
        <v>2</v>
      </c>
      <c r="B97" t="s">
        <v>32</v>
      </c>
      <c r="C97" t="s">
        <v>33</v>
      </c>
      <c r="D97" t="s">
        <v>3230</v>
      </c>
      <c r="E97" t="s">
        <v>3231</v>
      </c>
      <c r="F97" t="s">
        <v>3009</v>
      </c>
      <c r="G97" t="s">
        <v>3232</v>
      </c>
    </row>
    <row r="98" spans="1:7" ht="11.25" customHeight="1">
      <c r="A98" s="39" t="s">
        <v>2</v>
      </c>
      <c r="B98" t="s">
        <v>32</v>
      </c>
      <c r="C98" t="s">
        <v>33</v>
      </c>
      <c r="D98" t="s">
        <v>3233</v>
      </c>
      <c r="E98" t="s">
        <v>3234</v>
      </c>
      <c r="F98" t="s">
        <v>3012</v>
      </c>
      <c r="G98" t="s">
        <v>3235</v>
      </c>
    </row>
    <row r="99" spans="1:7" ht="11.25" customHeight="1">
      <c r="A99" s="39" t="s">
        <v>2</v>
      </c>
      <c r="B99" t="s">
        <v>32</v>
      </c>
      <c r="C99" t="s">
        <v>33</v>
      </c>
      <c r="D99" t="s">
        <v>3236</v>
      </c>
      <c r="E99" t="s">
        <v>3237</v>
      </c>
      <c r="F99" t="s">
        <v>3012</v>
      </c>
      <c r="G99" t="s">
        <v>3238</v>
      </c>
    </row>
    <row r="100" spans="1:7" ht="11.25" customHeight="1">
      <c r="A100" s="39" t="s">
        <v>2</v>
      </c>
      <c r="B100" t="s">
        <v>32</v>
      </c>
      <c r="C100" t="s">
        <v>33</v>
      </c>
      <c r="D100" t="s">
        <v>3239</v>
      </c>
      <c r="E100" t="s">
        <v>3240</v>
      </c>
      <c r="F100" t="s">
        <v>3012</v>
      </c>
      <c r="G100" t="s">
        <v>3241</v>
      </c>
    </row>
    <row r="101" spans="1:7" ht="11.25" customHeight="1">
      <c r="A101" s="39" t="s">
        <v>2</v>
      </c>
      <c r="B101" t="s">
        <v>32</v>
      </c>
      <c r="C101" t="s">
        <v>33</v>
      </c>
      <c r="D101" t="s">
        <v>3242</v>
      </c>
      <c r="E101" t="s">
        <v>3243</v>
      </c>
      <c r="F101" t="s">
        <v>3012</v>
      </c>
      <c r="G101" t="s">
        <v>3244</v>
      </c>
    </row>
    <row r="102" spans="1:7" ht="11.25" customHeight="1">
      <c r="A102" s="39" t="s">
        <v>2</v>
      </c>
      <c r="B102" t="s">
        <v>32</v>
      </c>
      <c r="C102" t="s">
        <v>33</v>
      </c>
      <c r="D102" t="s">
        <v>3245</v>
      </c>
      <c r="E102" t="s">
        <v>3246</v>
      </c>
      <c r="F102" t="s">
        <v>3012</v>
      </c>
      <c r="G102" t="s">
        <v>3247</v>
      </c>
    </row>
    <row r="103" spans="1:7" ht="11.25" customHeight="1">
      <c r="A103" s="39" t="s">
        <v>2</v>
      </c>
      <c r="B103" t="s">
        <v>32</v>
      </c>
      <c r="C103" t="s">
        <v>33</v>
      </c>
      <c r="D103" t="s">
        <v>3248</v>
      </c>
      <c r="E103" t="s">
        <v>3249</v>
      </c>
      <c r="F103" t="s">
        <v>3012</v>
      </c>
      <c r="G103" t="s">
        <v>3250</v>
      </c>
    </row>
    <row r="104" spans="1:7" ht="11.25" customHeight="1">
      <c r="A104" s="39" t="s">
        <v>2</v>
      </c>
      <c r="B104" t="s">
        <v>32</v>
      </c>
      <c r="C104" t="s">
        <v>33</v>
      </c>
      <c r="D104" t="s">
        <v>3251</v>
      </c>
      <c r="E104" t="s">
        <v>3252</v>
      </c>
      <c r="F104" t="s">
        <v>3012</v>
      </c>
      <c r="G104" t="s">
        <v>3253</v>
      </c>
    </row>
    <row r="105" spans="1:7" ht="11.25" customHeight="1">
      <c r="A105" s="39" t="s">
        <v>2</v>
      </c>
      <c r="B105" t="s">
        <v>32</v>
      </c>
      <c r="C105" t="s">
        <v>33</v>
      </c>
      <c r="D105" t="s">
        <v>3254</v>
      </c>
      <c r="E105" t="s">
        <v>3255</v>
      </c>
      <c r="F105" t="s">
        <v>3012</v>
      </c>
      <c r="G105" t="s">
        <v>3256</v>
      </c>
    </row>
    <row r="106" spans="1:7" ht="11.25" customHeight="1">
      <c r="A106" s="39" t="s">
        <v>2</v>
      </c>
      <c r="B106" t="s">
        <v>32</v>
      </c>
      <c r="C106" t="s">
        <v>33</v>
      </c>
      <c r="D106" t="s">
        <v>3257</v>
      </c>
      <c r="E106" t="s">
        <v>3258</v>
      </c>
      <c r="F106" t="s">
        <v>3012</v>
      </c>
      <c r="G106" t="s">
        <v>3259</v>
      </c>
    </row>
    <row r="107" spans="1:7" ht="11.25" customHeight="1">
      <c r="A107" s="39" t="s">
        <v>2</v>
      </c>
      <c r="B107" t="s">
        <v>32</v>
      </c>
      <c r="C107" t="s">
        <v>33</v>
      </c>
      <c r="D107" t="s">
        <v>3260</v>
      </c>
      <c r="E107" t="s">
        <v>3261</v>
      </c>
      <c r="F107" t="s">
        <v>3009</v>
      </c>
      <c r="G107" t="s">
        <v>3262</v>
      </c>
    </row>
    <row r="108" spans="1:7" ht="11.25" customHeight="1">
      <c r="A108" s="39" t="s">
        <v>2</v>
      </c>
      <c r="B108" t="s">
        <v>32</v>
      </c>
      <c r="C108" t="s">
        <v>33</v>
      </c>
      <c r="D108" t="s">
        <v>3263</v>
      </c>
      <c r="E108" t="s">
        <v>3264</v>
      </c>
      <c r="F108" t="s">
        <v>3012</v>
      </c>
      <c r="G108" t="s">
        <v>3265</v>
      </c>
    </row>
    <row r="109" spans="1:7" ht="11.25" customHeight="1">
      <c r="A109" s="39" t="s">
        <v>2</v>
      </c>
      <c r="B109" t="s">
        <v>32</v>
      </c>
      <c r="C109" t="s">
        <v>33</v>
      </c>
      <c r="D109" t="s">
        <v>3266</v>
      </c>
      <c r="E109" t="s">
        <v>3267</v>
      </c>
      <c r="F109" t="s">
        <v>3012</v>
      </c>
      <c r="G109" t="s">
        <v>3268</v>
      </c>
    </row>
    <row r="110" spans="1:7" ht="11.25" customHeight="1">
      <c r="A110" s="39" t="s">
        <v>2</v>
      </c>
      <c r="B110" t="s">
        <v>32</v>
      </c>
      <c r="C110" t="s">
        <v>33</v>
      </c>
      <c r="D110" t="s">
        <v>3269</v>
      </c>
      <c r="E110" t="s">
        <v>3270</v>
      </c>
      <c r="F110" t="s">
        <v>3012</v>
      </c>
      <c r="G110" t="s">
        <v>3271</v>
      </c>
    </row>
    <row r="111" spans="1:7" ht="11.25" customHeight="1">
      <c r="A111" s="39" t="s">
        <v>2</v>
      </c>
      <c r="B111" t="s">
        <v>32</v>
      </c>
      <c r="C111" t="s">
        <v>33</v>
      </c>
      <c r="D111" t="s">
        <v>3272</v>
      </c>
      <c r="E111" t="s">
        <v>3273</v>
      </c>
      <c r="F111" t="s">
        <v>3012</v>
      </c>
      <c r="G111" t="s">
        <v>3274</v>
      </c>
    </row>
    <row r="112" spans="1:7" ht="11.25" customHeight="1">
      <c r="A112" s="39" t="s">
        <v>2</v>
      </c>
      <c r="B112" t="s">
        <v>32</v>
      </c>
      <c r="C112" t="s">
        <v>33</v>
      </c>
      <c r="D112" t="s">
        <v>3275</v>
      </c>
      <c r="E112" t="s">
        <v>3276</v>
      </c>
      <c r="F112" t="s">
        <v>3009</v>
      </c>
      <c r="G112" t="s">
        <v>3277</v>
      </c>
    </row>
    <row r="113" spans="1:7" ht="11.25" customHeight="1">
      <c r="A113" s="39" t="s">
        <v>2</v>
      </c>
      <c r="B113" t="s">
        <v>32</v>
      </c>
      <c r="C113" t="s">
        <v>33</v>
      </c>
      <c r="D113" t="s">
        <v>3278</v>
      </c>
      <c r="E113" t="s">
        <v>3279</v>
      </c>
      <c r="F113" t="s">
        <v>3012</v>
      </c>
      <c r="G113" t="s">
        <v>3280</v>
      </c>
    </row>
    <row r="114" spans="1:7" ht="11.25" customHeight="1">
      <c r="A114" s="39" t="s">
        <v>2</v>
      </c>
      <c r="B114" t="s">
        <v>32</v>
      </c>
      <c r="C114" t="s">
        <v>33</v>
      </c>
      <c r="D114" t="s">
        <v>3281</v>
      </c>
      <c r="E114" t="s">
        <v>3282</v>
      </c>
      <c r="F114" t="s">
        <v>3012</v>
      </c>
      <c r="G114" t="s">
        <v>3283</v>
      </c>
    </row>
    <row r="115" spans="1:7" ht="11.25" customHeight="1">
      <c r="A115" s="39" t="s">
        <v>2</v>
      </c>
      <c r="B115" t="s">
        <v>32</v>
      </c>
      <c r="C115" t="s">
        <v>33</v>
      </c>
      <c r="D115" t="s">
        <v>3284</v>
      </c>
      <c r="E115" t="s">
        <v>3285</v>
      </c>
      <c r="F115" t="s">
        <v>3012</v>
      </c>
      <c r="G115" t="s">
        <v>3286</v>
      </c>
    </row>
    <row r="116" spans="1:7" ht="11.25" customHeight="1">
      <c r="A116" s="39" t="s">
        <v>2</v>
      </c>
      <c r="B116" t="s">
        <v>32</v>
      </c>
      <c r="C116" t="s">
        <v>33</v>
      </c>
      <c r="D116" t="s">
        <v>3287</v>
      </c>
      <c r="E116" t="s">
        <v>3288</v>
      </c>
      <c r="F116" t="s">
        <v>3012</v>
      </c>
      <c r="G116" t="s">
        <v>3289</v>
      </c>
    </row>
    <row r="117" spans="1:7" ht="11.25" customHeight="1">
      <c r="A117" s="39" t="s">
        <v>2</v>
      </c>
      <c r="B117" t="s">
        <v>32</v>
      </c>
      <c r="C117" t="s">
        <v>33</v>
      </c>
      <c r="D117" t="s">
        <v>3290</v>
      </c>
      <c r="E117" t="s">
        <v>3291</v>
      </c>
      <c r="F117" t="s">
        <v>3009</v>
      </c>
      <c r="G117" t="s">
        <v>3292</v>
      </c>
    </row>
    <row r="118" spans="1:7" ht="11.25" customHeight="1">
      <c r="A118" s="39" t="s">
        <v>2</v>
      </c>
      <c r="B118" t="s">
        <v>32</v>
      </c>
      <c r="C118" t="s">
        <v>33</v>
      </c>
      <c r="D118" t="s">
        <v>3293</v>
      </c>
      <c r="E118" t="s">
        <v>3294</v>
      </c>
      <c r="F118" t="s">
        <v>3012</v>
      </c>
      <c r="G118" t="s">
        <v>3295</v>
      </c>
    </row>
    <row r="119" spans="1:7" ht="11.25" customHeight="1">
      <c r="A119" s="39" t="s">
        <v>2</v>
      </c>
      <c r="B119" t="s">
        <v>32</v>
      </c>
      <c r="C119" t="s">
        <v>33</v>
      </c>
      <c r="D119" t="s">
        <v>3296</v>
      </c>
      <c r="E119" t="s">
        <v>3297</v>
      </c>
      <c r="F119" t="s">
        <v>3012</v>
      </c>
      <c r="G119" t="s">
        <v>3298</v>
      </c>
    </row>
    <row r="120" spans="1:7" ht="11.25" customHeight="1">
      <c r="A120" s="39" t="s">
        <v>2</v>
      </c>
      <c r="B120" t="s">
        <v>32</v>
      </c>
      <c r="C120" t="s">
        <v>33</v>
      </c>
      <c r="D120" t="s">
        <v>3299</v>
      </c>
      <c r="E120" t="s">
        <v>3300</v>
      </c>
      <c r="F120" t="s">
        <v>3012</v>
      </c>
      <c r="G120" t="s">
        <v>3301</v>
      </c>
    </row>
    <row r="121" spans="1:7" ht="11.25" customHeight="1">
      <c r="A121" s="39" t="s">
        <v>2</v>
      </c>
      <c r="B121" t="s">
        <v>32</v>
      </c>
      <c r="C121" t="s">
        <v>33</v>
      </c>
      <c r="D121" t="s">
        <v>3302</v>
      </c>
      <c r="E121" t="s">
        <v>3303</v>
      </c>
      <c r="F121" t="s">
        <v>3012</v>
      </c>
      <c r="G121" t="s">
        <v>3304</v>
      </c>
    </row>
    <row r="122" spans="1:7" ht="11.25" customHeight="1">
      <c r="A122" s="39" t="s">
        <v>2</v>
      </c>
      <c r="B122" t="s">
        <v>32</v>
      </c>
      <c r="C122" t="s">
        <v>33</v>
      </c>
      <c r="D122" t="s">
        <v>3305</v>
      </c>
      <c r="E122" t="s">
        <v>3306</v>
      </c>
      <c r="F122" t="s">
        <v>3009</v>
      </c>
      <c r="G122" t="s">
        <v>3307</v>
      </c>
    </row>
    <row r="123" spans="1:7" ht="11.25" customHeight="1">
      <c r="A123" s="39" t="s">
        <v>2</v>
      </c>
      <c r="B123" t="s">
        <v>32</v>
      </c>
      <c r="C123" t="s">
        <v>33</v>
      </c>
      <c r="D123" t="s">
        <v>3308</v>
      </c>
      <c r="E123" t="s">
        <v>3309</v>
      </c>
      <c r="F123" t="s">
        <v>3009</v>
      </c>
      <c r="G123" t="s">
        <v>3310</v>
      </c>
    </row>
    <row r="124" spans="1:7" ht="11.25" customHeight="1">
      <c r="A124" s="39" t="s">
        <v>2</v>
      </c>
      <c r="B124" t="s">
        <v>32</v>
      </c>
      <c r="C124" t="s">
        <v>33</v>
      </c>
      <c r="D124" t="s">
        <v>3311</v>
      </c>
      <c r="E124" t="s">
        <v>3312</v>
      </c>
      <c r="F124" t="s">
        <v>3009</v>
      </c>
      <c r="G124" t="s">
        <v>3313</v>
      </c>
    </row>
    <row r="125" spans="1:7" ht="11.25" customHeight="1">
      <c r="A125" s="39" t="s">
        <v>2</v>
      </c>
      <c r="B125" t="s">
        <v>32</v>
      </c>
      <c r="C125" t="s">
        <v>33</v>
      </c>
      <c r="D125" t="s">
        <v>3314</v>
      </c>
      <c r="E125" t="s">
        <v>3315</v>
      </c>
      <c r="F125" t="s">
        <v>3009</v>
      </c>
      <c r="G125" t="s">
        <v>3316</v>
      </c>
    </row>
    <row r="126" spans="1:7" ht="11.25" customHeight="1">
      <c r="A126" s="39" t="s">
        <v>2</v>
      </c>
      <c r="B126" t="s">
        <v>32</v>
      </c>
      <c r="C126" t="s">
        <v>33</v>
      </c>
      <c r="D126" t="s">
        <v>3317</v>
      </c>
      <c r="E126" t="s">
        <v>3318</v>
      </c>
      <c r="F126" t="s">
        <v>3009</v>
      </c>
      <c r="G126" t="s">
        <v>3319</v>
      </c>
    </row>
    <row r="127" spans="1:7" ht="11.25" customHeight="1">
      <c r="A127" s="39" t="s">
        <v>2</v>
      </c>
      <c r="B127" t="s">
        <v>32</v>
      </c>
      <c r="C127" t="s">
        <v>33</v>
      </c>
      <c r="D127" t="s">
        <v>3320</v>
      </c>
      <c r="E127" t="s">
        <v>3321</v>
      </c>
      <c r="F127" t="s">
        <v>3009</v>
      </c>
      <c r="G127" t="s">
        <v>3322</v>
      </c>
    </row>
    <row r="128" spans="1:7" ht="11.25" customHeight="1">
      <c r="A128" s="39" t="s">
        <v>2</v>
      </c>
      <c r="B128" t="s">
        <v>32</v>
      </c>
      <c r="C128" t="s">
        <v>33</v>
      </c>
      <c r="D128" t="s">
        <v>3323</v>
      </c>
      <c r="E128" t="s">
        <v>3324</v>
      </c>
      <c r="F128" t="s">
        <v>3012</v>
      </c>
      <c r="G128" t="s">
        <v>3325</v>
      </c>
    </row>
    <row r="129" spans="1:7" ht="11.25" customHeight="1">
      <c r="A129" s="39" t="s">
        <v>2</v>
      </c>
      <c r="B129" t="s">
        <v>32</v>
      </c>
      <c r="C129" t="s">
        <v>33</v>
      </c>
      <c r="D129" t="s">
        <v>3326</v>
      </c>
      <c r="E129" t="s">
        <v>3327</v>
      </c>
      <c r="F129" t="s">
        <v>3009</v>
      </c>
      <c r="G129" t="s">
        <v>3328</v>
      </c>
    </row>
    <row r="130" spans="1:7" ht="11.25" customHeight="1">
      <c r="A130" s="39" t="s">
        <v>2</v>
      </c>
      <c r="B130" t="s">
        <v>32</v>
      </c>
      <c r="C130" t="s">
        <v>33</v>
      </c>
      <c r="D130" t="s">
        <v>3329</v>
      </c>
      <c r="E130" t="s">
        <v>3330</v>
      </c>
      <c r="F130" t="s">
        <v>3012</v>
      </c>
      <c r="G130" t="s">
        <v>3331</v>
      </c>
    </row>
    <row r="131" spans="1:7" ht="11.25" customHeight="1">
      <c r="A131" s="39" t="s">
        <v>2</v>
      </c>
      <c r="B131" t="s">
        <v>32</v>
      </c>
      <c r="C131" t="s">
        <v>33</v>
      </c>
      <c r="D131" t="s">
        <v>3332</v>
      </c>
      <c r="E131" t="s">
        <v>3333</v>
      </c>
      <c r="F131" t="s">
        <v>3012</v>
      </c>
      <c r="G131" t="s">
        <v>3334</v>
      </c>
    </row>
    <row r="132" spans="1:7" ht="11.25" customHeight="1">
      <c r="A132" s="39" t="s">
        <v>2</v>
      </c>
      <c r="B132" t="s">
        <v>32</v>
      </c>
      <c r="C132" t="s">
        <v>33</v>
      </c>
      <c r="D132" t="s">
        <v>3335</v>
      </c>
      <c r="E132" t="s">
        <v>3336</v>
      </c>
      <c r="F132" t="s">
        <v>3012</v>
      </c>
      <c r="G132" t="s">
        <v>3337</v>
      </c>
    </row>
    <row r="133" spans="1:7" ht="11.25" customHeight="1">
      <c r="A133" s="39" t="s">
        <v>2</v>
      </c>
      <c r="B133" t="s">
        <v>32</v>
      </c>
      <c r="C133" t="s">
        <v>33</v>
      </c>
      <c r="D133" t="s">
        <v>3338</v>
      </c>
      <c r="E133" t="s">
        <v>3339</v>
      </c>
      <c r="F133" t="s">
        <v>3012</v>
      </c>
      <c r="G133" t="s">
        <v>3340</v>
      </c>
    </row>
    <row r="134" spans="1:7" ht="11.25" customHeight="1">
      <c r="A134" s="39" t="s">
        <v>2</v>
      </c>
      <c r="B134" t="s">
        <v>32</v>
      </c>
      <c r="C134" t="s">
        <v>33</v>
      </c>
      <c r="D134" t="s">
        <v>3341</v>
      </c>
      <c r="E134" t="s">
        <v>3342</v>
      </c>
      <c r="F134" t="s">
        <v>3012</v>
      </c>
      <c r="G134" t="s">
        <v>3343</v>
      </c>
    </row>
    <row r="135" spans="1:7" ht="11.25" customHeight="1">
      <c r="A135" s="39" t="s">
        <v>2</v>
      </c>
      <c r="B135" t="s">
        <v>32</v>
      </c>
      <c r="C135" t="s">
        <v>33</v>
      </c>
      <c r="D135" t="s">
        <v>3344</v>
      </c>
      <c r="E135" t="s">
        <v>3345</v>
      </c>
      <c r="F135" t="s">
        <v>3009</v>
      </c>
      <c r="G135" t="s">
        <v>3346</v>
      </c>
    </row>
    <row r="136" spans="1:7" ht="11.25" customHeight="1">
      <c r="A136" s="39" t="s">
        <v>2</v>
      </c>
      <c r="B136" t="s">
        <v>32</v>
      </c>
      <c r="C136" t="s">
        <v>33</v>
      </c>
      <c r="D136" t="s">
        <v>3347</v>
      </c>
      <c r="E136" t="s">
        <v>3348</v>
      </c>
      <c r="F136" t="s">
        <v>3009</v>
      </c>
      <c r="G136" t="s">
        <v>3349</v>
      </c>
    </row>
    <row r="137" spans="1:7" ht="11.25" customHeight="1">
      <c r="A137" s="39" t="s">
        <v>2</v>
      </c>
      <c r="B137" t="s">
        <v>32</v>
      </c>
      <c r="C137" t="s">
        <v>33</v>
      </c>
      <c r="D137" t="s">
        <v>3350</v>
      </c>
      <c r="E137" t="s">
        <v>3351</v>
      </c>
      <c r="F137" t="s">
        <v>3009</v>
      </c>
      <c r="G137" t="s">
        <v>3352</v>
      </c>
    </row>
    <row r="138" spans="1:7" ht="11.25" customHeight="1">
      <c r="A138" s="39" t="s">
        <v>2</v>
      </c>
      <c r="B138" t="s">
        <v>32</v>
      </c>
      <c r="C138" t="s">
        <v>33</v>
      </c>
      <c r="D138" t="s">
        <v>3353</v>
      </c>
      <c r="E138" t="s">
        <v>3354</v>
      </c>
      <c r="F138" t="s">
        <v>3009</v>
      </c>
      <c r="G138" t="s">
        <v>3355</v>
      </c>
    </row>
    <row r="139" spans="1:7" ht="11.25" customHeight="1">
      <c r="A139" s="39" t="s">
        <v>2</v>
      </c>
      <c r="B139" t="s">
        <v>32</v>
      </c>
      <c r="C139" t="s">
        <v>33</v>
      </c>
      <c r="D139" t="s">
        <v>3356</v>
      </c>
      <c r="E139" t="s">
        <v>3357</v>
      </c>
      <c r="F139" t="s">
        <v>3009</v>
      </c>
      <c r="G139" t="s">
        <v>3358</v>
      </c>
    </row>
    <row r="140" spans="1:7" ht="11.25" customHeight="1">
      <c r="A140" s="39" t="s">
        <v>2</v>
      </c>
      <c r="B140" t="s">
        <v>32</v>
      </c>
      <c r="C140" t="s">
        <v>33</v>
      </c>
      <c r="D140" t="s">
        <v>3359</v>
      </c>
      <c r="E140" t="s">
        <v>3360</v>
      </c>
      <c r="F140" t="s">
        <v>3009</v>
      </c>
      <c r="G140" t="s">
        <v>3361</v>
      </c>
    </row>
    <row r="141" spans="1:7" ht="11.25" customHeight="1">
      <c r="A141" s="39" t="s">
        <v>2</v>
      </c>
      <c r="B141" t="s">
        <v>32</v>
      </c>
      <c r="C141" t="s">
        <v>33</v>
      </c>
      <c r="D141" t="s">
        <v>3362</v>
      </c>
      <c r="E141" t="s">
        <v>3363</v>
      </c>
      <c r="F141" t="s">
        <v>3009</v>
      </c>
      <c r="G141" t="s">
        <v>3364</v>
      </c>
    </row>
    <row r="142" spans="1:7" ht="11.25" customHeight="1">
      <c r="A142" s="39" t="s">
        <v>2</v>
      </c>
      <c r="B142" t="s">
        <v>32</v>
      </c>
      <c r="C142" t="s">
        <v>33</v>
      </c>
      <c r="D142" t="s">
        <v>3365</v>
      </c>
      <c r="E142" t="s">
        <v>3366</v>
      </c>
      <c r="F142" t="s">
        <v>3009</v>
      </c>
      <c r="G142" t="s">
        <v>3367</v>
      </c>
    </row>
    <row r="143" spans="1:7" ht="11.25" customHeight="1">
      <c r="A143" s="39" t="s">
        <v>2</v>
      </c>
      <c r="B143" t="s">
        <v>32</v>
      </c>
      <c r="C143" t="s">
        <v>33</v>
      </c>
      <c r="D143" t="s">
        <v>3368</v>
      </c>
      <c r="E143" t="s">
        <v>3369</v>
      </c>
      <c r="F143" t="s">
        <v>3009</v>
      </c>
      <c r="G143" t="s">
        <v>3370</v>
      </c>
    </row>
    <row r="144" spans="1:7" ht="11.25" customHeight="1">
      <c r="A144" s="39" t="s">
        <v>2</v>
      </c>
      <c r="B144" t="s">
        <v>32</v>
      </c>
      <c r="C144" t="s">
        <v>33</v>
      </c>
      <c r="D144" t="s">
        <v>3371</v>
      </c>
      <c r="E144" t="s">
        <v>3372</v>
      </c>
      <c r="F144" t="s">
        <v>3009</v>
      </c>
      <c r="G144" t="s">
        <v>3373</v>
      </c>
    </row>
    <row r="145" spans="1:7" ht="11.25" customHeight="1">
      <c r="A145" s="39" t="s">
        <v>2</v>
      </c>
      <c r="B145" t="s">
        <v>32</v>
      </c>
      <c r="C145" t="s">
        <v>33</v>
      </c>
      <c r="D145" t="s">
        <v>3374</v>
      </c>
      <c r="E145" t="s">
        <v>3375</v>
      </c>
      <c r="F145" t="s">
        <v>3009</v>
      </c>
      <c r="G145" t="s">
        <v>3376</v>
      </c>
    </row>
    <row r="146" spans="1:7" ht="11.25" customHeight="1">
      <c r="A146" s="39" t="s">
        <v>2</v>
      </c>
      <c r="B146" t="s">
        <v>32</v>
      </c>
      <c r="C146" t="s">
        <v>33</v>
      </c>
      <c r="D146" t="s">
        <v>3377</v>
      </c>
      <c r="E146" t="s">
        <v>3378</v>
      </c>
      <c r="F146" t="s">
        <v>3009</v>
      </c>
      <c r="G146" t="s">
        <v>3379</v>
      </c>
    </row>
    <row r="147" spans="1:7" ht="11.25" customHeight="1">
      <c r="A147" s="39" t="s">
        <v>2</v>
      </c>
      <c r="B147" t="s">
        <v>32</v>
      </c>
      <c r="C147" t="s">
        <v>33</v>
      </c>
      <c r="D147" t="s">
        <v>3380</v>
      </c>
      <c r="E147" t="s">
        <v>3381</v>
      </c>
      <c r="F147" t="s">
        <v>3009</v>
      </c>
      <c r="G147" t="s">
        <v>3382</v>
      </c>
    </row>
    <row r="148" spans="1:7" ht="11.25" customHeight="1">
      <c r="A148" s="39" t="s">
        <v>2</v>
      </c>
      <c r="B148" t="s">
        <v>32</v>
      </c>
      <c r="C148" t="s">
        <v>33</v>
      </c>
      <c r="D148" t="s">
        <v>3383</v>
      </c>
      <c r="E148" t="s">
        <v>3384</v>
      </c>
      <c r="F148" t="s">
        <v>3009</v>
      </c>
      <c r="G148" t="s">
        <v>3385</v>
      </c>
    </row>
    <row r="149" spans="1:7" ht="11.25" customHeight="1">
      <c r="A149" s="39" t="s">
        <v>2</v>
      </c>
      <c r="B149" t="s">
        <v>32</v>
      </c>
      <c r="C149" t="s">
        <v>33</v>
      </c>
      <c r="D149" t="s">
        <v>3386</v>
      </c>
      <c r="E149" t="s">
        <v>3387</v>
      </c>
      <c r="F149" t="s">
        <v>3009</v>
      </c>
      <c r="G149" t="s">
        <v>3388</v>
      </c>
    </row>
    <row r="150" spans="1:7" ht="11.25" customHeight="1">
      <c r="A150" s="39" t="s">
        <v>2</v>
      </c>
      <c r="B150" t="s">
        <v>32</v>
      </c>
      <c r="C150" t="s">
        <v>33</v>
      </c>
      <c r="D150" t="s">
        <v>3389</v>
      </c>
      <c r="E150" t="s">
        <v>3390</v>
      </c>
      <c r="F150" t="s">
        <v>3009</v>
      </c>
      <c r="G150" t="s">
        <v>3391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6"/>
  <sheetViews>
    <sheetView showGridLines="0" workbookViewId="0"/>
  </sheetViews>
  <sheetFormatPr defaultColWidth="9.140625" defaultRowHeight="11.25" customHeight="1"/>
  <cols>
    <col min="1" max="1" width="13.85546875" customWidth="1"/>
    <col min="2" max="2" width="10.42578125" customWidth="1"/>
    <col min="3" max="3" width="7.5703125" customWidth="1"/>
    <col min="4" max="4" width="13.85546875" customWidth="1"/>
    <col min="5" max="5" width="11.5703125" customWidth="1"/>
    <col min="6" max="6" width="16.28515625" customWidth="1"/>
    <col min="7" max="7" width="16" customWidth="1"/>
    <col min="8" max="9" width="16.140625" customWidth="1"/>
  </cols>
  <sheetData>
    <row r="1" spans="1:9" ht="11.25" customHeight="1">
      <c r="A1" s="428" t="s">
        <v>3392</v>
      </c>
      <c r="B1" s="428" t="s">
        <v>3393</v>
      </c>
      <c r="C1" s="428" t="s">
        <v>3394</v>
      </c>
      <c r="D1" s="428" t="s">
        <v>3395</v>
      </c>
      <c r="E1" s="428" t="s">
        <v>3396</v>
      </c>
      <c r="F1" s="428" t="s">
        <v>3397</v>
      </c>
      <c r="G1" s="428" t="s">
        <v>3398</v>
      </c>
      <c r="H1" s="428" t="s">
        <v>3399</v>
      </c>
      <c r="I1" s="428" t="s">
        <v>3400</v>
      </c>
    </row>
    <row r="2" spans="1:9" ht="11.25" customHeight="1">
      <c r="A2" s="428" t="s">
        <v>31</v>
      </c>
      <c r="B2" s="428" t="s">
        <v>3401</v>
      </c>
      <c r="C2" t="s">
        <v>4</v>
      </c>
      <c r="D2" s="428" t="s">
        <v>3402</v>
      </c>
      <c r="E2" s="428" t="s">
        <v>3403</v>
      </c>
      <c r="F2" t="s">
        <v>4</v>
      </c>
      <c r="G2" t="s">
        <v>4</v>
      </c>
      <c r="H2" t="s">
        <v>4</v>
      </c>
      <c r="I2" t="s">
        <v>4</v>
      </c>
    </row>
    <row r="3" spans="1:9" ht="11.25" customHeight="1">
      <c r="A3" s="428" t="s">
        <v>39</v>
      </c>
      <c r="B3" s="428" t="s">
        <v>3404</v>
      </c>
      <c r="C3" t="s">
        <v>4</v>
      </c>
      <c r="D3" s="428" t="s">
        <v>3402</v>
      </c>
      <c r="E3" s="428" t="s">
        <v>3403</v>
      </c>
      <c r="F3" t="s">
        <v>4</v>
      </c>
      <c r="G3" t="s">
        <v>4</v>
      </c>
      <c r="H3" t="s">
        <v>4</v>
      </c>
      <c r="I3" t="s">
        <v>4</v>
      </c>
    </row>
    <row r="4" spans="1:9" ht="11.25" customHeight="1">
      <c r="A4" s="428" t="s">
        <v>26</v>
      </c>
      <c r="B4" s="428" t="s">
        <v>3405</v>
      </c>
      <c r="C4" t="s">
        <v>4</v>
      </c>
      <c r="D4" s="428" t="s">
        <v>3406</v>
      </c>
      <c r="E4" s="428" t="s">
        <v>3407</v>
      </c>
      <c r="F4" t="s">
        <v>4</v>
      </c>
      <c r="G4" t="s">
        <v>4</v>
      </c>
      <c r="H4" t="s">
        <v>4</v>
      </c>
      <c r="I4" t="s">
        <v>4</v>
      </c>
    </row>
    <row r="5" spans="1:9" ht="11.25" customHeight="1">
      <c r="A5" s="428" t="s">
        <v>27</v>
      </c>
      <c r="B5" s="428" t="s">
        <v>3408</v>
      </c>
      <c r="C5" t="s">
        <v>4</v>
      </c>
      <c r="D5" s="428" t="s">
        <v>3406</v>
      </c>
      <c r="E5" s="428" t="s">
        <v>3407</v>
      </c>
      <c r="F5" t="s">
        <v>4</v>
      </c>
      <c r="G5" t="s">
        <v>4</v>
      </c>
      <c r="H5" t="s">
        <v>4</v>
      </c>
      <c r="I5" t="s">
        <v>4</v>
      </c>
    </row>
    <row r="6" spans="1:9" ht="11.25" customHeight="1">
      <c r="A6" s="428" t="s">
        <v>40</v>
      </c>
      <c r="B6" s="428" t="s">
        <v>3409</v>
      </c>
      <c r="C6" t="s">
        <v>4</v>
      </c>
      <c r="D6" s="428" t="s">
        <v>3410</v>
      </c>
      <c r="E6" s="428" t="s">
        <v>3411</v>
      </c>
      <c r="F6" t="s">
        <v>4</v>
      </c>
      <c r="G6" t="s">
        <v>4</v>
      </c>
      <c r="H6" t="s">
        <v>4</v>
      </c>
      <c r="I6" t="s">
        <v>4</v>
      </c>
    </row>
    <row r="7" spans="1:9" ht="11.25" customHeight="1">
      <c r="A7" s="428" t="s">
        <v>28</v>
      </c>
      <c r="B7" s="428" t="s">
        <v>3412</v>
      </c>
      <c r="C7" t="s">
        <v>4</v>
      </c>
      <c r="D7" s="428" t="s">
        <v>3406</v>
      </c>
      <c r="E7" s="428" t="s">
        <v>3403</v>
      </c>
      <c r="F7" t="s">
        <v>4</v>
      </c>
      <c r="G7" t="s">
        <v>4</v>
      </c>
      <c r="H7" t="s">
        <v>4</v>
      </c>
      <c r="I7" t="s">
        <v>4</v>
      </c>
    </row>
    <row r="8" spans="1:9" ht="11.25" customHeight="1">
      <c r="A8" s="428" t="s">
        <v>29</v>
      </c>
      <c r="B8" s="428" t="s">
        <v>3413</v>
      </c>
      <c r="C8" t="s">
        <v>4</v>
      </c>
      <c r="D8" s="428" t="s">
        <v>3414</v>
      </c>
      <c r="E8" s="428" t="s">
        <v>3415</v>
      </c>
      <c r="F8" t="s">
        <v>4</v>
      </c>
      <c r="G8" t="s">
        <v>4</v>
      </c>
      <c r="H8" t="s">
        <v>4</v>
      </c>
      <c r="I8" t="s">
        <v>4</v>
      </c>
    </row>
    <row r="9" spans="1:9" ht="11.25" customHeight="1">
      <c r="A9" s="428" t="s">
        <v>41</v>
      </c>
      <c r="B9" s="428" t="s">
        <v>3416</v>
      </c>
      <c r="C9" t="s">
        <v>4</v>
      </c>
      <c r="D9" s="428" t="s">
        <v>3417</v>
      </c>
      <c r="E9" s="428" t="s">
        <v>3418</v>
      </c>
      <c r="F9" t="s">
        <v>4</v>
      </c>
      <c r="G9" t="s">
        <v>4</v>
      </c>
      <c r="H9" t="s">
        <v>4</v>
      </c>
      <c r="I9" t="s">
        <v>4</v>
      </c>
    </row>
    <row r="10" spans="1:9" ht="11.25" customHeight="1">
      <c r="A10" s="428" t="s">
        <v>73</v>
      </c>
      <c r="B10" s="428" t="s">
        <v>3419</v>
      </c>
      <c r="C10" t="s">
        <v>4</v>
      </c>
      <c r="D10" s="428" t="s">
        <v>3417</v>
      </c>
      <c r="E10" s="428" t="s">
        <v>3418</v>
      </c>
      <c r="F10" t="s">
        <v>4</v>
      </c>
      <c r="G10" t="s">
        <v>4</v>
      </c>
      <c r="H10" t="s">
        <v>4</v>
      </c>
      <c r="I10" t="s">
        <v>4</v>
      </c>
    </row>
    <row r="11" spans="1:9" ht="11.25" customHeight="1">
      <c r="A11" s="428" t="s">
        <v>74</v>
      </c>
      <c r="B11" s="428" t="s">
        <v>3420</v>
      </c>
      <c r="C11" t="s">
        <v>4</v>
      </c>
      <c r="D11" s="428" t="s">
        <v>3414</v>
      </c>
      <c r="E11" s="428" t="s">
        <v>3407</v>
      </c>
      <c r="F11" t="s">
        <v>4</v>
      </c>
      <c r="G11" t="s">
        <v>4</v>
      </c>
      <c r="H11" t="s">
        <v>4</v>
      </c>
      <c r="I11" t="s">
        <v>4</v>
      </c>
    </row>
    <row r="12" spans="1:9" ht="11.25" customHeight="1">
      <c r="A12" s="428" t="s">
        <v>75</v>
      </c>
      <c r="B12" s="428" t="s">
        <v>3421</v>
      </c>
      <c r="C12" t="s">
        <v>4</v>
      </c>
      <c r="D12" s="428" t="s">
        <v>3414</v>
      </c>
      <c r="E12" s="428" t="s">
        <v>3415</v>
      </c>
      <c r="F12" t="s">
        <v>4</v>
      </c>
      <c r="G12" t="s">
        <v>4</v>
      </c>
      <c r="H12" t="s">
        <v>4</v>
      </c>
      <c r="I12" t="s">
        <v>4</v>
      </c>
    </row>
    <row r="13" spans="1:9" ht="11.25" customHeight="1">
      <c r="A13" s="428" t="s">
        <v>76</v>
      </c>
      <c r="B13" s="428" t="s">
        <v>3422</v>
      </c>
      <c r="C13" t="s">
        <v>4</v>
      </c>
      <c r="D13" s="428" t="s">
        <v>3414</v>
      </c>
      <c r="E13" s="428" t="s">
        <v>3407</v>
      </c>
      <c r="F13" t="s">
        <v>4</v>
      </c>
      <c r="G13" t="s">
        <v>4</v>
      </c>
      <c r="H13" t="s">
        <v>4</v>
      </c>
      <c r="I13" t="s">
        <v>4</v>
      </c>
    </row>
    <row r="14" spans="1:9" ht="11.25" customHeight="1">
      <c r="A14" s="428" t="s">
        <v>77</v>
      </c>
      <c r="B14" s="428" t="s">
        <v>3423</v>
      </c>
      <c r="C14" t="s">
        <v>4</v>
      </c>
      <c r="D14" s="428" t="s">
        <v>3424</v>
      </c>
      <c r="E14" s="428" t="s">
        <v>3415</v>
      </c>
      <c r="F14" t="s">
        <v>4</v>
      </c>
      <c r="G14" t="s">
        <v>4</v>
      </c>
      <c r="H14" t="s">
        <v>4</v>
      </c>
      <c r="I14" t="s">
        <v>4</v>
      </c>
    </row>
    <row r="15" spans="1:9" ht="11.25" customHeight="1">
      <c r="A15" s="428" t="s">
        <v>78</v>
      </c>
      <c r="B15" s="428" t="s">
        <v>3425</v>
      </c>
      <c r="C15" t="s">
        <v>4</v>
      </c>
      <c r="D15" s="428" t="s">
        <v>3426</v>
      </c>
      <c r="E15" s="428" t="s">
        <v>3415</v>
      </c>
      <c r="F15" t="s">
        <v>4</v>
      </c>
      <c r="G15" t="s">
        <v>4</v>
      </c>
      <c r="H15" t="s">
        <v>4</v>
      </c>
      <c r="I15" t="s">
        <v>4</v>
      </c>
    </row>
    <row r="16" spans="1:9" ht="11.25" customHeight="1">
      <c r="A16" s="428" t="s">
        <v>1386</v>
      </c>
      <c r="B16" s="428" t="s">
        <v>3427</v>
      </c>
      <c r="C16" t="s">
        <v>4</v>
      </c>
      <c r="D16" s="428" t="s">
        <v>3414</v>
      </c>
      <c r="E16" s="428" t="s">
        <v>3415</v>
      </c>
      <c r="F16" t="s">
        <v>4</v>
      </c>
      <c r="G16" t="s">
        <v>4</v>
      </c>
      <c r="H16" t="s">
        <v>4</v>
      </c>
      <c r="I16" t="s">
        <v>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sheetData>
    <row r="1" spans="1:2" ht="11.25" customHeight="1">
      <c r="A1" s="874" t="s">
        <v>55</v>
      </c>
      <c r="B1" s="874" t="s">
        <v>3428</v>
      </c>
    </row>
    <row r="2" spans="1:2" ht="11.25" customHeight="1">
      <c r="A2" s="874" t="s">
        <v>30</v>
      </c>
      <c r="B2" s="874" t="s">
        <v>3429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2" max="2" width="65.28515625" customWidth="1"/>
  </cols>
  <sheetData>
    <row r="1" spans="1:2" ht="11.25" customHeight="1">
      <c r="A1" s="428" t="s">
        <v>3430</v>
      </c>
      <c r="B1" s="428" t="s">
        <v>3431</v>
      </c>
    </row>
    <row r="2" spans="1:2" ht="11.25" customHeight="1">
      <c r="A2" s="428">
        <v>4213775</v>
      </c>
      <c r="B2" s="428" t="s">
        <v>1144</v>
      </c>
    </row>
    <row r="3" spans="1:2" ht="11.25" customHeight="1">
      <c r="A3" s="428">
        <v>4213784</v>
      </c>
      <c r="B3" s="428" t="s">
        <v>1178</v>
      </c>
    </row>
    <row r="4" spans="1:2" ht="11.25" customHeight="1">
      <c r="A4" s="428">
        <v>4213781</v>
      </c>
      <c r="B4" s="428" t="s">
        <v>1171</v>
      </c>
    </row>
    <row r="5" spans="1:2" ht="11.25" customHeight="1">
      <c r="A5" s="428">
        <v>4213776</v>
      </c>
      <c r="B5" s="428" t="s">
        <v>91</v>
      </c>
    </row>
    <row r="6" spans="1:2" ht="11.25" customHeight="1">
      <c r="A6" s="428">
        <v>4213777</v>
      </c>
      <c r="B6" s="428" t="s">
        <v>97</v>
      </c>
    </row>
    <row r="7" spans="1:2" ht="11.25" customHeight="1">
      <c r="A7" s="428">
        <v>4213778</v>
      </c>
      <c r="B7" s="428" t="s">
        <v>103</v>
      </c>
    </row>
    <row r="8" spans="1:2" ht="11.25" customHeight="1">
      <c r="A8" s="428">
        <v>4213780</v>
      </c>
      <c r="B8" s="428" t="s">
        <v>109</v>
      </c>
    </row>
    <row r="9" spans="1:2" ht="11.25" customHeight="1">
      <c r="A9" s="428">
        <v>4213779</v>
      </c>
      <c r="B9" s="428" t="s">
        <v>1312</v>
      </c>
    </row>
    <row r="10" spans="1:2" ht="11.25" customHeight="1">
      <c r="A10" s="428">
        <v>4213783</v>
      </c>
      <c r="B10" s="428" t="s">
        <v>1327</v>
      </c>
    </row>
    <row r="11" spans="1:2" ht="11.25" customHeight="1">
      <c r="A11" s="428">
        <v>4213782</v>
      </c>
      <c r="B11" s="428" t="s">
        <v>115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4"/>
  <sheetViews>
    <sheetView showGridLines="0" workbookViewId="0"/>
  </sheetViews>
  <sheetFormatPr defaultColWidth="9.140625" defaultRowHeight="11.25" customHeight="1"/>
  <cols>
    <col min="2" max="2" width="65.28515625" customWidth="1"/>
  </cols>
  <sheetData>
    <row r="1" spans="1:2" ht="11.25" customHeight="1">
      <c r="A1" s="428" t="s">
        <v>3430</v>
      </c>
      <c r="B1" s="428" t="s">
        <v>3432</v>
      </c>
    </row>
    <row r="2" spans="1:2" ht="11.25" customHeight="1">
      <c r="A2" s="428" t="s">
        <v>3433</v>
      </c>
      <c r="B2" s="428" t="s">
        <v>1426</v>
      </c>
    </row>
    <row r="3" spans="1:2" ht="11.25" customHeight="1">
      <c r="A3" s="428" t="s">
        <v>3434</v>
      </c>
      <c r="B3" s="428" t="s">
        <v>1436</v>
      </c>
    </row>
    <row r="4" spans="1:2" ht="11.25" customHeight="1">
      <c r="A4" s="428" t="s">
        <v>3435</v>
      </c>
      <c r="B4" s="428" t="s">
        <v>1445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50"/>
  <sheetViews>
    <sheetView showGridLines="0" workbookViewId="0"/>
  </sheetViews>
  <sheetFormatPr defaultRowHeight="11.25" customHeight="1"/>
  <sheetData>
    <row r="1" spans="1:7" ht="11.25" customHeight="1">
      <c r="A1" s="39" t="s">
        <v>2999</v>
      </c>
      <c r="B1" s="39" t="s">
        <v>3000</v>
      </c>
      <c r="C1" s="39" t="s">
        <v>3001</v>
      </c>
      <c r="D1" s="39" t="s">
        <v>3002</v>
      </c>
      <c r="E1" t="s">
        <v>3003</v>
      </c>
      <c r="F1" t="s">
        <v>3004</v>
      </c>
      <c r="G1" t="s">
        <v>3005</v>
      </c>
    </row>
    <row r="2" spans="1:7" ht="11.25" customHeight="1">
      <c r="A2" t="s">
        <v>2</v>
      </c>
      <c r="B2" t="s">
        <v>32</v>
      </c>
      <c r="C2" t="s">
        <v>33</v>
      </c>
      <c r="D2" t="s">
        <v>32</v>
      </c>
      <c r="E2" t="s">
        <v>33</v>
      </c>
      <c r="F2" t="s">
        <v>3006</v>
      </c>
      <c r="G2" t="s">
        <v>31</v>
      </c>
    </row>
    <row r="3" spans="1:7" ht="11.25" customHeight="1">
      <c r="A3" t="s">
        <v>2</v>
      </c>
      <c r="B3" t="s">
        <v>32</v>
      </c>
      <c r="C3" t="s">
        <v>33</v>
      </c>
      <c r="D3" t="s">
        <v>3007</v>
      </c>
      <c r="E3" t="s">
        <v>3008</v>
      </c>
      <c r="F3" t="s">
        <v>3009</v>
      </c>
      <c r="G3" t="s">
        <v>39</v>
      </c>
    </row>
    <row r="4" spans="1:7" ht="11.25" customHeight="1">
      <c r="A4" t="s">
        <v>2</v>
      </c>
      <c r="B4" t="s">
        <v>32</v>
      </c>
      <c r="C4" t="s">
        <v>33</v>
      </c>
      <c r="D4" t="s">
        <v>3010</v>
      </c>
      <c r="E4" t="s">
        <v>3011</v>
      </c>
      <c r="F4" t="s">
        <v>3012</v>
      </c>
      <c r="G4" t="s">
        <v>26</v>
      </c>
    </row>
    <row r="5" spans="1:7" ht="11.25" customHeight="1">
      <c r="A5" t="s">
        <v>2</v>
      </c>
      <c r="B5" t="s">
        <v>32</v>
      </c>
      <c r="C5" t="s">
        <v>33</v>
      </c>
      <c r="D5" t="s">
        <v>3013</v>
      </c>
      <c r="E5" t="s">
        <v>3014</v>
      </c>
      <c r="F5" t="s">
        <v>3012</v>
      </c>
      <c r="G5" t="s">
        <v>27</v>
      </c>
    </row>
    <row r="6" spans="1:7" ht="11.25" customHeight="1">
      <c r="A6" t="s">
        <v>2</v>
      </c>
      <c r="B6" t="s">
        <v>32</v>
      </c>
      <c r="C6" t="s">
        <v>33</v>
      </c>
      <c r="D6" t="s">
        <v>3015</v>
      </c>
      <c r="E6" t="s">
        <v>3016</v>
      </c>
      <c r="F6" t="s">
        <v>3012</v>
      </c>
      <c r="G6" t="s">
        <v>40</v>
      </c>
    </row>
    <row r="7" spans="1:7" ht="11.25" customHeight="1">
      <c r="A7" t="s">
        <v>2</v>
      </c>
      <c r="B7" t="s">
        <v>32</v>
      </c>
      <c r="C7" t="s">
        <v>33</v>
      </c>
      <c r="D7" t="s">
        <v>3017</v>
      </c>
      <c r="E7" t="s">
        <v>3018</v>
      </c>
      <c r="F7" t="s">
        <v>3012</v>
      </c>
      <c r="G7" t="s">
        <v>28</v>
      </c>
    </row>
    <row r="8" spans="1:7" ht="11.25" customHeight="1">
      <c r="A8" t="s">
        <v>2</v>
      </c>
      <c r="B8" t="s">
        <v>32</v>
      </c>
      <c r="C8" t="s">
        <v>33</v>
      </c>
      <c r="D8" t="s">
        <v>3019</v>
      </c>
      <c r="E8" t="s">
        <v>3020</v>
      </c>
      <c r="F8" t="s">
        <v>3012</v>
      </c>
      <c r="G8" t="s">
        <v>29</v>
      </c>
    </row>
    <row r="9" spans="1:7" ht="11.25" customHeight="1">
      <c r="A9" t="s">
        <v>2</v>
      </c>
      <c r="B9" t="s">
        <v>32</v>
      </c>
      <c r="C9" t="s">
        <v>33</v>
      </c>
      <c r="D9" t="s">
        <v>3021</v>
      </c>
      <c r="E9" t="s">
        <v>3022</v>
      </c>
      <c r="F9" t="s">
        <v>3012</v>
      </c>
      <c r="G9" t="s">
        <v>41</v>
      </c>
    </row>
    <row r="10" spans="1:7" ht="11.25" customHeight="1">
      <c r="A10" t="s">
        <v>2</v>
      </c>
      <c r="B10" t="s">
        <v>32</v>
      </c>
      <c r="C10" t="s">
        <v>33</v>
      </c>
      <c r="D10" t="s">
        <v>3023</v>
      </c>
      <c r="E10" t="s">
        <v>3024</v>
      </c>
      <c r="F10" t="s">
        <v>3012</v>
      </c>
      <c r="G10" t="s">
        <v>73</v>
      </c>
    </row>
    <row r="11" spans="1:7" ht="11.25" customHeight="1">
      <c r="A11" t="s">
        <v>2</v>
      </c>
      <c r="B11" t="s">
        <v>32</v>
      </c>
      <c r="C11" t="s">
        <v>33</v>
      </c>
      <c r="D11" t="s">
        <v>3025</v>
      </c>
      <c r="E11" t="s">
        <v>3026</v>
      </c>
      <c r="F11" t="s">
        <v>3012</v>
      </c>
      <c r="G11" t="s">
        <v>74</v>
      </c>
    </row>
    <row r="12" spans="1:7" ht="11.25" customHeight="1">
      <c r="A12" t="s">
        <v>2</v>
      </c>
      <c r="B12" t="s">
        <v>32</v>
      </c>
      <c r="C12" t="s">
        <v>33</v>
      </c>
      <c r="D12" t="s">
        <v>3027</v>
      </c>
      <c r="E12" t="s">
        <v>3028</v>
      </c>
      <c r="F12" t="s">
        <v>3009</v>
      </c>
      <c r="G12" t="s">
        <v>75</v>
      </c>
    </row>
    <row r="13" spans="1:7" ht="11.25" customHeight="1">
      <c r="A13" t="s">
        <v>2</v>
      </c>
      <c r="B13" t="s">
        <v>32</v>
      </c>
      <c r="C13" t="s">
        <v>33</v>
      </c>
      <c r="D13" t="s">
        <v>3029</v>
      </c>
      <c r="E13" t="s">
        <v>3030</v>
      </c>
      <c r="F13" t="s">
        <v>3012</v>
      </c>
      <c r="G13" t="s">
        <v>76</v>
      </c>
    </row>
    <row r="14" spans="1:7" ht="11.25" customHeight="1">
      <c r="A14" t="s">
        <v>2</v>
      </c>
      <c r="B14" t="s">
        <v>32</v>
      </c>
      <c r="C14" t="s">
        <v>33</v>
      </c>
      <c r="D14" t="s">
        <v>3031</v>
      </c>
      <c r="E14" t="s">
        <v>3032</v>
      </c>
      <c r="F14" t="s">
        <v>3012</v>
      </c>
      <c r="G14" t="s">
        <v>77</v>
      </c>
    </row>
    <row r="15" spans="1:7" ht="11.25" customHeight="1">
      <c r="A15" t="s">
        <v>2</v>
      </c>
      <c r="B15" t="s">
        <v>32</v>
      </c>
      <c r="C15" t="s">
        <v>33</v>
      </c>
      <c r="D15" t="s">
        <v>3033</v>
      </c>
      <c r="E15" t="s">
        <v>3034</v>
      </c>
      <c r="F15" t="s">
        <v>3009</v>
      </c>
      <c r="G15" t="s">
        <v>78</v>
      </c>
    </row>
    <row r="16" spans="1:7" ht="11.25" customHeight="1">
      <c r="A16" t="s">
        <v>2</v>
      </c>
      <c r="B16" t="s">
        <v>32</v>
      </c>
      <c r="C16" t="s">
        <v>33</v>
      </c>
      <c r="D16" t="s">
        <v>3035</v>
      </c>
      <c r="E16" t="s">
        <v>3036</v>
      </c>
      <c r="F16" t="s">
        <v>3009</v>
      </c>
      <c r="G16" t="s">
        <v>1386</v>
      </c>
    </row>
    <row r="17" spans="1:7" ht="11.25" customHeight="1">
      <c r="A17" t="s">
        <v>2</v>
      </c>
      <c r="B17" t="s">
        <v>32</v>
      </c>
      <c r="C17" t="s">
        <v>33</v>
      </c>
      <c r="D17" t="s">
        <v>3037</v>
      </c>
      <c r="E17" t="s">
        <v>3038</v>
      </c>
      <c r="F17" t="s">
        <v>3012</v>
      </c>
      <c r="G17" t="s">
        <v>1392</v>
      </c>
    </row>
    <row r="18" spans="1:7" ht="11.25" customHeight="1">
      <c r="A18" t="s">
        <v>2</v>
      </c>
      <c r="B18" t="s">
        <v>32</v>
      </c>
      <c r="C18" t="s">
        <v>33</v>
      </c>
      <c r="D18" t="s">
        <v>3039</v>
      </c>
      <c r="E18" t="s">
        <v>3040</v>
      </c>
      <c r="F18" t="s">
        <v>3009</v>
      </c>
      <c r="G18" t="s">
        <v>1404</v>
      </c>
    </row>
    <row r="19" spans="1:7" ht="11.25" customHeight="1">
      <c r="A19" t="s">
        <v>2</v>
      </c>
      <c r="B19" t="s">
        <v>32</v>
      </c>
      <c r="C19" t="s">
        <v>33</v>
      </c>
      <c r="D19" t="s">
        <v>3041</v>
      </c>
      <c r="E19" t="s">
        <v>3042</v>
      </c>
      <c r="F19" t="s">
        <v>3012</v>
      </c>
      <c r="G19" t="s">
        <v>1418</v>
      </c>
    </row>
    <row r="20" spans="1:7" ht="11.25" customHeight="1">
      <c r="A20" t="s">
        <v>2</v>
      </c>
      <c r="B20" t="s">
        <v>32</v>
      </c>
      <c r="C20" t="s">
        <v>33</v>
      </c>
      <c r="D20" t="s">
        <v>3043</v>
      </c>
      <c r="E20" t="s">
        <v>3044</v>
      </c>
      <c r="F20" t="s">
        <v>3012</v>
      </c>
      <c r="G20" t="s">
        <v>1430</v>
      </c>
    </row>
    <row r="21" spans="1:7" ht="11.25" customHeight="1">
      <c r="A21" t="s">
        <v>2</v>
      </c>
      <c r="B21" t="s">
        <v>32</v>
      </c>
      <c r="C21" t="s">
        <v>33</v>
      </c>
      <c r="D21" t="s">
        <v>3045</v>
      </c>
      <c r="E21" t="s">
        <v>3046</v>
      </c>
      <c r="F21" t="s">
        <v>3012</v>
      </c>
      <c r="G21" t="s">
        <v>1439</v>
      </c>
    </row>
    <row r="22" spans="1:7" ht="11.25" customHeight="1">
      <c r="A22" t="s">
        <v>2</v>
      </c>
      <c r="B22" t="s">
        <v>32</v>
      </c>
      <c r="C22" t="s">
        <v>33</v>
      </c>
      <c r="D22" t="s">
        <v>3045</v>
      </c>
      <c r="E22" t="s">
        <v>3047</v>
      </c>
      <c r="F22" t="s">
        <v>3009</v>
      </c>
      <c r="G22" t="s">
        <v>1455</v>
      </c>
    </row>
    <row r="23" spans="1:7" ht="11.25" customHeight="1">
      <c r="A23" t="s">
        <v>2</v>
      </c>
      <c r="B23" t="s">
        <v>32</v>
      </c>
      <c r="C23" t="s">
        <v>33</v>
      </c>
      <c r="D23" t="s">
        <v>3048</v>
      </c>
      <c r="E23" t="s">
        <v>3049</v>
      </c>
      <c r="F23" t="s">
        <v>3012</v>
      </c>
      <c r="G23" t="s">
        <v>1462</v>
      </c>
    </row>
    <row r="24" spans="1:7" ht="11.25" customHeight="1">
      <c r="A24" t="s">
        <v>2</v>
      </c>
      <c r="B24" t="s">
        <v>32</v>
      </c>
      <c r="C24" t="s">
        <v>33</v>
      </c>
      <c r="D24" t="s">
        <v>3050</v>
      </c>
      <c r="E24" t="s">
        <v>3051</v>
      </c>
      <c r="F24" t="s">
        <v>3009</v>
      </c>
      <c r="G24" t="s">
        <v>1470</v>
      </c>
    </row>
    <row r="25" spans="1:7" ht="11.25" customHeight="1">
      <c r="A25" t="s">
        <v>2</v>
      </c>
      <c r="B25" t="s">
        <v>32</v>
      </c>
      <c r="C25" t="s">
        <v>33</v>
      </c>
      <c r="D25" t="s">
        <v>3052</v>
      </c>
      <c r="E25" t="s">
        <v>3053</v>
      </c>
      <c r="F25" t="s">
        <v>3012</v>
      </c>
      <c r="G25" t="s">
        <v>1477</v>
      </c>
    </row>
    <row r="26" spans="1:7" ht="11.25" customHeight="1">
      <c r="A26" t="s">
        <v>2</v>
      </c>
      <c r="B26" t="s">
        <v>32</v>
      </c>
      <c r="C26" t="s">
        <v>33</v>
      </c>
      <c r="D26" t="s">
        <v>3054</v>
      </c>
      <c r="E26" t="s">
        <v>3055</v>
      </c>
      <c r="F26" t="s">
        <v>3012</v>
      </c>
      <c r="G26" t="s">
        <v>1481</v>
      </c>
    </row>
    <row r="27" spans="1:7" ht="11.25" customHeight="1">
      <c r="A27" t="s">
        <v>2</v>
      </c>
      <c r="B27" t="s">
        <v>32</v>
      </c>
      <c r="C27" t="s">
        <v>33</v>
      </c>
      <c r="D27" t="s">
        <v>3056</v>
      </c>
      <c r="E27" t="s">
        <v>3057</v>
      </c>
      <c r="F27" t="s">
        <v>3012</v>
      </c>
      <c r="G27" t="s">
        <v>1486</v>
      </c>
    </row>
    <row r="28" spans="1:7" ht="11.25" customHeight="1">
      <c r="A28" t="s">
        <v>2</v>
      </c>
      <c r="B28" t="s">
        <v>32</v>
      </c>
      <c r="C28" t="s">
        <v>33</v>
      </c>
      <c r="D28" t="s">
        <v>3058</v>
      </c>
      <c r="E28" t="s">
        <v>3059</v>
      </c>
      <c r="F28" t="s">
        <v>3012</v>
      </c>
      <c r="G28" t="s">
        <v>1494</v>
      </c>
    </row>
    <row r="29" spans="1:7" ht="11.25" customHeight="1">
      <c r="A29" t="s">
        <v>2</v>
      </c>
      <c r="B29" t="s">
        <v>32</v>
      </c>
      <c r="C29" t="s">
        <v>33</v>
      </c>
      <c r="D29" t="s">
        <v>3060</v>
      </c>
      <c r="E29" t="s">
        <v>3061</v>
      </c>
      <c r="F29" t="s">
        <v>3012</v>
      </c>
      <c r="G29" t="s">
        <v>1496</v>
      </c>
    </row>
    <row r="30" spans="1:7" ht="11.25" customHeight="1">
      <c r="A30" t="s">
        <v>2</v>
      </c>
      <c r="B30" t="s">
        <v>32</v>
      </c>
      <c r="C30" t="s">
        <v>33</v>
      </c>
      <c r="D30" t="s">
        <v>3062</v>
      </c>
      <c r="E30" t="s">
        <v>3063</v>
      </c>
      <c r="F30" t="s">
        <v>3012</v>
      </c>
      <c r="G30" t="s">
        <v>1499</v>
      </c>
    </row>
    <row r="31" spans="1:7" ht="11.25" customHeight="1">
      <c r="A31" t="s">
        <v>2</v>
      </c>
      <c r="B31" t="s">
        <v>32</v>
      </c>
      <c r="C31" t="s">
        <v>33</v>
      </c>
      <c r="D31" t="s">
        <v>3064</v>
      </c>
      <c r="E31" t="s">
        <v>3065</v>
      </c>
      <c r="F31" t="s">
        <v>3012</v>
      </c>
      <c r="G31" t="s">
        <v>1505</v>
      </c>
    </row>
    <row r="32" spans="1:7" ht="11.25" customHeight="1">
      <c r="A32" t="s">
        <v>2</v>
      </c>
      <c r="B32" t="s">
        <v>32</v>
      </c>
      <c r="C32" t="s">
        <v>33</v>
      </c>
      <c r="D32" t="s">
        <v>3066</v>
      </c>
      <c r="E32" t="s">
        <v>3067</v>
      </c>
      <c r="F32" t="s">
        <v>3009</v>
      </c>
      <c r="G32" t="s">
        <v>1507</v>
      </c>
    </row>
    <row r="33" spans="1:7" ht="11.25" customHeight="1">
      <c r="A33" t="s">
        <v>2</v>
      </c>
      <c r="B33" t="s">
        <v>32</v>
      </c>
      <c r="C33" t="s">
        <v>33</v>
      </c>
      <c r="D33" t="s">
        <v>3068</v>
      </c>
      <c r="E33" t="s">
        <v>3069</v>
      </c>
      <c r="F33" t="s">
        <v>3012</v>
      </c>
      <c r="G33" t="s">
        <v>1509</v>
      </c>
    </row>
    <row r="34" spans="1:7" ht="11.25" customHeight="1">
      <c r="A34" t="s">
        <v>2</v>
      </c>
      <c r="B34" t="s">
        <v>32</v>
      </c>
      <c r="C34" t="s">
        <v>33</v>
      </c>
      <c r="D34" t="s">
        <v>3070</v>
      </c>
      <c r="E34" t="s">
        <v>3071</v>
      </c>
      <c r="F34" t="s">
        <v>3009</v>
      </c>
      <c r="G34" t="s">
        <v>1511</v>
      </c>
    </row>
    <row r="35" spans="1:7" ht="11.25" customHeight="1">
      <c r="A35" t="s">
        <v>2</v>
      </c>
      <c r="B35" t="s">
        <v>32</v>
      </c>
      <c r="C35" t="s">
        <v>33</v>
      </c>
      <c r="D35" t="s">
        <v>3072</v>
      </c>
      <c r="E35" t="s">
        <v>3073</v>
      </c>
      <c r="F35" t="s">
        <v>3012</v>
      </c>
      <c r="G35" t="s">
        <v>1516</v>
      </c>
    </row>
    <row r="36" spans="1:7" ht="11.25" customHeight="1">
      <c r="A36" t="s">
        <v>2</v>
      </c>
      <c r="B36" t="s">
        <v>32</v>
      </c>
      <c r="C36" t="s">
        <v>33</v>
      </c>
      <c r="D36" t="s">
        <v>3074</v>
      </c>
      <c r="E36" t="s">
        <v>3075</v>
      </c>
      <c r="F36" t="s">
        <v>3012</v>
      </c>
      <c r="G36" t="s">
        <v>1521</v>
      </c>
    </row>
    <row r="37" spans="1:7" ht="11.25" customHeight="1">
      <c r="A37" t="s">
        <v>2</v>
      </c>
      <c r="B37" t="s">
        <v>32</v>
      </c>
      <c r="C37" t="s">
        <v>33</v>
      </c>
      <c r="D37" t="s">
        <v>3076</v>
      </c>
      <c r="E37" t="s">
        <v>3077</v>
      </c>
      <c r="F37" t="s">
        <v>3012</v>
      </c>
      <c r="G37" t="s">
        <v>1525</v>
      </c>
    </row>
    <row r="38" spans="1:7" ht="11.25" customHeight="1">
      <c r="A38" t="s">
        <v>2</v>
      </c>
      <c r="B38" t="s">
        <v>32</v>
      </c>
      <c r="C38" t="s">
        <v>33</v>
      </c>
      <c r="D38" t="s">
        <v>3078</v>
      </c>
      <c r="E38" t="s">
        <v>3079</v>
      </c>
      <c r="F38" t="s">
        <v>3009</v>
      </c>
      <c r="G38" t="s">
        <v>1533</v>
      </c>
    </row>
    <row r="39" spans="1:7" ht="11.25" customHeight="1">
      <c r="A39" t="s">
        <v>2</v>
      </c>
      <c r="B39" t="s">
        <v>32</v>
      </c>
      <c r="C39" t="s">
        <v>33</v>
      </c>
      <c r="D39" t="s">
        <v>3080</v>
      </c>
      <c r="E39" t="s">
        <v>3081</v>
      </c>
      <c r="F39" t="s">
        <v>3009</v>
      </c>
      <c r="G39" t="s">
        <v>1539</v>
      </c>
    </row>
    <row r="40" spans="1:7" ht="11.25" customHeight="1">
      <c r="A40" t="s">
        <v>2</v>
      </c>
      <c r="B40" t="s">
        <v>32</v>
      </c>
      <c r="C40" t="s">
        <v>33</v>
      </c>
      <c r="D40" t="s">
        <v>3082</v>
      </c>
      <c r="E40" t="s">
        <v>3083</v>
      </c>
      <c r="F40" t="s">
        <v>3012</v>
      </c>
      <c r="G40" t="s">
        <v>1544</v>
      </c>
    </row>
    <row r="41" spans="1:7" ht="11.25" customHeight="1">
      <c r="A41" t="s">
        <v>2</v>
      </c>
      <c r="B41" t="s">
        <v>32</v>
      </c>
      <c r="C41" t="s">
        <v>33</v>
      </c>
      <c r="D41" t="s">
        <v>3084</v>
      </c>
      <c r="E41" t="s">
        <v>3085</v>
      </c>
      <c r="F41" t="s">
        <v>3012</v>
      </c>
      <c r="G41" t="s">
        <v>1548</v>
      </c>
    </row>
    <row r="42" spans="1:7" ht="11.25" customHeight="1">
      <c r="A42" t="s">
        <v>2</v>
      </c>
      <c r="B42" t="s">
        <v>32</v>
      </c>
      <c r="C42" t="s">
        <v>33</v>
      </c>
      <c r="D42" t="s">
        <v>3086</v>
      </c>
      <c r="E42" t="s">
        <v>3087</v>
      </c>
      <c r="F42" t="s">
        <v>3012</v>
      </c>
      <c r="G42" t="s">
        <v>1551</v>
      </c>
    </row>
    <row r="43" spans="1:7" ht="11.25" customHeight="1">
      <c r="A43" t="s">
        <v>2</v>
      </c>
      <c r="B43" t="s">
        <v>32</v>
      </c>
      <c r="C43" t="s">
        <v>33</v>
      </c>
      <c r="D43" t="s">
        <v>3088</v>
      </c>
      <c r="E43" t="s">
        <v>3089</v>
      </c>
      <c r="F43" t="s">
        <v>3009</v>
      </c>
      <c r="G43" t="s">
        <v>1558</v>
      </c>
    </row>
    <row r="44" spans="1:7" ht="11.25" customHeight="1">
      <c r="A44" t="s">
        <v>2</v>
      </c>
      <c r="B44" t="s">
        <v>32</v>
      </c>
      <c r="C44" t="s">
        <v>33</v>
      </c>
      <c r="D44" t="s">
        <v>3090</v>
      </c>
      <c r="E44" t="s">
        <v>3091</v>
      </c>
      <c r="F44" t="s">
        <v>3009</v>
      </c>
      <c r="G44" t="s">
        <v>1567</v>
      </c>
    </row>
    <row r="45" spans="1:7" ht="11.25" customHeight="1">
      <c r="A45" t="s">
        <v>2</v>
      </c>
      <c r="B45" t="s">
        <v>32</v>
      </c>
      <c r="C45" t="s">
        <v>33</v>
      </c>
      <c r="D45" t="s">
        <v>3092</v>
      </c>
      <c r="E45" t="s">
        <v>3093</v>
      </c>
      <c r="F45" t="s">
        <v>3012</v>
      </c>
      <c r="G45" t="s">
        <v>1572</v>
      </c>
    </row>
    <row r="46" spans="1:7" ht="11.25" customHeight="1">
      <c r="A46" t="s">
        <v>2</v>
      </c>
      <c r="B46" t="s">
        <v>32</v>
      </c>
      <c r="C46" t="s">
        <v>33</v>
      </c>
      <c r="D46" t="s">
        <v>3094</v>
      </c>
      <c r="E46" t="s">
        <v>3095</v>
      </c>
      <c r="F46" t="s">
        <v>3012</v>
      </c>
      <c r="G46" t="s">
        <v>1575</v>
      </c>
    </row>
    <row r="47" spans="1:7" ht="11.25" customHeight="1">
      <c r="A47" t="s">
        <v>2</v>
      </c>
      <c r="B47" t="s">
        <v>32</v>
      </c>
      <c r="C47" t="s">
        <v>33</v>
      </c>
      <c r="D47" t="s">
        <v>3096</v>
      </c>
      <c r="E47" t="s">
        <v>3097</v>
      </c>
      <c r="F47" t="s">
        <v>3009</v>
      </c>
      <c r="G47" t="s">
        <v>1581</v>
      </c>
    </row>
    <row r="48" spans="1:7" ht="11.25" customHeight="1">
      <c r="A48" t="s">
        <v>2</v>
      </c>
      <c r="B48" t="s">
        <v>32</v>
      </c>
      <c r="C48" t="s">
        <v>33</v>
      </c>
      <c r="D48" t="s">
        <v>3098</v>
      </c>
      <c r="E48" t="s">
        <v>3099</v>
      </c>
      <c r="F48" t="s">
        <v>3009</v>
      </c>
      <c r="G48" t="s">
        <v>1586</v>
      </c>
    </row>
    <row r="49" spans="1:7" ht="11.25" customHeight="1">
      <c r="A49" t="s">
        <v>2</v>
      </c>
      <c r="B49" t="s">
        <v>32</v>
      </c>
      <c r="C49" t="s">
        <v>33</v>
      </c>
      <c r="D49" t="s">
        <v>3100</v>
      </c>
      <c r="E49" t="s">
        <v>3101</v>
      </c>
      <c r="F49" t="s">
        <v>3012</v>
      </c>
      <c r="G49" t="s">
        <v>1589</v>
      </c>
    </row>
    <row r="50" spans="1:7" ht="11.25" customHeight="1">
      <c r="A50" t="s">
        <v>2</v>
      </c>
      <c r="B50" t="s">
        <v>32</v>
      </c>
      <c r="C50" t="s">
        <v>33</v>
      </c>
      <c r="D50" t="s">
        <v>3102</v>
      </c>
      <c r="E50" t="s">
        <v>3103</v>
      </c>
      <c r="F50" t="s">
        <v>3012</v>
      </c>
      <c r="G50" t="s">
        <v>1593</v>
      </c>
    </row>
    <row r="51" spans="1:7" ht="11.25" customHeight="1">
      <c r="A51" t="s">
        <v>2</v>
      </c>
      <c r="B51" t="s">
        <v>32</v>
      </c>
      <c r="C51" t="s">
        <v>33</v>
      </c>
      <c r="D51" t="s">
        <v>3104</v>
      </c>
      <c r="E51" t="s">
        <v>3105</v>
      </c>
      <c r="F51" t="s">
        <v>3012</v>
      </c>
      <c r="G51" t="s">
        <v>1598</v>
      </c>
    </row>
    <row r="52" spans="1:7" ht="11.25" customHeight="1">
      <c r="A52" t="s">
        <v>2</v>
      </c>
      <c r="B52" t="s">
        <v>32</v>
      </c>
      <c r="C52" t="s">
        <v>33</v>
      </c>
      <c r="D52" t="s">
        <v>3106</v>
      </c>
      <c r="E52" t="s">
        <v>3107</v>
      </c>
      <c r="F52" t="s">
        <v>3012</v>
      </c>
      <c r="G52" t="s">
        <v>1602</v>
      </c>
    </row>
    <row r="53" spans="1:7" ht="11.25" customHeight="1">
      <c r="A53" t="s">
        <v>2</v>
      </c>
      <c r="B53" t="s">
        <v>32</v>
      </c>
      <c r="C53" t="s">
        <v>33</v>
      </c>
      <c r="D53" t="s">
        <v>3108</v>
      </c>
      <c r="E53" t="s">
        <v>3109</v>
      </c>
      <c r="F53" t="s">
        <v>3012</v>
      </c>
      <c r="G53" t="s">
        <v>1604</v>
      </c>
    </row>
    <row r="54" spans="1:7" ht="11.25" customHeight="1">
      <c r="A54" t="s">
        <v>2</v>
      </c>
      <c r="B54" t="s">
        <v>32</v>
      </c>
      <c r="C54" t="s">
        <v>33</v>
      </c>
      <c r="D54" t="s">
        <v>3110</v>
      </c>
      <c r="E54" t="s">
        <v>3111</v>
      </c>
      <c r="F54" t="s">
        <v>3012</v>
      </c>
      <c r="G54" t="s">
        <v>1607</v>
      </c>
    </row>
    <row r="55" spans="1:7" ht="11.25" customHeight="1">
      <c r="A55" t="s">
        <v>2</v>
      </c>
      <c r="B55" t="s">
        <v>32</v>
      </c>
      <c r="C55" t="s">
        <v>33</v>
      </c>
      <c r="D55" t="s">
        <v>3112</v>
      </c>
      <c r="E55" t="s">
        <v>3113</v>
      </c>
      <c r="F55" t="s">
        <v>3012</v>
      </c>
      <c r="G55" t="s">
        <v>1611</v>
      </c>
    </row>
    <row r="56" spans="1:7" ht="11.25" customHeight="1">
      <c r="A56" t="s">
        <v>2</v>
      </c>
      <c r="B56" t="s">
        <v>32</v>
      </c>
      <c r="C56" t="s">
        <v>33</v>
      </c>
      <c r="D56" t="s">
        <v>3114</v>
      </c>
      <c r="E56" t="s">
        <v>3115</v>
      </c>
      <c r="F56" t="s">
        <v>3012</v>
      </c>
      <c r="G56" t="s">
        <v>1614</v>
      </c>
    </row>
    <row r="57" spans="1:7" ht="11.25" customHeight="1">
      <c r="A57" t="s">
        <v>2</v>
      </c>
      <c r="B57" t="s">
        <v>32</v>
      </c>
      <c r="C57" t="s">
        <v>33</v>
      </c>
      <c r="D57" t="s">
        <v>3116</v>
      </c>
      <c r="E57" t="s">
        <v>3117</v>
      </c>
      <c r="F57" t="s">
        <v>3012</v>
      </c>
      <c r="G57" t="s">
        <v>1617</v>
      </c>
    </row>
    <row r="58" spans="1:7" ht="11.25" customHeight="1">
      <c r="A58" t="s">
        <v>2</v>
      </c>
      <c r="B58" t="s">
        <v>32</v>
      </c>
      <c r="C58" t="s">
        <v>33</v>
      </c>
      <c r="D58" t="s">
        <v>3118</v>
      </c>
      <c r="E58" t="s">
        <v>3119</v>
      </c>
      <c r="F58" t="s">
        <v>3009</v>
      </c>
      <c r="G58" t="s">
        <v>1620</v>
      </c>
    </row>
    <row r="59" spans="1:7" ht="11.25" customHeight="1">
      <c r="A59" t="s">
        <v>2</v>
      </c>
      <c r="B59" t="s">
        <v>32</v>
      </c>
      <c r="C59" t="s">
        <v>33</v>
      </c>
      <c r="D59" t="s">
        <v>3120</v>
      </c>
      <c r="E59" t="s">
        <v>3121</v>
      </c>
      <c r="F59" t="s">
        <v>3012</v>
      </c>
      <c r="G59" t="s">
        <v>1624</v>
      </c>
    </row>
    <row r="60" spans="1:7" ht="11.25" customHeight="1">
      <c r="A60" t="s">
        <v>2</v>
      </c>
      <c r="B60" t="s">
        <v>32</v>
      </c>
      <c r="C60" t="s">
        <v>33</v>
      </c>
      <c r="D60" t="s">
        <v>3122</v>
      </c>
      <c r="E60" t="s">
        <v>3123</v>
      </c>
      <c r="F60" t="s">
        <v>3012</v>
      </c>
      <c r="G60" t="s">
        <v>1627</v>
      </c>
    </row>
    <row r="61" spans="1:7" ht="11.25" customHeight="1">
      <c r="A61" t="s">
        <v>2</v>
      </c>
      <c r="B61" t="s">
        <v>32</v>
      </c>
      <c r="C61" t="s">
        <v>33</v>
      </c>
      <c r="D61" t="s">
        <v>3124</v>
      </c>
      <c r="E61" t="s">
        <v>3125</v>
      </c>
      <c r="F61" t="s">
        <v>3012</v>
      </c>
      <c r="G61" t="s">
        <v>3126</v>
      </c>
    </row>
    <row r="62" spans="1:7" ht="11.25" customHeight="1">
      <c r="A62" t="s">
        <v>2</v>
      </c>
      <c r="B62" t="s">
        <v>32</v>
      </c>
      <c r="C62" t="s">
        <v>33</v>
      </c>
      <c r="D62" t="s">
        <v>3127</v>
      </c>
      <c r="E62" t="s">
        <v>3128</v>
      </c>
      <c r="F62" t="s">
        <v>3012</v>
      </c>
      <c r="G62" t="s">
        <v>3129</v>
      </c>
    </row>
    <row r="63" spans="1:7" ht="11.25" customHeight="1">
      <c r="A63" t="s">
        <v>2</v>
      </c>
      <c r="B63" t="s">
        <v>32</v>
      </c>
      <c r="C63" t="s">
        <v>33</v>
      </c>
      <c r="D63" t="s">
        <v>3130</v>
      </c>
      <c r="E63" t="s">
        <v>3131</v>
      </c>
      <c r="F63" t="s">
        <v>3012</v>
      </c>
      <c r="G63" t="s">
        <v>3132</v>
      </c>
    </row>
    <row r="64" spans="1:7" ht="11.25" customHeight="1">
      <c r="A64" t="s">
        <v>2</v>
      </c>
      <c r="B64" t="s">
        <v>32</v>
      </c>
      <c r="C64" t="s">
        <v>33</v>
      </c>
      <c r="D64" t="s">
        <v>3133</v>
      </c>
      <c r="E64" t="s">
        <v>3134</v>
      </c>
      <c r="F64" t="s">
        <v>3012</v>
      </c>
      <c r="G64" t="s">
        <v>3135</v>
      </c>
    </row>
    <row r="65" spans="1:7" ht="11.25" customHeight="1">
      <c r="A65" t="s">
        <v>2</v>
      </c>
      <c r="B65" t="s">
        <v>32</v>
      </c>
      <c r="C65" t="s">
        <v>33</v>
      </c>
      <c r="D65" t="s">
        <v>3136</v>
      </c>
      <c r="E65" t="s">
        <v>3137</v>
      </c>
      <c r="F65" t="s">
        <v>3012</v>
      </c>
      <c r="G65" t="s">
        <v>3138</v>
      </c>
    </row>
    <row r="66" spans="1:7" ht="11.25" customHeight="1">
      <c r="A66" t="s">
        <v>2</v>
      </c>
      <c r="B66" t="s">
        <v>32</v>
      </c>
      <c r="C66" t="s">
        <v>33</v>
      </c>
      <c r="D66" t="s">
        <v>3139</v>
      </c>
      <c r="E66" t="s">
        <v>3140</v>
      </c>
      <c r="F66" t="s">
        <v>3012</v>
      </c>
      <c r="G66" t="s">
        <v>3141</v>
      </c>
    </row>
    <row r="67" spans="1:7" ht="11.25" customHeight="1">
      <c r="A67" t="s">
        <v>2</v>
      </c>
      <c r="B67" t="s">
        <v>32</v>
      </c>
      <c r="C67" t="s">
        <v>33</v>
      </c>
      <c r="D67" t="s">
        <v>3142</v>
      </c>
      <c r="E67" t="s">
        <v>3143</v>
      </c>
      <c r="F67" t="s">
        <v>3012</v>
      </c>
      <c r="G67" t="s">
        <v>1944</v>
      </c>
    </row>
    <row r="68" spans="1:7" ht="11.25" customHeight="1">
      <c r="A68" t="s">
        <v>2</v>
      </c>
      <c r="B68" t="s">
        <v>32</v>
      </c>
      <c r="C68" t="s">
        <v>33</v>
      </c>
      <c r="D68" t="s">
        <v>3144</v>
      </c>
      <c r="E68" t="s">
        <v>3145</v>
      </c>
      <c r="F68" t="s">
        <v>3012</v>
      </c>
      <c r="G68" t="s">
        <v>3146</v>
      </c>
    </row>
    <row r="69" spans="1:7" ht="11.25" customHeight="1">
      <c r="A69" t="s">
        <v>2</v>
      </c>
      <c r="B69" t="s">
        <v>32</v>
      </c>
      <c r="C69" t="s">
        <v>33</v>
      </c>
      <c r="D69" t="s">
        <v>3147</v>
      </c>
      <c r="E69" t="s">
        <v>3148</v>
      </c>
      <c r="F69" t="s">
        <v>3012</v>
      </c>
      <c r="G69" t="s">
        <v>2147</v>
      </c>
    </row>
    <row r="70" spans="1:7" ht="11.25" customHeight="1">
      <c r="A70" t="s">
        <v>2</v>
      </c>
      <c r="B70" t="s">
        <v>32</v>
      </c>
      <c r="C70" t="s">
        <v>33</v>
      </c>
      <c r="D70" t="s">
        <v>3149</v>
      </c>
      <c r="E70" t="s">
        <v>3150</v>
      </c>
      <c r="F70" t="s">
        <v>3009</v>
      </c>
      <c r="G70" t="s">
        <v>3151</v>
      </c>
    </row>
    <row r="71" spans="1:7" ht="11.25" customHeight="1">
      <c r="A71" t="s">
        <v>2</v>
      </c>
      <c r="B71" t="s">
        <v>32</v>
      </c>
      <c r="C71" t="s">
        <v>33</v>
      </c>
      <c r="D71" t="s">
        <v>3152</v>
      </c>
      <c r="E71" t="s">
        <v>3153</v>
      </c>
      <c r="F71" t="s">
        <v>3009</v>
      </c>
      <c r="G71" t="s">
        <v>3154</v>
      </c>
    </row>
    <row r="72" spans="1:7" ht="11.25" customHeight="1">
      <c r="A72" t="s">
        <v>2</v>
      </c>
      <c r="B72" t="s">
        <v>32</v>
      </c>
      <c r="C72" t="s">
        <v>33</v>
      </c>
      <c r="D72" t="s">
        <v>3155</v>
      </c>
      <c r="E72" t="s">
        <v>3156</v>
      </c>
      <c r="F72" t="s">
        <v>3009</v>
      </c>
      <c r="G72" t="s">
        <v>3157</v>
      </c>
    </row>
    <row r="73" spans="1:7" ht="11.25" customHeight="1">
      <c r="A73" t="s">
        <v>2</v>
      </c>
      <c r="B73" t="s">
        <v>32</v>
      </c>
      <c r="C73" t="s">
        <v>33</v>
      </c>
      <c r="D73" t="s">
        <v>3158</v>
      </c>
      <c r="E73" t="s">
        <v>3159</v>
      </c>
      <c r="F73" t="s">
        <v>3009</v>
      </c>
      <c r="G73" t="s">
        <v>3160</v>
      </c>
    </row>
    <row r="74" spans="1:7" ht="11.25" customHeight="1">
      <c r="A74" t="s">
        <v>2</v>
      </c>
      <c r="B74" t="s">
        <v>32</v>
      </c>
      <c r="C74" t="s">
        <v>33</v>
      </c>
      <c r="D74" t="s">
        <v>3161</v>
      </c>
      <c r="E74" t="s">
        <v>3162</v>
      </c>
      <c r="F74" t="s">
        <v>3012</v>
      </c>
      <c r="G74" t="s">
        <v>3163</v>
      </c>
    </row>
    <row r="75" spans="1:7" ht="11.25" customHeight="1">
      <c r="A75" t="s">
        <v>2</v>
      </c>
      <c r="B75" t="s">
        <v>32</v>
      </c>
      <c r="C75" t="s">
        <v>33</v>
      </c>
      <c r="D75" t="s">
        <v>3164</v>
      </c>
      <c r="E75" t="s">
        <v>3165</v>
      </c>
      <c r="F75" t="s">
        <v>3012</v>
      </c>
      <c r="G75" t="s">
        <v>3166</v>
      </c>
    </row>
    <row r="76" spans="1:7" ht="11.25" customHeight="1">
      <c r="A76" t="s">
        <v>2</v>
      </c>
      <c r="B76" t="s">
        <v>32</v>
      </c>
      <c r="C76" t="s">
        <v>33</v>
      </c>
      <c r="D76" t="s">
        <v>3167</v>
      </c>
      <c r="E76" t="s">
        <v>3168</v>
      </c>
      <c r="F76" t="s">
        <v>3012</v>
      </c>
      <c r="G76" t="s">
        <v>3169</v>
      </c>
    </row>
    <row r="77" spans="1:7" ht="11.25" customHeight="1">
      <c r="A77" t="s">
        <v>2</v>
      </c>
      <c r="B77" t="s">
        <v>32</v>
      </c>
      <c r="C77" t="s">
        <v>33</v>
      </c>
      <c r="D77" t="s">
        <v>3170</v>
      </c>
      <c r="E77" t="s">
        <v>3171</v>
      </c>
      <c r="F77" t="s">
        <v>3012</v>
      </c>
      <c r="G77" t="s">
        <v>3172</v>
      </c>
    </row>
    <row r="78" spans="1:7" ht="11.25" customHeight="1">
      <c r="A78" t="s">
        <v>2</v>
      </c>
      <c r="B78" t="s">
        <v>32</v>
      </c>
      <c r="C78" t="s">
        <v>33</v>
      </c>
      <c r="D78" t="s">
        <v>3173</v>
      </c>
      <c r="E78" t="s">
        <v>3174</v>
      </c>
      <c r="F78" t="s">
        <v>3012</v>
      </c>
      <c r="G78" t="s">
        <v>3175</v>
      </c>
    </row>
    <row r="79" spans="1:7" ht="11.25" customHeight="1">
      <c r="A79" t="s">
        <v>2</v>
      </c>
      <c r="B79" t="s">
        <v>32</v>
      </c>
      <c r="C79" t="s">
        <v>33</v>
      </c>
      <c r="D79" t="s">
        <v>3176</v>
      </c>
      <c r="E79" t="s">
        <v>3177</v>
      </c>
      <c r="F79" t="s">
        <v>3009</v>
      </c>
      <c r="G79" t="s">
        <v>3178</v>
      </c>
    </row>
    <row r="80" spans="1:7" ht="11.25" customHeight="1">
      <c r="A80" t="s">
        <v>2</v>
      </c>
      <c r="B80" t="s">
        <v>32</v>
      </c>
      <c r="C80" t="s">
        <v>33</v>
      </c>
      <c r="D80" t="s">
        <v>3179</v>
      </c>
      <c r="E80" t="s">
        <v>3180</v>
      </c>
      <c r="F80" t="s">
        <v>3009</v>
      </c>
      <c r="G80" t="s">
        <v>3181</v>
      </c>
    </row>
    <row r="81" spans="1:7" ht="11.25" customHeight="1">
      <c r="A81" t="s">
        <v>2</v>
      </c>
      <c r="B81" t="s">
        <v>32</v>
      </c>
      <c r="C81" t="s">
        <v>33</v>
      </c>
      <c r="D81" t="s">
        <v>3182</v>
      </c>
      <c r="E81" t="s">
        <v>3183</v>
      </c>
      <c r="F81" t="s">
        <v>3009</v>
      </c>
      <c r="G81" t="s">
        <v>3184</v>
      </c>
    </row>
    <row r="82" spans="1:7" ht="11.25" customHeight="1">
      <c r="A82" t="s">
        <v>2</v>
      </c>
      <c r="B82" t="s">
        <v>32</v>
      </c>
      <c r="C82" t="s">
        <v>33</v>
      </c>
      <c r="D82" t="s">
        <v>3185</v>
      </c>
      <c r="E82" t="s">
        <v>3186</v>
      </c>
      <c r="F82" t="s">
        <v>3012</v>
      </c>
      <c r="G82" t="s">
        <v>3187</v>
      </c>
    </row>
    <row r="83" spans="1:7" ht="11.25" customHeight="1">
      <c r="A83" t="s">
        <v>2</v>
      </c>
      <c r="B83" t="s">
        <v>32</v>
      </c>
      <c r="C83" t="s">
        <v>33</v>
      </c>
      <c r="D83" t="s">
        <v>3188</v>
      </c>
      <c r="E83" t="s">
        <v>3189</v>
      </c>
      <c r="F83" t="s">
        <v>3012</v>
      </c>
      <c r="G83" t="s">
        <v>3190</v>
      </c>
    </row>
    <row r="84" spans="1:7" ht="11.25" customHeight="1">
      <c r="A84" t="s">
        <v>2</v>
      </c>
      <c r="B84" t="s">
        <v>32</v>
      </c>
      <c r="C84" t="s">
        <v>33</v>
      </c>
      <c r="D84" t="s">
        <v>3191</v>
      </c>
      <c r="E84" t="s">
        <v>3192</v>
      </c>
      <c r="F84" t="s">
        <v>3012</v>
      </c>
      <c r="G84" t="s">
        <v>3193</v>
      </c>
    </row>
    <row r="85" spans="1:7" ht="11.25" customHeight="1">
      <c r="A85" t="s">
        <v>2</v>
      </c>
      <c r="B85" t="s">
        <v>32</v>
      </c>
      <c r="C85" t="s">
        <v>33</v>
      </c>
      <c r="D85" t="s">
        <v>3194</v>
      </c>
      <c r="E85" t="s">
        <v>3195</v>
      </c>
      <c r="F85" t="s">
        <v>3012</v>
      </c>
      <c r="G85" t="s">
        <v>3196</v>
      </c>
    </row>
    <row r="86" spans="1:7" ht="11.25" customHeight="1">
      <c r="A86" t="s">
        <v>2</v>
      </c>
      <c r="B86" t="s">
        <v>32</v>
      </c>
      <c r="C86" t="s">
        <v>33</v>
      </c>
      <c r="D86" t="s">
        <v>3197</v>
      </c>
      <c r="E86" t="s">
        <v>3198</v>
      </c>
      <c r="F86" t="s">
        <v>3012</v>
      </c>
      <c r="G86" t="s">
        <v>3199</v>
      </c>
    </row>
    <row r="87" spans="1:7" ht="11.25" customHeight="1">
      <c r="A87" t="s">
        <v>2</v>
      </c>
      <c r="B87" t="s">
        <v>32</v>
      </c>
      <c r="C87" t="s">
        <v>33</v>
      </c>
      <c r="D87" t="s">
        <v>3200</v>
      </c>
      <c r="E87" t="s">
        <v>3201</v>
      </c>
      <c r="F87" t="s">
        <v>3012</v>
      </c>
      <c r="G87" t="s">
        <v>3202</v>
      </c>
    </row>
    <row r="88" spans="1:7" ht="11.25" customHeight="1">
      <c r="A88" t="s">
        <v>2</v>
      </c>
      <c r="B88" t="s">
        <v>32</v>
      </c>
      <c r="C88" t="s">
        <v>33</v>
      </c>
      <c r="D88" t="s">
        <v>3203</v>
      </c>
      <c r="E88" t="s">
        <v>3204</v>
      </c>
      <c r="F88" t="s">
        <v>3012</v>
      </c>
      <c r="G88" t="s">
        <v>3205</v>
      </c>
    </row>
    <row r="89" spans="1:7" ht="11.25" customHeight="1">
      <c r="A89" t="s">
        <v>2</v>
      </c>
      <c r="B89" t="s">
        <v>32</v>
      </c>
      <c r="C89" t="s">
        <v>33</v>
      </c>
      <c r="D89" t="s">
        <v>3206</v>
      </c>
      <c r="E89" t="s">
        <v>3207</v>
      </c>
      <c r="F89" t="s">
        <v>3012</v>
      </c>
      <c r="G89" t="s">
        <v>3208</v>
      </c>
    </row>
    <row r="90" spans="1:7" ht="11.25" customHeight="1">
      <c r="A90" t="s">
        <v>2</v>
      </c>
      <c r="B90" t="s">
        <v>32</v>
      </c>
      <c r="C90" t="s">
        <v>33</v>
      </c>
      <c r="D90" t="s">
        <v>3209</v>
      </c>
      <c r="E90" t="s">
        <v>3210</v>
      </c>
      <c r="F90" t="s">
        <v>3012</v>
      </c>
      <c r="G90" t="s">
        <v>3211</v>
      </c>
    </row>
    <row r="91" spans="1:7" ht="11.25" customHeight="1">
      <c r="A91" t="s">
        <v>2</v>
      </c>
      <c r="B91" t="s">
        <v>32</v>
      </c>
      <c r="C91" t="s">
        <v>33</v>
      </c>
      <c r="D91" t="s">
        <v>3212</v>
      </c>
      <c r="E91" t="s">
        <v>3213</v>
      </c>
      <c r="F91" t="s">
        <v>3012</v>
      </c>
      <c r="G91" t="s">
        <v>3214</v>
      </c>
    </row>
    <row r="92" spans="1:7" ht="11.25" customHeight="1">
      <c r="A92" t="s">
        <v>2</v>
      </c>
      <c r="B92" t="s">
        <v>32</v>
      </c>
      <c r="C92" t="s">
        <v>33</v>
      </c>
      <c r="D92" t="s">
        <v>3215</v>
      </c>
      <c r="E92" t="s">
        <v>3216</v>
      </c>
      <c r="F92" t="s">
        <v>3012</v>
      </c>
      <c r="G92" t="s">
        <v>3217</v>
      </c>
    </row>
    <row r="93" spans="1:7" ht="11.25" customHeight="1">
      <c r="A93" t="s">
        <v>2</v>
      </c>
      <c r="B93" t="s">
        <v>32</v>
      </c>
      <c r="C93" t="s">
        <v>33</v>
      </c>
      <c r="D93" t="s">
        <v>3218</v>
      </c>
      <c r="E93" t="s">
        <v>3219</v>
      </c>
      <c r="F93" t="s">
        <v>3012</v>
      </c>
      <c r="G93" t="s">
        <v>3220</v>
      </c>
    </row>
    <row r="94" spans="1:7" ht="11.25" customHeight="1">
      <c r="A94" t="s">
        <v>2</v>
      </c>
      <c r="B94" t="s">
        <v>32</v>
      </c>
      <c r="C94" t="s">
        <v>33</v>
      </c>
      <c r="D94" t="s">
        <v>3221</v>
      </c>
      <c r="E94" t="s">
        <v>3222</v>
      </c>
      <c r="F94" t="s">
        <v>3012</v>
      </c>
      <c r="G94" t="s">
        <v>3223</v>
      </c>
    </row>
    <row r="95" spans="1:7" ht="11.25" customHeight="1">
      <c r="A95" t="s">
        <v>2</v>
      </c>
      <c r="B95" t="s">
        <v>32</v>
      </c>
      <c r="C95" t="s">
        <v>33</v>
      </c>
      <c r="D95" t="s">
        <v>3224</v>
      </c>
      <c r="E95" t="s">
        <v>3225</v>
      </c>
      <c r="F95" t="s">
        <v>3012</v>
      </c>
      <c r="G95" t="s">
        <v>3226</v>
      </c>
    </row>
    <row r="96" spans="1:7" ht="11.25" customHeight="1">
      <c r="A96" t="s">
        <v>2</v>
      </c>
      <c r="B96" t="s">
        <v>32</v>
      </c>
      <c r="C96" t="s">
        <v>33</v>
      </c>
      <c r="D96" t="s">
        <v>3227</v>
      </c>
      <c r="E96" t="s">
        <v>3228</v>
      </c>
      <c r="F96" t="s">
        <v>3012</v>
      </c>
      <c r="G96" t="s">
        <v>3229</v>
      </c>
    </row>
    <row r="97" spans="1:7" ht="11.25" customHeight="1">
      <c r="A97" t="s">
        <v>2</v>
      </c>
      <c r="B97" t="s">
        <v>32</v>
      </c>
      <c r="C97" t="s">
        <v>33</v>
      </c>
      <c r="D97" t="s">
        <v>3230</v>
      </c>
      <c r="E97" t="s">
        <v>3231</v>
      </c>
      <c r="F97" t="s">
        <v>3009</v>
      </c>
      <c r="G97" t="s">
        <v>3232</v>
      </c>
    </row>
    <row r="98" spans="1:7" ht="11.25" customHeight="1">
      <c r="A98" t="s">
        <v>2</v>
      </c>
      <c r="B98" t="s">
        <v>32</v>
      </c>
      <c r="C98" t="s">
        <v>33</v>
      </c>
      <c r="D98" t="s">
        <v>3233</v>
      </c>
      <c r="E98" t="s">
        <v>3234</v>
      </c>
      <c r="F98" t="s">
        <v>3012</v>
      </c>
      <c r="G98" t="s">
        <v>3235</v>
      </c>
    </row>
    <row r="99" spans="1:7" ht="11.25" customHeight="1">
      <c r="A99" t="s">
        <v>2</v>
      </c>
      <c r="B99" t="s">
        <v>32</v>
      </c>
      <c r="C99" t="s">
        <v>33</v>
      </c>
      <c r="D99" t="s">
        <v>3236</v>
      </c>
      <c r="E99" t="s">
        <v>3237</v>
      </c>
      <c r="F99" t="s">
        <v>3012</v>
      </c>
      <c r="G99" t="s">
        <v>3238</v>
      </c>
    </row>
    <row r="100" spans="1:7" ht="11.25" customHeight="1">
      <c r="A100" t="s">
        <v>2</v>
      </c>
      <c r="B100" t="s">
        <v>32</v>
      </c>
      <c r="C100" t="s">
        <v>33</v>
      </c>
      <c r="D100" t="s">
        <v>3239</v>
      </c>
      <c r="E100" t="s">
        <v>3240</v>
      </c>
      <c r="F100" t="s">
        <v>3012</v>
      </c>
      <c r="G100" t="s">
        <v>3241</v>
      </c>
    </row>
    <row r="101" spans="1:7" ht="11.25" customHeight="1">
      <c r="A101" t="s">
        <v>2</v>
      </c>
      <c r="B101" t="s">
        <v>32</v>
      </c>
      <c r="C101" t="s">
        <v>33</v>
      </c>
      <c r="D101" t="s">
        <v>3242</v>
      </c>
      <c r="E101" t="s">
        <v>3243</v>
      </c>
      <c r="F101" t="s">
        <v>3012</v>
      </c>
      <c r="G101" t="s">
        <v>3244</v>
      </c>
    </row>
    <row r="102" spans="1:7" ht="11.25" customHeight="1">
      <c r="A102" t="s">
        <v>2</v>
      </c>
      <c r="B102" t="s">
        <v>32</v>
      </c>
      <c r="C102" t="s">
        <v>33</v>
      </c>
      <c r="D102" t="s">
        <v>3245</v>
      </c>
      <c r="E102" t="s">
        <v>3246</v>
      </c>
      <c r="F102" t="s">
        <v>3012</v>
      </c>
      <c r="G102" t="s">
        <v>3247</v>
      </c>
    </row>
    <row r="103" spans="1:7" ht="11.25" customHeight="1">
      <c r="A103" t="s">
        <v>2</v>
      </c>
      <c r="B103" t="s">
        <v>32</v>
      </c>
      <c r="C103" t="s">
        <v>33</v>
      </c>
      <c r="D103" t="s">
        <v>3248</v>
      </c>
      <c r="E103" t="s">
        <v>3249</v>
      </c>
      <c r="F103" t="s">
        <v>3012</v>
      </c>
      <c r="G103" t="s">
        <v>3250</v>
      </c>
    </row>
    <row r="104" spans="1:7" ht="11.25" customHeight="1">
      <c r="A104" t="s">
        <v>2</v>
      </c>
      <c r="B104" t="s">
        <v>32</v>
      </c>
      <c r="C104" t="s">
        <v>33</v>
      </c>
      <c r="D104" t="s">
        <v>3251</v>
      </c>
      <c r="E104" t="s">
        <v>3252</v>
      </c>
      <c r="F104" t="s">
        <v>3012</v>
      </c>
      <c r="G104" t="s">
        <v>3253</v>
      </c>
    </row>
    <row r="105" spans="1:7" ht="11.25" customHeight="1">
      <c r="A105" t="s">
        <v>2</v>
      </c>
      <c r="B105" t="s">
        <v>32</v>
      </c>
      <c r="C105" t="s">
        <v>33</v>
      </c>
      <c r="D105" t="s">
        <v>3254</v>
      </c>
      <c r="E105" t="s">
        <v>3255</v>
      </c>
      <c r="F105" t="s">
        <v>3012</v>
      </c>
      <c r="G105" t="s">
        <v>3256</v>
      </c>
    </row>
    <row r="106" spans="1:7" ht="11.25" customHeight="1">
      <c r="A106" t="s">
        <v>2</v>
      </c>
      <c r="B106" t="s">
        <v>32</v>
      </c>
      <c r="C106" t="s">
        <v>33</v>
      </c>
      <c r="D106" t="s">
        <v>3257</v>
      </c>
      <c r="E106" t="s">
        <v>3258</v>
      </c>
      <c r="F106" t="s">
        <v>3012</v>
      </c>
      <c r="G106" t="s">
        <v>3259</v>
      </c>
    </row>
    <row r="107" spans="1:7" ht="11.25" customHeight="1">
      <c r="A107" t="s">
        <v>2</v>
      </c>
      <c r="B107" t="s">
        <v>32</v>
      </c>
      <c r="C107" t="s">
        <v>33</v>
      </c>
      <c r="D107" t="s">
        <v>3260</v>
      </c>
      <c r="E107" t="s">
        <v>3261</v>
      </c>
      <c r="F107" t="s">
        <v>3009</v>
      </c>
      <c r="G107" t="s">
        <v>3262</v>
      </c>
    </row>
    <row r="108" spans="1:7" ht="11.25" customHeight="1">
      <c r="A108" t="s">
        <v>2</v>
      </c>
      <c r="B108" t="s">
        <v>32</v>
      </c>
      <c r="C108" t="s">
        <v>33</v>
      </c>
      <c r="D108" t="s">
        <v>3263</v>
      </c>
      <c r="E108" t="s">
        <v>3264</v>
      </c>
      <c r="F108" t="s">
        <v>3012</v>
      </c>
      <c r="G108" t="s">
        <v>3265</v>
      </c>
    </row>
    <row r="109" spans="1:7" ht="11.25" customHeight="1">
      <c r="A109" t="s">
        <v>2</v>
      </c>
      <c r="B109" t="s">
        <v>32</v>
      </c>
      <c r="C109" t="s">
        <v>33</v>
      </c>
      <c r="D109" t="s">
        <v>3266</v>
      </c>
      <c r="E109" t="s">
        <v>3267</v>
      </c>
      <c r="F109" t="s">
        <v>3012</v>
      </c>
      <c r="G109" t="s">
        <v>3268</v>
      </c>
    </row>
    <row r="110" spans="1:7" ht="11.25" customHeight="1">
      <c r="A110" t="s">
        <v>2</v>
      </c>
      <c r="B110" t="s">
        <v>32</v>
      </c>
      <c r="C110" t="s">
        <v>33</v>
      </c>
      <c r="D110" t="s">
        <v>3269</v>
      </c>
      <c r="E110" t="s">
        <v>3270</v>
      </c>
      <c r="F110" t="s">
        <v>3012</v>
      </c>
      <c r="G110" t="s">
        <v>3271</v>
      </c>
    </row>
    <row r="111" spans="1:7" ht="11.25" customHeight="1">
      <c r="A111" t="s">
        <v>2</v>
      </c>
      <c r="B111" t="s">
        <v>32</v>
      </c>
      <c r="C111" t="s">
        <v>33</v>
      </c>
      <c r="D111" t="s">
        <v>3272</v>
      </c>
      <c r="E111" t="s">
        <v>3273</v>
      </c>
      <c r="F111" t="s">
        <v>3012</v>
      </c>
      <c r="G111" t="s">
        <v>3274</v>
      </c>
    </row>
    <row r="112" spans="1:7" ht="11.25" customHeight="1">
      <c r="A112" t="s">
        <v>2</v>
      </c>
      <c r="B112" t="s">
        <v>32</v>
      </c>
      <c r="C112" t="s">
        <v>33</v>
      </c>
      <c r="D112" t="s">
        <v>3275</v>
      </c>
      <c r="E112" t="s">
        <v>3276</v>
      </c>
      <c r="F112" t="s">
        <v>3009</v>
      </c>
      <c r="G112" t="s">
        <v>3277</v>
      </c>
    </row>
    <row r="113" spans="1:7" ht="11.25" customHeight="1">
      <c r="A113" t="s">
        <v>2</v>
      </c>
      <c r="B113" t="s">
        <v>32</v>
      </c>
      <c r="C113" t="s">
        <v>33</v>
      </c>
      <c r="D113" t="s">
        <v>3278</v>
      </c>
      <c r="E113" t="s">
        <v>3279</v>
      </c>
      <c r="F113" t="s">
        <v>3012</v>
      </c>
      <c r="G113" t="s">
        <v>3280</v>
      </c>
    </row>
    <row r="114" spans="1:7" ht="11.25" customHeight="1">
      <c r="A114" t="s">
        <v>2</v>
      </c>
      <c r="B114" t="s">
        <v>32</v>
      </c>
      <c r="C114" t="s">
        <v>33</v>
      </c>
      <c r="D114" t="s">
        <v>3281</v>
      </c>
      <c r="E114" t="s">
        <v>3282</v>
      </c>
      <c r="F114" t="s">
        <v>3012</v>
      </c>
      <c r="G114" t="s">
        <v>3283</v>
      </c>
    </row>
    <row r="115" spans="1:7" ht="11.25" customHeight="1">
      <c r="A115" t="s">
        <v>2</v>
      </c>
      <c r="B115" t="s">
        <v>32</v>
      </c>
      <c r="C115" t="s">
        <v>33</v>
      </c>
      <c r="D115" t="s">
        <v>3284</v>
      </c>
      <c r="E115" t="s">
        <v>3285</v>
      </c>
      <c r="F115" t="s">
        <v>3012</v>
      </c>
      <c r="G115" t="s">
        <v>3286</v>
      </c>
    </row>
    <row r="116" spans="1:7" ht="11.25" customHeight="1">
      <c r="A116" t="s">
        <v>2</v>
      </c>
      <c r="B116" t="s">
        <v>32</v>
      </c>
      <c r="C116" t="s">
        <v>33</v>
      </c>
      <c r="D116" t="s">
        <v>3287</v>
      </c>
      <c r="E116" t="s">
        <v>3288</v>
      </c>
      <c r="F116" t="s">
        <v>3012</v>
      </c>
      <c r="G116" t="s">
        <v>3289</v>
      </c>
    </row>
    <row r="117" spans="1:7" ht="11.25" customHeight="1">
      <c r="A117" t="s">
        <v>2</v>
      </c>
      <c r="B117" t="s">
        <v>32</v>
      </c>
      <c r="C117" t="s">
        <v>33</v>
      </c>
      <c r="D117" t="s">
        <v>3290</v>
      </c>
      <c r="E117" t="s">
        <v>3291</v>
      </c>
      <c r="F117" t="s">
        <v>3009</v>
      </c>
      <c r="G117" t="s">
        <v>3292</v>
      </c>
    </row>
    <row r="118" spans="1:7" ht="11.25" customHeight="1">
      <c r="A118" t="s">
        <v>2</v>
      </c>
      <c r="B118" t="s">
        <v>32</v>
      </c>
      <c r="C118" t="s">
        <v>33</v>
      </c>
      <c r="D118" t="s">
        <v>3293</v>
      </c>
      <c r="E118" t="s">
        <v>3294</v>
      </c>
      <c r="F118" t="s">
        <v>3012</v>
      </c>
      <c r="G118" t="s">
        <v>3295</v>
      </c>
    </row>
    <row r="119" spans="1:7" ht="11.25" customHeight="1">
      <c r="A119" t="s">
        <v>2</v>
      </c>
      <c r="B119" t="s">
        <v>32</v>
      </c>
      <c r="C119" t="s">
        <v>33</v>
      </c>
      <c r="D119" t="s">
        <v>3296</v>
      </c>
      <c r="E119" t="s">
        <v>3297</v>
      </c>
      <c r="F119" t="s">
        <v>3012</v>
      </c>
      <c r="G119" t="s">
        <v>3298</v>
      </c>
    </row>
    <row r="120" spans="1:7" ht="11.25" customHeight="1">
      <c r="A120" t="s">
        <v>2</v>
      </c>
      <c r="B120" t="s">
        <v>32</v>
      </c>
      <c r="C120" t="s">
        <v>33</v>
      </c>
      <c r="D120" t="s">
        <v>3299</v>
      </c>
      <c r="E120" t="s">
        <v>3300</v>
      </c>
      <c r="F120" t="s">
        <v>3012</v>
      </c>
      <c r="G120" t="s">
        <v>3301</v>
      </c>
    </row>
    <row r="121" spans="1:7" ht="11.25" customHeight="1">
      <c r="A121" t="s">
        <v>2</v>
      </c>
      <c r="B121" t="s">
        <v>32</v>
      </c>
      <c r="C121" t="s">
        <v>33</v>
      </c>
      <c r="D121" t="s">
        <v>3302</v>
      </c>
      <c r="E121" t="s">
        <v>3303</v>
      </c>
      <c r="F121" t="s">
        <v>3012</v>
      </c>
      <c r="G121" t="s">
        <v>3304</v>
      </c>
    </row>
    <row r="122" spans="1:7" ht="11.25" customHeight="1">
      <c r="A122" t="s">
        <v>2</v>
      </c>
      <c r="B122" t="s">
        <v>32</v>
      </c>
      <c r="C122" t="s">
        <v>33</v>
      </c>
      <c r="D122" t="s">
        <v>3305</v>
      </c>
      <c r="E122" t="s">
        <v>3306</v>
      </c>
      <c r="F122" t="s">
        <v>3009</v>
      </c>
      <c r="G122" t="s">
        <v>3307</v>
      </c>
    </row>
    <row r="123" spans="1:7" ht="11.25" customHeight="1">
      <c r="A123" t="s">
        <v>2</v>
      </c>
      <c r="B123" t="s">
        <v>32</v>
      </c>
      <c r="C123" t="s">
        <v>33</v>
      </c>
      <c r="D123" t="s">
        <v>3308</v>
      </c>
      <c r="E123" t="s">
        <v>3309</v>
      </c>
      <c r="F123" t="s">
        <v>3009</v>
      </c>
      <c r="G123" t="s">
        <v>3310</v>
      </c>
    </row>
    <row r="124" spans="1:7" ht="11.25" customHeight="1">
      <c r="A124" t="s">
        <v>2</v>
      </c>
      <c r="B124" t="s">
        <v>32</v>
      </c>
      <c r="C124" t="s">
        <v>33</v>
      </c>
      <c r="D124" t="s">
        <v>3311</v>
      </c>
      <c r="E124" t="s">
        <v>3312</v>
      </c>
      <c r="F124" t="s">
        <v>3009</v>
      </c>
      <c r="G124" t="s">
        <v>3313</v>
      </c>
    </row>
    <row r="125" spans="1:7" ht="11.25" customHeight="1">
      <c r="A125" t="s">
        <v>2</v>
      </c>
      <c r="B125" t="s">
        <v>32</v>
      </c>
      <c r="C125" t="s">
        <v>33</v>
      </c>
      <c r="D125" t="s">
        <v>3314</v>
      </c>
      <c r="E125" t="s">
        <v>3315</v>
      </c>
      <c r="F125" t="s">
        <v>3009</v>
      </c>
      <c r="G125" t="s">
        <v>3316</v>
      </c>
    </row>
    <row r="126" spans="1:7" ht="11.25" customHeight="1">
      <c r="A126" t="s">
        <v>2</v>
      </c>
      <c r="B126" t="s">
        <v>32</v>
      </c>
      <c r="C126" t="s">
        <v>33</v>
      </c>
      <c r="D126" t="s">
        <v>3317</v>
      </c>
      <c r="E126" t="s">
        <v>3318</v>
      </c>
      <c r="F126" t="s">
        <v>3009</v>
      </c>
      <c r="G126" t="s">
        <v>3319</v>
      </c>
    </row>
    <row r="127" spans="1:7" ht="11.25" customHeight="1">
      <c r="A127" t="s">
        <v>2</v>
      </c>
      <c r="B127" t="s">
        <v>32</v>
      </c>
      <c r="C127" t="s">
        <v>33</v>
      </c>
      <c r="D127" t="s">
        <v>3320</v>
      </c>
      <c r="E127" t="s">
        <v>3321</v>
      </c>
      <c r="F127" t="s">
        <v>3009</v>
      </c>
      <c r="G127" t="s">
        <v>3322</v>
      </c>
    </row>
    <row r="128" spans="1:7" ht="11.25" customHeight="1">
      <c r="A128" t="s">
        <v>2</v>
      </c>
      <c r="B128" t="s">
        <v>32</v>
      </c>
      <c r="C128" t="s">
        <v>33</v>
      </c>
      <c r="D128" t="s">
        <v>3323</v>
      </c>
      <c r="E128" t="s">
        <v>3324</v>
      </c>
      <c r="F128" t="s">
        <v>3012</v>
      </c>
      <c r="G128" t="s">
        <v>3325</v>
      </c>
    </row>
    <row r="129" spans="1:7" ht="11.25" customHeight="1">
      <c r="A129" t="s">
        <v>2</v>
      </c>
      <c r="B129" t="s">
        <v>32</v>
      </c>
      <c r="C129" t="s">
        <v>33</v>
      </c>
      <c r="D129" t="s">
        <v>3326</v>
      </c>
      <c r="E129" t="s">
        <v>3327</v>
      </c>
      <c r="F129" t="s">
        <v>3009</v>
      </c>
      <c r="G129" t="s">
        <v>3328</v>
      </c>
    </row>
    <row r="130" spans="1:7" ht="11.25" customHeight="1">
      <c r="A130" t="s">
        <v>2</v>
      </c>
      <c r="B130" t="s">
        <v>32</v>
      </c>
      <c r="C130" t="s">
        <v>33</v>
      </c>
      <c r="D130" t="s">
        <v>3329</v>
      </c>
      <c r="E130" t="s">
        <v>3330</v>
      </c>
      <c r="F130" t="s">
        <v>3012</v>
      </c>
      <c r="G130" t="s">
        <v>3331</v>
      </c>
    </row>
    <row r="131" spans="1:7" ht="11.25" customHeight="1">
      <c r="A131" t="s">
        <v>2</v>
      </c>
      <c r="B131" t="s">
        <v>32</v>
      </c>
      <c r="C131" t="s">
        <v>33</v>
      </c>
      <c r="D131" t="s">
        <v>3332</v>
      </c>
      <c r="E131" t="s">
        <v>3333</v>
      </c>
      <c r="F131" t="s">
        <v>3012</v>
      </c>
      <c r="G131" t="s">
        <v>3334</v>
      </c>
    </row>
    <row r="132" spans="1:7" ht="11.25" customHeight="1">
      <c r="A132" t="s">
        <v>2</v>
      </c>
      <c r="B132" t="s">
        <v>32</v>
      </c>
      <c r="C132" t="s">
        <v>33</v>
      </c>
      <c r="D132" t="s">
        <v>3335</v>
      </c>
      <c r="E132" t="s">
        <v>3336</v>
      </c>
      <c r="F132" t="s">
        <v>3012</v>
      </c>
      <c r="G132" t="s">
        <v>3337</v>
      </c>
    </row>
    <row r="133" spans="1:7" ht="11.25" customHeight="1">
      <c r="A133" t="s">
        <v>2</v>
      </c>
      <c r="B133" t="s">
        <v>32</v>
      </c>
      <c r="C133" t="s">
        <v>33</v>
      </c>
      <c r="D133" t="s">
        <v>3338</v>
      </c>
      <c r="E133" t="s">
        <v>3339</v>
      </c>
      <c r="F133" t="s">
        <v>3012</v>
      </c>
      <c r="G133" t="s">
        <v>3340</v>
      </c>
    </row>
    <row r="134" spans="1:7" ht="11.25" customHeight="1">
      <c r="A134" t="s">
        <v>2</v>
      </c>
      <c r="B134" t="s">
        <v>32</v>
      </c>
      <c r="C134" t="s">
        <v>33</v>
      </c>
      <c r="D134" t="s">
        <v>3341</v>
      </c>
      <c r="E134" t="s">
        <v>3342</v>
      </c>
      <c r="F134" t="s">
        <v>3012</v>
      </c>
      <c r="G134" t="s">
        <v>3343</v>
      </c>
    </row>
    <row r="135" spans="1:7" ht="11.25" customHeight="1">
      <c r="A135" t="s">
        <v>2</v>
      </c>
      <c r="B135" t="s">
        <v>32</v>
      </c>
      <c r="C135" t="s">
        <v>33</v>
      </c>
      <c r="D135" t="s">
        <v>3344</v>
      </c>
      <c r="E135" t="s">
        <v>3345</v>
      </c>
      <c r="F135" t="s">
        <v>3009</v>
      </c>
      <c r="G135" t="s">
        <v>3346</v>
      </c>
    </row>
    <row r="136" spans="1:7" ht="11.25" customHeight="1">
      <c r="A136" t="s">
        <v>2</v>
      </c>
      <c r="B136" t="s">
        <v>32</v>
      </c>
      <c r="C136" t="s">
        <v>33</v>
      </c>
      <c r="D136" t="s">
        <v>3347</v>
      </c>
      <c r="E136" t="s">
        <v>3348</v>
      </c>
      <c r="F136" t="s">
        <v>3009</v>
      </c>
      <c r="G136" t="s">
        <v>3349</v>
      </c>
    </row>
    <row r="137" spans="1:7" ht="11.25" customHeight="1">
      <c r="A137" t="s">
        <v>2</v>
      </c>
      <c r="B137" t="s">
        <v>32</v>
      </c>
      <c r="C137" t="s">
        <v>33</v>
      </c>
      <c r="D137" t="s">
        <v>3350</v>
      </c>
      <c r="E137" t="s">
        <v>3351</v>
      </c>
      <c r="F137" t="s">
        <v>3009</v>
      </c>
      <c r="G137" t="s">
        <v>3352</v>
      </c>
    </row>
    <row r="138" spans="1:7" ht="11.25" customHeight="1">
      <c r="A138" t="s">
        <v>2</v>
      </c>
      <c r="B138" t="s">
        <v>32</v>
      </c>
      <c r="C138" t="s">
        <v>33</v>
      </c>
      <c r="D138" t="s">
        <v>3353</v>
      </c>
      <c r="E138" t="s">
        <v>3354</v>
      </c>
      <c r="F138" t="s">
        <v>3009</v>
      </c>
      <c r="G138" t="s">
        <v>3355</v>
      </c>
    </row>
    <row r="139" spans="1:7" ht="11.25" customHeight="1">
      <c r="A139" t="s">
        <v>2</v>
      </c>
      <c r="B139" t="s">
        <v>32</v>
      </c>
      <c r="C139" t="s">
        <v>33</v>
      </c>
      <c r="D139" t="s">
        <v>3356</v>
      </c>
      <c r="E139" t="s">
        <v>3357</v>
      </c>
      <c r="F139" t="s">
        <v>3009</v>
      </c>
      <c r="G139" t="s">
        <v>3358</v>
      </c>
    </row>
    <row r="140" spans="1:7" ht="11.25" customHeight="1">
      <c r="A140" t="s">
        <v>2</v>
      </c>
      <c r="B140" t="s">
        <v>32</v>
      </c>
      <c r="C140" t="s">
        <v>33</v>
      </c>
      <c r="D140" t="s">
        <v>3359</v>
      </c>
      <c r="E140" t="s">
        <v>3360</v>
      </c>
      <c r="F140" t="s">
        <v>3009</v>
      </c>
      <c r="G140" t="s">
        <v>3361</v>
      </c>
    </row>
    <row r="141" spans="1:7" ht="11.25" customHeight="1">
      <c r="A141" t="s">
        <v>2</v>
      </c>
      <c r="B141" t="s">
        <v>32</v>
      </c>
      <c r="C141" t="s">
        <v>33</v>
      </c>
      <c r="D141" t="s">
        <v>3362</v>
      </c>
      <c r="E141" t="s">
        <v>3363</v>
      </c>
      <c r="F141" t="s">
        <v>3009</v>
      </c>
      <c r="G141" t="s">
        <v>3364</v>
      </c>
    </row>
    <row r="142" spans="1:7" ht="11.25" customHeight="1">
      <c r="A142" t="s">
        <v>2</v>
      </c>
      <c r="B142" t="s">
        <v>32</v>
      </c>
      <c r="C142" t="s">
        <v>33</v>
      </c>
      <c r="D142" t="s">
        <v>3365</v>
      </c>
      <c r="E142" t="s">
        <v>3366</v>
      </c>
      <c r="F142" t="s">
        <v>3009</v>
      </c>
      <c r="G142" t="s">
        <v>3367</v>
      </c>
    </row>
    <row r="143" spans="1:7" ht="11.25" customHeight="1">
      <c r="A143" t="s">
        <v>2</v>
      </c>
      <c r="B143" t="s">
        <v>32</v>
      </c>
      <c r="C143" t="s">
        <v>33</v>
      </c>
      <c r="D143" t="s">
        <v>3368</v>
      </c>
      <c r="E143" t="s">
        <v>3369</v>
      </c>
      <c r="F143" t="s">
        <v>3009</v>
      </c>
      <c r="G143" t="s">
        <v>3370</v>
      </c>
    </row>
    <row r="144" spans="1:7" ht="11.25" customHeight="1">
      <c r="A144" t="s">
        <v>2</v>
      </c>
      <c r="B144" t="s">
        <v>32</v>
      </c>
      <c r="C144" t="s">
        <v>33</v>
      </c>
      <c r="D144" t="s">
        <v>3371</v>
      </c>
      <c r="E144" t="s">
        <v>3372</v>
      </c>
      <c r="F144" t="s">
        <v>3009</v>
      </c>
      <c r="G144" t="s">
        <v>3373</v>
      </c>
    </row>
    <row r="145" spans="1:7" ht="11.25" customHeight="1">
      <c r="A145" t="s">
        <v>2</v>
      </c>
      <c r="B145" t="s">
        <v>32</v>
      </c>
      <c r="C145" t="s">
        <v>33</v>
      </c>
      <c r="D145" t="s">
        <v>3374</v>
      </c>
      <c r="E145" t="s">
        <v>3375</v>
      </c>
      <c r="F145" t="s">
        <v>3009</v>
      </c>
      <c r="G145" t="s">
        <v>3376</v>
      </c>
    </row>
    <row r="146" spans="1:7" ht="11.25" customHeight="1">
      <c r="A146" t="s">
        <v>2</v>
      </c>
      <c r="B146" t="s">
        <v>32</v>
      </c>
      <c r="C146" t="s">
        <v>33</v>
      </c>
      <c r="D146" t="s">
        <v>3377</v>
      </c>
      <c r="E146" t="s">
        <v>3378</v>
      </c>
      <c r="F146" t="s">
        <v>3009</v>
      </c>
      <c r="G146" t="s">
        <v>3379</v>
      </c>
    </row>
    <row r="147" spans="1:7" ht="11.25" customHeight="1">
      <c r="A147" t="s">
        <v>2</v>
      </c>
      <c r="B147" t="s">
        <v>32</v>
      </c>
      <c r="C147" t="s">
        <v>33</v>
      </c>
      <c r="D147" t="s">
        <v>3380</v>
      </c>
      <c r="E147" t="s">
        <v>3381</v>
      </c>
      <c r="F147" t="s">
        <v>3009</v>
      </c>
      <c r="G147" t="s">
        <v>3382</v>
      </c>
    </row>
    <row r="148" spans="1:7" ht="11.25" customHeight="1">
      <c r="A148" t="s">
        <v>2</v>
      </c>
      <c r="B148" t="s">
        <v>32</v>
      </c>
      <c r="C148" t="s">
        <v>33</v>
      </c>
      <c r="D148" t="s">
        <v>3383</v>
      </c>
      <c r="E148" t="s">
        <v>3384</v>
      </c>
      <c r="F148" t="s">
        <v>3009</v>
      </c>
      <c r="G148" t="s">
        <v>3385</v>
      </c>
    </row>
    <row r="149" spans="1:7" ht="11.25" customHeight="1">
      <c r="A149" t="s">
        <v>2</v>
      </c>
      <c r="B149" t="s">
        <v>32</v>
      </c>
      <c r="C149" t="s">
        <v>33</v>
      </c>
      <c r="D149" t="s">
        <v>3386</v>
      </c>
      <c r="E149" t="s">
        <v>3387</v>
      </c>
      <c r="F149" t="s">
        <v>3009</v>
      </c>
      <c r="G149" t="s">
        <v>3388</v>
      </c>
    </row>
    <row r="150" spans="1:7" ht="11.25" customHeight="1">
      <c r="A150" t="s">
        <v>2</v>
      </c>
      <c r="B150" t="s">
        <v>32</v>
      </c>
      <c r="C150" t="s">
        <v>33</v>
      </c>
      <c r="D150" t="s">
        <v>3389</v>
      </c>
      <c r="E150" t="s">
        <v>3390</v>
      </c>
      <c r="F150" t="s">
        <v>3009</v>
      </c>
      <c r="G150" t="s">
        <v>3391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2" max="2" width="84.28515625" customWidth="1"/>
  </cols>
  <sheetData>
    <row r="1" spans="1:3" ht="11.25" customHeight="1">
      <c r="A1" s="428" t="s">
        <v>3436</v>
      </c>
      <c r="B1" s="428" t="s">
        <v>3437</v>
      </c>
      <c r="C1" s="428" t="s">
        <v>1089</v>
      </c>
    </row>
    <row r="2" spans="1:3" ht="11.25" customHeight="1">
      <c r="A2" s="428">
        <v>4189678</v>
      </c>
      <c r="B2" s="428" t="s">
        <v>3438</v>
      </c>
      <c r="C2" s="428" t="s">
        <v>3439</v>
      </c>
    </row>
    <row r="3" spans="1:3" ht="11.25" customHeight="1">
      <c r="A3" s="428">
        <v>4190415</v>
      </c>
      <c r="B3" s="428" t="s">
        <v>3440</v>
      </c>
      <c r="C3" s="428" t="s">
        <v>3439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8" width="3" customWidth="1"/>
    <col min="19" max="19" width="12" customWidth="1"/>
    <col min="20" max="20" width="31" customWidth="1"/>
    <col min="21" max="21" width="0.140625" customWidth="1"/>
    <col min="22" max="22" width="24.7109375" hidden="1" customWidth="1"/>
    <col min="23" max="23" width="0.140625" hidden="1" customWidth="1"/>
    <col min="24" max="25" width="24.7109375" hidden="1" customWidth="1"/>
    <col min="26" max="26" width="11.7109375" hidden="1" customWidth="1"/>
    <col min="27" max="27" width="3.7109375" hidden="1" customWidth="1"/>
    <col min="28" max="28" width="11.7109375" hidden="1" customWidth="1"/>
    <col min="29" max="29" width="8.5703125" hidden="1" customWidth="1"/>
    <col min="30" max="30" width="24.7109375" customWidth="1"/>
    <col min="31" max="31" width="0.140625" customWidth="1"/>
    <col min="32" max="33" width="24" customWidth="1"/>
    <col min="34" max="34" width="11" customWidth="1"/>
    <col min="35" max="35" width="3.7109375" customWidth="1"/>
    <col min="36" max="36" width="11" customWidth="1"/>
    <col min="37" max="37" width="8.5703125" hidden="1" customWidth="1"/>
    <col min="38" max="38" width="4" customWidth="1"/>
    <col min="39" max="39" width="115" customWidth="1"/>
    <col min="40" max="44" width="10" customWidth="1"/>
    <col min="45" max="45" width="10.5703125" hidden="1"/>
  </cols>
  <sheetData>
    <row r="1" spans="5:45" ht="22.5" hidden="1" customHeight="1">
      <c r="AS1" s="3" t="s">
        <v>1</v>
      </c>
    </row>
    <row r="2" spans="5:45" ht="21" hidden="1" customHeight="1">
      <c r="E2" s="1000">
        <v>1</v>
      </c>
      <c r="R2" s="225"/>
      <c r="S2" s="226" t="e">
        <f>INDEX(PT_DIFFERENTIATION_NUM_NTAR,MATCH(A2,PT_DIFFERENTIATION_NTAR_ID,0))</f>
        <v>#N/A</v>
      </c>
      <c r="T2" s="227" t="s">
        <v>48</v>
      </c>
      <c r="U2" s="228"/>
      <c r="V2" s="995"/>
      <c r="W2" s="996"/>
      <c r="X2" s="996"/>
      <c r="Y2" s="996"/>
      <c r="Z2" s="996"/>
      <c r="AA2" s="996"/>
      <c r="AB2" s="996"/>
      <c r="AC2" s="997"/>
      <c r="AD2" s="995" t="e">
        <f>INDEX(PT_DIFFERENTIATION_NTAR,MATCH(A2,PT_DIFFERENTIATION_NTAR_ID,0))</f>
        <v>#N/A</v>
      </c>
      <c r="AE2" s="996"/>
      <c r="AF2" s="996"/>
      <c r="AG2" s="996"/>
      <c r="AH2" s="996"/>
      <c r="AI2" s="996"/>
      <c r="AJ2" s="996"/>
      <c r="AK2" s="996"/>
      <c r="AL2" s="997"/>
      <c r="AM2" s="230" t="s">
        <v>319</v>
      </c>
      <c r="AP2" s="29" t="str">
        <f t="shared" ref="AP2:AP15" si="0">IF(T2="","",T2)</f>
        <v>Наименование тарифа</v>
      </c>
      <c r="AS2" s="3">
        <v>0</v>
      </c>
    </row>
    <row r="3" spans="5:45" ht="21" hidden="1" customHeight="1">
      <c r="E3" s="1001"/>
      <c r="F3" s="1000">
        <v>1</v>
      </c>
      <c r="Q3" s="231"/>
      <c r="R3" s="232"/>
      <c r="S3" s="226" t="e">
        <f>INDEX(PT_DIFFERENTIATION_NUM_TER,MATCH(B3,PT_DIFFERENTIATION_TER_ID,0))</f>
        <v>#N/A</v>
      </c>
      <c r="T3" s="233" t="s">
        <v>320</v>
      </c>
      <c r="U3" s="228"/>
      <c r="V3" s="995"/>
      <c r="W3" s="996"/>
      <c r="X3" s="996"/>
      <c r="Y3" s="996"/>
      <c r="Z3" s="996"/>
      <c r="AA3" s="996"/>
      <c r="AB3" s="996"/>
      <c r="AC3" s="997"/>
      <c r="AD3" s="995" t="e">
        <f>INDEX(PT_DIFFERENTIATION_TER,MATCH(B3,PT_DIFFERENTIATION_TER_ID,0))</f>
        <v>#N/A</v>
      </c>
      <c r="AE3" s="996"/>
      <c r="AF3" s="996"/>
      <c r="AG3" s="996"/>
      <c r="AH3" s="996"/>
      <c r="AI3" s="996"/>
      <c r="AJ3" s="996"/>
      <c r="AK3" s="996"/>
      <c r="AL3" s="997"/>
      <c r="AM3" s="230" t="s">
        <v>321</v>
      </c>
      <c r="AP3" s="29" t="str">
        <f t="shared" si="0"/>
        <v>Территория действия тарифа</v>
      </c>
      <c r="AS3" s="3">
        <v>0</v>
      </c>
    </row>
    <row r="4" spans="5:45" ht="23.25" hidden="1" customHeight="1">
      <c r="E4" s="1001"/>
      <c r="F4" s="1001"/>
      <c r="G4" s="1000">
        <v>1</v>
      </c>
      <c r="Q4" s="231"/>
      <c r="R4" s="232"/>
      <c r="S4" s="226" t="e">
        <f>INDEX(PT_DIFFERENTIATION_NUM_CS,MATCH(C4,PT_DIFFERENTIATION_CS_ID,0))</f>
        <v>#N/A</v>
      </c>
      <c r="T4" s="234" t="s">
        <v>322</v>
      </c>
      <c r="U4" s="228"/>
      <c r="V4" s="995"/>
      <c r="W4" s="996"/>
      <c r="X4" s="996"/>
      <c r="Y4" s="996"/>
      <c r="Z4" s="996"/>
      <c r="AA4" s="996"/>
      <c r="AB4" s="996"/>
      <c r="AC4" s="997"/>
      <c r="AD4" s="995" t="e">
        <f>INDEX(PT_DIFFERENTIATION_CS,MATCH(C4,PT_DIFFERENTIATION_CS_ID,0))</f>
        <v>#N/A</v>
      </c>
      <c r="AE4" s="996"/>
      <c r="AF4" s="996"/>
      <c r="AG4" s="996"/>
      <c r="AH4" s="996"/>
      <c r="AI4" s="996"/>
      <c r="AJ4" s="996"/>
      <c r="AK4" s="996"/>
      <c r="AL4" s="997"/>
      <c r="AM4" s="230" t="s">
        <v>323</v>
      </c>
      <c r="AP4" s="29" t="str">
        <f t="shared" si="0"/>
        <v xml:space="preserve">Наименование системы теплоснабжения </v>
      </c>
      <c r="AS4" s="3">
        <v>0</v>
      </c>
    </row>
    <row r="5" spans="5:45" ht="21" hidden="1" customHeight="1">
      <c r="E5" s="1001"/>
      <c r="F5" s="1001"/>
      <c r="G5" s="1001"/>
      <c r="H5" s="1000">
        <v>1</v>
      </c>
      <c r="Q5" s="231"/>
      <c r="R5" s="232"/>
      <c r="S5" s="226" t="e">
        <f>INDEX(PT_DIFFERENTIATION_NUM_IST_TE,MATCH(D5,PT_DIFFERENTIATION_IST_TE_ID,0))</f>
        <v>#N/A</v>
      </c>
      <c r="T5" s="235" t="s">
        <v>324</v>
      </c>
      <c r="U5" s="228"/>
      <c r="V5" s="995"/>
      <c r="W5" s="996"/>
      <c r="X5" s="996"/>
      <c r="Y5" s="996"/>
      <c r="Z5" s="996"/>
      <c r="AA5" s="996"/>
      <c r="AB5" s="996"/>
      <c r="AC5" s="997"/>
      <c r="AD5" s="995" t="e">
        <f>INDEX(PT_DIFFERENTIATION_IST_TE,MATCH(D5,PT_DIFFERENTIATION_IST_TE_ID,0))</f>
        <v>#N/A</v>
      </c>
      <c r="AE5" s="996"/>
      <c r="AF5" s="996"/>
      <c r="AG5" s="996"/>
      <c r="AH5" s="996"/>
      <c r="AI5" s="996"/>
      <c r="AJ5" s="996"/>
      <c r="AK5" s="996"/>
      <c r="AL5" s="997"/>
      <c r="AM5" s="230" t="s">
        <v>325</v>
      </c>
      <c r="AP5" s="29" t="str">
        <f t="shared" si="0"/>
        <v xml:space="preserve">Источник тепловой энергии  </v>
      </c>
      <c r="AS5" s="3">
        <v>0</v>
      </c>
    </row>
    <row r="6" spans="5:45" ht="47.25" hidden="1" customHeight="1">
      <c r="E6" s="1001"/>
      <c r="F6" s="1001"/>
      <c r="G6" s="1001"/>
      <c r="H6" s="1001"/>
      <c r="I6" s="1002" t="e">
        <f>S5&amp;".1"</f>
        <v>#N/A</v>
      </c>
      <c r="L6" s="237" t="s">
        <v>326</v>
      </c>
      <c r="P6" s="1004">
        <v>1</v>
      </c>
      <c r="R6" s="238"/>
      <c r="S6" s="226" t="e">
        <f>$I6</f>
        <v>#N/A</v>
      </c>
      <c r="T6" s="239" t="s">
        <v>327</v>
      </c>
      <c r="U6" s="228"/>
      <c r="V6" s="989"/>
      <c r="W6" s="990"/>
      <c r="X6" s="990"/>
      <c r="Y6" s="990"/>
      <c r="Z6" s="990"/>
      <c r="AA6" s="990"/>
      <c r="AB6" s="990"/>
      <c r="AC6" s="991"/>
      <c r="AD6" s="989"/>
      <c r="AE6" s="990"/>
      <c r="AF6" s="990"/>
      <c r="AG6" s="990"/>
      <c r="AH6" s="990"/>
      <c r="AI6" s="990"/>
      <c r="AJ6" s="990"/>
      <c r="AK6" s="990"/>
      <c r="AL6" s="991"/>
      <c r="AM6" s="230" t="s">
        <v>328</v>
      </c>
      <c r="AP6" s="29" t="str">
        <f t="shared" si="0"/>
        <v>Схема подключения теплопотребляющей установки к коллектору источника тепловой энергии</v>
      </c>
      <c r="AS6" s="3">
        <v>0</v>
      </c>
    </row>
    <row r="7" spans="5:45" ht="21" hidden="1" customHeight="1">
      <c r="E7" s="1001"/>
      <c r="F7" s="1001"/>
      <c r="G7" s="1001"/>
      <c r="H7" s="1001"/>
      <c r="I7" s="1003"/>
      <c r="J7" s="1002" t="e">
        <f>I6&amp;".1"</f>
        <v>#N/A</v>
      </c>
      <c r="L7" s="237" t="s">
        <v>329</v>
      </c>
      <c r="P7" s="885"/>
      <c r="Q7" s="1004">
        <v>1</v>
      </c>
      <c r="R7" s="240"/>
      <c r="S7" s="226" t="e">
        <f>$J7</f>
        <v>#N/A</v>
      </c>
      <c r="T7" s="241" t="s">
        <v>330</v>
      </c>
      <c r="U7" s="228"/>
      <c r="V7" s="989"/>
      <c r="W7" s="990"/>
      <c r="X7" s="990"/>
      <c r="Y7" s="990"/>
      <c r="Z7" s="990"/>
      <c r="AA7" s="990"/>
      <c r="AB7" s="990"/>
      <c r="AC7" s="991"/>
      <c r="AD7" s="989"/>
      <c r="AE7" s="990"/>
      <c r="AF7" s="990"/>
      <c r="AG7" s="990"/>
      <c r="AH7" s="990"/>
      <c r="AI7" s="990"/>
      <c r="AJ7" s="990"/>
      <c r="AK7" s="990"/>
      <c r="AL7" s="991"/>
      <c r="AM7" s="230" t="s">
        <v>331</v>
      </c>
      <c r="AP7" s="29" t="str">
        <f t="shared" si="0"/>
        <v>Группа потребителей</v>
      </c>
      <c r="AS7" s="3">
        <v>0</v>
      </c>
    </row>
    <row r="8" spans="5:45" ht="21" hidden="1" customHeight="1">
      <c r="E8" s="1001"/>
      <c r="F8" s="1001"/>
      <c r="G8" s="1001"/>
      <c r="H8" s="1001"/>
      <c r="I8" s="1003"/>
      <c r="J8" s="1003"/>
      <c r="K8" s="1002" t="e">
        <f>J7&amp;".1"</f>
        <v>#N/A</v>
      </c>
      <c r="L8" s="237" t="s">
        <v>332</v>
      </c>
      <c r="P8" s="885"/>
      <c r="Q8" s="885"/>
      <c r="R8" s="240">
        <v>1</v>
      </c>
      <c r="S8" s="226" t="e">
        <f>$K8</f>
        <v>#N/A</v>
      </c>
      <c r="T8" s="242"/>
      <c r="U8" s="228"/>
      <c r="V8" s="243"/>
      <c r="W8" s="244"/>
      <c r="X8" s="243"/>
      <c r="Y8" s="245"/>
      <c r="Z8" s="1005"/>
      <c r="AA8" s="895" t="s">
        <v>17</v>
      </c>
      <c r="AB8" s="1005"/>
      <c r="AC8" s="895" t="s">
        <v>17</v>
      </c>
      <c r="AD8" s="243"/>
      <c r="AE8" s="244"/>
      <c r="AF8" s="243"/>
      <c r="AG8" s="245"/>
      <c r="AH8" s="1005"/>
      <c r="AI8" s="895" t="s">
        <v>17</v>
      </c>
      <c r="AJ8" s="1005"/>
      <c r="AK8" s="895" t="s">
        <v>17</v>
      </c>
      <c r="AL8" s="244"/>
      <c r="AM8" s="1023" t="s">
        <v>333</v>
      </c>
      <c r="AN8" s="24" t="e">
        <f ca="1">STRCHECKDATE(V9:AL9)</f>
        <v>#NAME?</v>
      </c>
      <c r="AP8" s="29" t="str">
        <f t="shared" si="0"/>
        <v/>
      </c>
      <c r="AS8" s="3">
        <v>0</v>
      </c>
    </row>
    <row r="9" spans="5:45" ht="0.75" hidden="1" customHeight="1">
      <c r="E9" s="1001"/>
      <c r="F9" s="1001"/>
      <c r="G9" s="1001"/>
      <c r="H9" s="1001"/>
      <c r="I9" s="1003"/>
      <c r="J9" s="1003"/>
      <c r="K9" s="1002"/>
      <c r="P9" s="885"/>
      <c r="Q9" s="885"/>
      <c r="R9" s="240"/>
      <c r="S9" s="209"/>
      <c r="T9" s="228"/>
      <c r="U9" s="228"/>
      <c r="V9" s="244"/>
      <c r="W9" s="244"/>
      <c r="X9" s="244"/>
      <c r="Y9" s="247" t="str">
        <f>Z8&amp;"-"&amp;AB8</f>
        <v>-</v>
      </c>
      <c r="Z9" s="1006"/>
      <c r="AA9" s="895"/>
      <c r="AB9" s="1006"/>
      <c r="AC9" s="895"/>
      <c r="AD9" s="244"/>
      <c r="AE9" s="244"/>
      <c r="AF9" s="244"/>
      <c r="AG9" s="247" t="str">
        <f>AH8&amp;"-"&amp;AJ8</f>
        <v>-</v>
      </c>
      <c r="AH9" s="1006"/>
      <c r="AI9" s="895"/>
      <c r="AJ9" s="1006"/>
      <c r="AK9" s="895"/>
      <c r="AL9" s="244"/>
      <c r="AM9" s="1024"/>
      <c r="AP9" s="29" t="str">
        <f t="shared" si="0"/>
        <v/>
      </c>
      <c r="AS9" s="3">
        <v>0</v>
      </c>
    </row>
    <row r="10" spans="5:45" ht="15" hidden="1" customHeight="1">
      <c r="E10" s="1001"/>
      <c r="F10" s="1001"/>
      <c r="G10" s="1001"/>
      <c r="H10" s="1001"/>
      <c r="I10" s="1003"/>
      <c r="J10" s="1002"/>
      <c r="P10" s="885"/>
      <c r="Q10" s="885"/>
      <c r="R10" s="238"/>
      <c r="S10" s="249"/>
      <c r="T10" s="250" t="s">
        <v>334</v>
      </c>
      <c r="U10" s="54"/>
      <c r="V10" s="54"/>
      <c r="W10" s="54"/>
      <c r="X10" s="54"/>
      <c r="Y10" s="54"/>
      <c r="Z10" s="54"/>
      <c r="AA10" s="54"/>
      <c r="AB10" s="54"/>
      <c r="AC10" s="54"/>
      <c r="AD10" s="54"/>
      <c r="AE10" s="54"/>
      <c r="AF10" s="54"/>
      <c r="AG10" s="54"/>
      <c r="AH10" s="54"/>
      <c r="AI10" s="54"/>
      <c r="AJ10" s="54"/>
      <c r="AK10" s="54"/>
      <c r="AL10" s="251"/>
      <c r="AM10" s="1025"/>
      <c r="AP10" s="29" t="str">
        <f t="shared" si="0"/>
        <v>Добавить вид теплоносителя (параметры теплоносителя)</v>
      </c>
      <c r="AS10" s="3">
        <v>0</v>
      </c>
    </row>
    <row r="11" spans="5:45" ht="15" hidden="1" customHeight="1">
      <c r="E11" s="1001"/>
      <c r="F11" s="1001"/>
      <c r="G11" s="1001"/>
      <c r="H11" s="1001"/>
      <c r="I11" s="1002"/>
      <c r="P11" s="885"/>
      <c r="R11" s="238"/>
      <c r="S11" s="249"/>
      <c r="T11" s="252" t="s">
        <v>335</v>
      </c>
      <c r="U11" s="54"/>
      <c r="V11" s="54"/>
      <c r="W11" s="54"/>
      <c r="X11" s="54"/>
      <c r="Y11" s="54"/>
      <c r="Z11" s="54"/>
      <c r="AA11" s="54"/>
      <c r="AB11" s="54"/>
      <c r="AC11" s="253"/>
      <c r="AD11" s="54"/>
      <c r="AE11" s="54"/>
      <c r="AF11" s="54"/>
      <c r="AG11" s="54"/>
      <c r="AH11" s="54"/>
      <c r="AI11" s="54"/>
      <c r="AJ11" s="54"/>
      <c r="AK11" s="253"/>
      <c r="AL11" s="54"/>
      <c r="AM11" s="254"/>
      <c r="AP11" s="29" t="str">
        <f t="shared" si="0"/>
        <v>Добавить группу потребителей</v>
      </c>
      <c r="AS11" s="3">
        <v>0</v>
      </c>
    </row>
    <row r="12" spans="5:45" ht="14.25" hidden="1" customHeight="1">
      <c r="E12" s="1001"/>
      <c r="F12" s="1001"/>
      <c r="G12" s="1001"/>
      <c r="H12" s="1000"/>
      <c r="R12" s="225"/>
      <c r="S12" s="249"/>
      <c r="T12" s="255" t="s">
        <v>336</v>
      </c>
      <c r="U12" s="54"/>
      <c r="V12" s="54"/>
      <c r="W12" s="54"/>
      <c r="X12" s="54"/>
      <c r="Y12" s="54"/>
      <c r="Z12" s="54"/>
      <c r="AA12" s="54"/>
      <c r="AB12" s="54"/>
      <c r="AC12" s="253"/>
      <c r="AD12" s="54"/>
      <c r="AE12" s="54"/>
      <c r="AF12" s="54"/>
      <c r="AG12" s="54"/>
      <c r="AH12" s="54"/>
      <c r="AI12" s="54"/>
      <c r="AJ12" s="54"/>
      <c r="AK12" s="253"/>
      <c r="AL12" s="54"/>
      <c r="AM12" s="254"/>
      <c r="AP12" s="29" t="str">
        <f t="shared" si="0"/>
        <v>Добавить схему подключения</v>
      </c>
      <c r="AS12" s="3">
        <v>0</v>
      </c>
    </row>
    <row r="13" spans="5:45" ht="0.75" hidden="1" customHeight="1">
      <c r="E13" s="1001"/>
      <c r="F13" s="1001"/>
      <c r="G13" s="1000"/>
      <c r="S13" s="256"/>
      <c r="T13" s="257" t="s">
        <v>337</v>
      </c>
      <c r="U13" s="258"/>
      <c r="V13" s="258"/>
      <c r="W13" s="258"/>
      <c r="X13" s="258"/>
      <c r="Y13" s="258"/>
      <c r="Z13" s="258"/>
      <c r="AA13" s="258"/>
      <c r="AB13" s="258"/>
      <c r="AC13" s="258"/>
      <c r="AD13" s="258"/>
      <c r="AE13" s="258"/>
      <c r="AF13" s="258"/>
      <c r="AG13" s="258"/>
      <c r="AH13" s="258"/>
      <c r="AI13" s="258"/>
      <c r="AJ13" s="258"/>
      <c r="AK13" s="258"/>
      <c r="AL13" s="258"/>
      <c r="AM13" s="258"/>
      <c r="AP13" s="29" t="str">
        <f t="shared" si="0"/>
        <v>Добавить источник для дифференциации</v>
      </c>
      <c r="AS13" s="24">
        <v>0</v>
      </c>
    </row>
    <row r="14" spans="5:45" ht="0.75" hidden="1" customHeight="1">
      <c r="E14" s="1001"/>
      <c r="F14" s="1000"/>
      <c r="T14" s="259" t="s">
        <v>338</v>
      </c>
      <c r="AP14" s="29" t="str">
        <f t="shared" si="0"/>
        <v>Добавить централизованную систему для дифференциации</v>
      </c>
      <c r="AS14" s="24">
        <v>0</v>
      </c>
    </row>
    <row r="15" spans="5:45" ht="0.75" hidden="1" customHeight="1">
      <c r="E15" s="1000"/>
      <c r="T15" s="260" t="s">
        <v>339</v>
      </c>
      <c r="AP15" s="29" t="str">
        <f t="shared" si="0"/>
        <v>Добавить территорию для дифференциации</v>
      </c>
      <c r="AS15" s="24">
        <v>0</v>
      </c>
    </row>
    <row r="16" spans="5:45" ht="14.25" hidden="1" customHeight="1">
      <c r="AS16" s="3">
        <v>0</v>
      </c>
    </row>
    <row r="17" spans="15:45" ht="14.25" hidden="1" customHeight="1">
      <c r="AD17" s="261"/>
      <c r="AE17" s="261"/>
      <c r="AF17" s="261"/>
      <c r="AG17" s="262"/>
      <c r="AH17" s="999"/>
      <c r="AI17" s="998" t="s">
        <v>17</v>
      </c>
      <c r="AJ17" s="999"/>
      <c r="AK17" s="998" t="s">
        <v>17</v>
      </c>
      <c r="AS17" s="3">
        <v>0</v>
      </c>
    </row>
    <row r="18" spans="15:45" ht="14.25" hidden="1" customHeight="1">
      <c r="AD18" s="261"/>
      <c r="AE18" s="261"/>
      <c r="AF18" s="261"/>
      <c r="AG18" s="247" t="str">
        <f>AH17&amp;"-"&amp;AJ17</f>
        <v>-</v>
      </c>
      <c r="AH18" s="998"/>
      <c r="AI18" s="998"/>
      <c r="AJ18" s="998"/>
      <c r="AK18" s="998"/>
      <c r="AS18" s="3">
        <v>0</v>
      </c>
    </row>
    <row r="19" spans="15:45" ht="14.25" hidden="1" customHeight="1">
      <c r="AS19" s="3">
        <v>0</v>
      </c>
    </row>
    <row r="20" spans="15:45" ht="22.5" hidden="1" customHeight="1">
      <c r="O20" s="263" t="s">
        <v>340</v>
      </c>
      <c r="Z20" s="263"/>
      <c r="AB20" s="263"/>
      <c r="AH20" s="263"/>
      <c r="AJ20" s="263"/>
      <c r="AS20" s="11">
        <v>0</v>
      </c>
    </row>
    <row r="21" spans="15:45" ht="14.25" hidden="1" customHeight="1">
      <c r="AS21" s="11">
        <v>0</v>
      </c>
    </row>
    <row r="22" spans="15:45" ht="14.25" hidden="1" customHeight="1">
      <c r="O22" s="237" t="s">
        <v>341</v>
      </c>
      <c r="T22" s="11" t="s">
        <v>342</v>
      </c>
      <c r="AA22" s="60" t="s">
        <v>343</v>
      </c>
      <c r="AC22" s="60" t="s">
        <v>344</v>
      </c>
      <c r="AD22" s="11" t="s">
        <v>342</v>
      </c>
      <c r="AI22" s="60" t="s">
        <v>345</v>
      </c>
      <c r="AK22" s="60" t="s">
        <v>344</v>
      </c>
      <c r="AS22" s="11">
        <v>0</v>
      </c>
    </row>
    <row r="23" spans="15:45" ht="14.25" hidden="1" customHeight="1">
      <c r="AS23" s="3">
        <v>0</v>
      </c>
    </row>
    <row r="24" spans="15:45" ht="14.25" hidden="1" customHeight="1">
      <c r="AS24" s="3">
        <v>0</v>
      </c>
    </row>
    <row r="25" spans="15:45" ht="14.65" customHeight="1">
      <c r="Q25" s="264"/>
      <c r="R25" s="264"/>
      <c r="S25" s="265"/>
      <c r="T25" s="12"/>
      <c r="U25" s="12"/>
      <c r="AS25" s="3">
        <v>14</v>
      </c>
    </row>
    <row r="26" spans="15:45" ht="14.65" customHeight="1">
      <c r="Q26" s="264"/>
      <c r="R26" s="264"/>
      <c r="S26" s="98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982"/>
      <c r="U26" s="982"/>
      <c r="V26" s="982"/>
      <c r="W26" s="982"/>
      <c r="X26" s="982"/>
      <c r="Y26" s="982"/>
      <c r="Z26" s="982"/>
      <c r="AA26" s="982"/>
      <c r="AB26" s="982"/>
      <c r="AC26" s="982"/>
      <c r="AD26" s="982"/>
      <c r="AE26" s="982"/>
      <c r="AF26" s="982"/>
      <c r="AG26" s="982"/>
      <c r="AH26" s="982"/>
      <c r="AI26" s="982"/>
      <c r="AJ26" s="982"/>
      <c r="AS26" s="3">
        <v>14</v>
      </c>
    </row>
    <row r="27" spans="15:45" ht="14.65" customHeight="1">
      <c r="Q27" s="264"/>
      <c r="R27" s="264"/>
      <c r="S27" s="955" t="e">
        <f>IF(org=0,"Не определено",org)</f>
        <v>#REF!</v>
      </c>
      <c r="T27" s="955"/>
      <c r="U27" s="955"/>
      <c r="V27" s="955"/>
      <c r="W27" s="955"/>
      <c r="X27" s="955"/>
      <c r="Y27" s="955"/>
      <c r="Z27" s="955"/>
      <c r="AA27" s="955"/>
      <c r="AB27" s="955"/>
      <c r="AC27" s="955"/>
      <c r="AD27" s="955"/>
      <c r="AE27" s="955"/>
      <c r="AF27" s="955"/>
      <c r="AG27" s="955"/>
      <c r="AH27" s="955"/>
      <c r="AI27" s="955"/>
      <c r="AJ27" s="955"/>
      <c r="AS27" s="3">
        <v>14</v>
      </c>
    </row>
    <row r="28" spans="15:45" ht="14.25" hidden="1" customHeight="1">
      <c r="Q28" s="264"/>
      <c r="R28" s="264"/>
      <c r="S28" s="265"/>
      <c r="T28" s="12"/>
      <c r="U28" s="12"/>
      <c r="V28" s="266"/>
      <c r="W28" s="266"/>
      <c r="X28" s="266"/>
      <c r="Y28" s="266"/>
      <c r="Z28" s="266"/>
      <c r="AA28" s="266"/>
      <c r="AB28" s="266"/>
      <c r="AC28" s="266"/>
      <c r="AD28" s="266"/>
      <c r="AE28" s="266"/>
      <c r="AF28" s="266"/>
      <c r="AG28" s="266"/>
      <c r="AH28" s="266"/>
      <c r="AI28" s="266"/>
      <c r="AJ28" s="266"/>
      <c r="AK28" s="266"/>
      <c r="AS28" s="3">
        <v>0</v>
      </c>
    </row>
    <row r="29" spans="15:45" ht="25.5" hidden="1" customHeight="1">
      <c r="S29" s="992" t="s">
        <v>9</v>
      </c>
      <c r="T29" s="992"/>
      <c r="U29" s="268"/>
      <c r="V29" s="994" t="e">
        <f>IF(TITLE_NAME_OR_PR_CHANGE="",IF(TITLE_NAME_OR_PR="","",TITLE_NAME_OR_PR),TITLE_NAME_OR_PR_CHANGE)</f>
        <v>#REF!</v>
      </c>
      <c r="W29" s="994"/>
      <c r="X29" s="994"/>
      <c r="Y29" s="994"/>
      <c r="Z29" s="994"/>
      <c r="AA29" s="994"/>
      <c r="AB29" s="994"/>
      <c r="AD29" s="994" t="e">
        <f>IF(TITLE_NAME_OR_PR_CHANGE="",IF(TITLE_NAME_OR_PR="","",TITLE_NAME_OR_PR),TITLE_NAME_OR_PR_CHANGE)</f>
        <v>#REF!</v>
      </c>
      <c r="AE29" s="994"/>
      <c r="AF29" s="994"/>
      <c r="AG29" s="994"/>
      <c r="AH29" s="994"/>
      <c r="AI29" s="994"/>
      <c r="AJ29" s="994"/>
      <c r="AS29" s="50">
        <v>0</v>
      </c>
    </row>
    <row r="30" spans="15:45" ht="18.75" hidden="1" customHeight="1">
      <c r="S30" s="992" t="s">
        <v>346</v>
      </c>
      <c r="T30" s="992"/>
      <c r="U30" s="268"/>
      <c r="V30" s="993" t="e">
        <f>IF(TITLE_DATE_PR_CHANGE="",IF(TITLE_DATE_PR="","",TITLE_DATE_PR),TITLE_DATE_PR_CHANGE)</f>
        <v>#REF!</v>
      </c>
      <c r="W30" s="993"/>
      <c r="X30" s="993"/>
      <c r="Y30" s="993"/>
      <c r="Z30" s="993"/>
      <c r="AA30" s="993"/>
      <c r="AB30" s="993"/>
      <c r="AD30" s="993" t="e">
        <f>IF(TITLE_DATE_PR_CHANGE="",IF(TITLE_DATE_PR="","",TITLE_DATE_PR),TITLE_DATE_PR_CHANGE)</f>
        <v>#REF!</v>
      </c>
      <c r="AE30" s="993"/>
      <c r="AF30" s="993"/>
      <c r="AG30" s="993"/>
      <c r="AH30" s="993"/>
      <c r="AI30" s="993"/>
      <c r="AJ30" s="993"/>
      <c r="AS30" s="50">
        <v>0</v>
      </c>
    </row>
    <row r="31" spans="15:45" ht="18.75" hidden="1" customHeight="1">
      <c r="S31" s="992" t="s">
        <v>347</v>
      </c>
      <c r="T31" s="992"/>
      <c r="U31" s="268"/>
      <c r="V31" s="994" t="e">
        <f>IF(TITLE_NUMBER_PR_CHANGE="",IF(TITLE_NUMBER_PR="","",TITLE_NUMBER_PR),TITLE_NUMBER_PR_CHANGE)</f>
        <v>#REF!</v>
      </c>
      <c r="W31" s="994"/>
      <c r="X31" s="994"/>
      <c r="Y31" s="994"/>
      <c r="Z31" s="994"/>
      <c r="AA31" s="994"/>
      <c r="AB31" s="994"/>
      <c r="AD31" s="994" t="e">
        <f>IF(TITLE_NUMBER_PR_CHANGE="",IF(TITLE_NUMBER_PR="","",TITLE_NUMBER_PR),TITLE_NUMBER_PR_CHANGE)</f>
        <v>#REF!</v>
      </c>
      <c r="AE31" s="994"/>
      <c r="AF31" s="994"/>
      <c r="AG31" s="994"/>
      <c r="AH31" s="994"/>
      <c r="AI31" s="994"/>
      <c r="AJ31" s="994"/>
      <c r="AS31" s="50">
        <v>0</v>
      </c>
    </row>
    <row r="32" spans="15:45" ht="18.75" hidden="1" customHeight="1">
      <c r="S32" s="992" t="s">
        <v>10</v>
      </c>
      <c r="T32" s="992"/>
      <c r="U32" s="268"/>
      <c r="V32" s="994" t="e">
        <f>IF(TITLE_IST_PUB_CHANGE="",IF(TITLE_IST_PUB="","",TITLE_IST_PUB),TITLE_IST_PUB_CHANGE)</f>
        <v>#REF!</v>
      </c>
      <c r="W32" s="994"/>
      <c r="X32" s="994"/>
      <c r="Y32" s="994"/>
      <c r="Z32" s="994"/>
      <c r="AA32" s="994"/>
      <c r="AB32" s="994"/>
      <c r="AD32" s="994" t="e">
        <f>IF(TITLE_IST_PUB_CHANGE="",IF(TITLE_IST_PUB="","",TITLE_IST_PUB),TITLE_IST_PUB_CHANGE)</f>
        <v>#REF!</v>
      </c>
      <c r="AE32" s="994"/>
      <c r="AF32" s="994"/>
      <c r="AG32" s="994"/>
      <c r="AH32" s="994"/>
      <c r="AI32" s="994"/>
      <c r="AJ32" s="994"/>
      <c r="AS32" s="50">
        <v>0</v>
      </c>
    </row>
    <row r="33" spans="1:45" ht="14.25" hidden="1" customHeight="1">
      <c r="Q33" s="264"/>
      <c r="R33" s="264"/>
      <c r="S33" s="265"/>
      <c r="T33" s="12"/>
      <c r="U33" s="12"/>
      <c r="V33" s="266"/>
      <c r="W33" s="266"/>
      <c r="X33" s="266"/>
      <c r="Y33" s="266"/>
      <c r="Z33" s="266"/>
      <c r="AA33" s="266"/>
      <c r="AB33" s="266"/>
      <c r="AC33" s="266"/>
      <c r="AD33" s="266"/>
      <c r="AE33" s="266"/>
      <c r="AF33" s="266"/>
      <c r="AG33" s="266"/>
      <c r="AH33" s="266"/>
      <c r="AI33" s="266"/>
      <c r="AJ33" s="266"/>
      <c r="AK33" s="266"/>
      <c r="AS33" s="3">
        <v>0</v>
      </c>
    </row>
    <row r="34" spans="1:45" ht="18.75" hidden="1" customHeight="1">
      <c r="S34" s="992" t="s">
        <v>348</v>
      </c>
      <c r="T34" s="992"/>
      <c r="U34" s="268"/>
      <c r="V34" s="993" t="e">
        <f>IF(TITLE_DATE_PR_CHANGE="",IF(TITLE_DATE_PR="","",TITLE_DATE_PR),TITLE_DATE_PR_CHANGE)</f>
        <v>#REF!</v>
      </c>
      <c r="W34" s="993"/>
      <c r="X34" s="993"/>
      <c r="Y34" s="993"/>
      <c r="Z34" s="993"/>
      <c r="AA34" s="993"/>
      <c r="AB34" s="993"/>
      <c r="AD34" s="993" t="e">
        <f>IF(TITLE_DATE_PR_CHANGE="",IF(TITLE_DATE_PR="","",TITLE_DATE_PR),TITLE_DATE_PR_CHANGE)</f>
        <v>#REF!</v>
      </c>
      <c r="AE34" s="993"/>
      <c r="AF34" s="993"/>
      <c r="AG34" s="993"/>
      <c r="AH34" s="993"/>
      <c r="AI34" s="993"/>
      <c r="AJ34" s="993"/>
      <c r="AS34" s="50">
        <v>0</v>
      </c>
    </row>
    <row r="35" spans="1:45" ht="18.75" hidden="1" customHeight="1">
      <c r="S35" s="992" t="s">
        <v>349</v>
      </c>
      <c r="T35" s="992"/>
      <c r="U35" s="268"/>
      <c r="V35" s="994" t="e">
        <f>IF(TITLE_NUMBER_PR_CHANGE="",IF(TITLE_NUMBER_PR="","",TITLE_NUMBER_PR),TITLE_NUMBER_PR_CHANGE)</f>
        <v>#REF!</v>
      </c>
      <c r="W35" s="994"/>
      <c r="X35" s="994"/>
      <c r="Y35" s="994"/>
      <c r="Z35" s="994"/>
      <c r="AA35" s="994"/>
      <c r="AB35" s="994"/>
      <c r="AD35" s="994" t="e">
        <f>IF(TITLE_NUMBER_PR_CHANGE="",IF(TITLE_NUMBER_PR="","",TITLE_NUMBER_PR),TITLE_NUMBER_PR_CHANGE)</f>
        <v>#REF!</v>
      </c>
      <c r="AE35" s="994"/>
      <c r="AF35" s="994"/>
      <c r="AG35" s="994"/>
      <c r="AH35" s="994"/>
      <c r="AI35" s="994"/>
      <c r="AJ35" s="994"/>
      <c r="AS35" s="50">
        <v>0</v>
      </c>
    </row>
    <row r="36" spans="1:45" ht="0" hidden="1" customHeight="1">
      <c r="AC36" s="24" t="s">
        <v>350</v>
      </c>
      <c r="AK36" s="24" t="s">
        <v>350</v>
      </c>
      <c r="AS36" s="50">
        <v>0</v>
      </c>
    </row>
    <row r="37" spans="1:45" ht="14.65" customHeight="1">
      <c r="Q37" s="264"/>
      <c r="R37" s="264"/>
      <c r="S37" s="265"/>
      <c r="T37" s="12"/>
      <c r="U37" s="270"/>
      <c r="V37" s="1012"/>
      <c r="W37" s="1012"/>
      <c r="X37" s="1012"/>
      <c r="Y37" s="1012"/>
      <c r="Z37" s="1012"/>
      <c r="AA37" s="1012"/>
      <c r="AB37" s="1012"/>
      <c r="AC37" s="1012"/>
      <c r="AD37" s="1012"/>
      <c r="AE37" s="1012"/>
      <c r="AF37" s="1012"/>
      <c r="AG37" s="1012"/>
      <c r="AH37" s="1012"/>
      <c r="AI37" s="1012"/>
      <c r="AJ37" s="1012"/>
      <c r="AK37" s="1012"/>
      <c r="AS37" s="3">
        <v>14</v>
      </c>
    </row>
    <row r="38" spans="1:45" ht="14.65" customHeight="1">
      <c r="Q38" s="264"/>
      <c r="R38" s="264"/>
      <c r="S38" s="894" t="s">
        <v>223</v>
      </c>
      <c r="T38" s="894"/>
      <c r="U38" s="894"/>
      <c r="V38" s="894"/>
      <c r="W38" s="894"/>
      <c r="X38" s="894"/>
      <c r="Y38" s="894"/>
      <c r="Z38" s="894"/>
      <c r="AA38" s="894"/>
      <c r="AB38" s="894"/>
      <c r="AC38" s="894"/>
      <c r="AD38" s="894"/>
      <c r="AE38" s="894"/>
      <c r="AF38" s="894"/>
      <c r="AG38" s="894"/>
      <c r="AH38" s="894"/>
      <c r="AI38" s="894"/>
      <c r="AJ38" s="894"/>
      <c r="AK38" s="894"/>
      <c r="AL38" s="894"/>
      <c r="AM38" s="894" t="s">
        <v>224</v>
      </c>
      <c r="AS38" s="3">
        <v>14</v>
      </c>
    </row>
    <row r="39" spans="1:45" ht="14.65" customHeight="1">
      <c r="Q39" s="264"/>
      <c r="R39" s="264"/>
      <c r="S39" s="1013" t="s">
        <v>24</v>
      </c>
      <c r="T39" s="962" t="s">
        <v>351</v>
      </c>
      <c r="U39" s="272"/>
      <c r="V39" s="1014" t="s">
        <v>352</v>
      </c>
      <c r="W39" s="1015"/>
      <c r="X39" s="1015"/>
      <c r="Y39" s="1015"/>
      <c r="Z39" s="1015"/>
      <c r="AA39" s="1015"/>
      <c r="AB39" s="1016"/>
      <c r="AC39" s="1017" t="s">
        <v>353</v>
      </c>
      <c r="AD39" s="1014" t="s">
        <v>352</v>
      </c>
      <c r="AE39" s="1015"/>
      <c r="AF39" s="1015"/>
      <c r="AG39" s="1015"/>
      <c r="AH39" s="1015"/>
      <c r="AI39" s="1015"/>
      <c r="AJ39" s="1016"/>
      <c r="AK39" s="1017" t="s">
        <v>354</v>
      </c>
      <c r="AL39" s="1020" t="s">
        <v>355</v>
      </c>
      <c r="AM39" s="894"/>
      <c r="AS39" s="3">
        <v>14</v>
      </c>
    </row>
    <row r="40" spans="1:45" ht="35.65" customHeight="1">
      <c r="Q40" s="264"/>
      <c r="R40" s="264"/>
      <c r="S40" s="1013"/>
      <c r="T40" s="962"/>
      <c r="U40" s="274"/>
      <c r="V40" s="935" t="s">
        <v>356</v>
      </c>
      <c r="W40" s="1009" t="s">
        <v>357</v>
      </c>
      <c r="X40" s="887" t="s">
        <v>358</v>
      </c>
      <c r="Y40" s="886"/>
      <c r="Z40" s="887" t="s">
        <v>372</v>
      </c>
      <c r="AA40" s="890"/>
      <c r="AB40" s="886"/>
      <c r="AC40" s="1018"/>
      <c r="AD40" s="935" t="s">
        <v>356</v>
      </c>
      <c r="AE40" s="1009" t="s">
        <v>357</v>
      </c>
      <c r="AF40" s="887" t="s">
        <v>358</v>
      </c>
      <c r="AG40" s="886"/>
      <c r="AH40" s="887" t="s">
        <v>359</v>
      </c>
      <c r="AI40" s="890"/>
      <c r="AJ40" s="886"/>
      <c r="AK40" s="1018"/>
      <c r="AL40" s="1021"/>
      <c r="AM40" s="894"/>
      <c r="AS40" s="3">
        <v>34</v>
      </c>
    </row>
    <row r="41" spans="1:45" ht="35.65" customHeight="1">
      <c r="B41" s="60" t="s">
        <v>60</v>
      </c>
      <c r="C41" s="60" t="s">
        <v>61</v>
      </c>
      <c r="D41" s="60" t="s">
        <v>62</v>
      </c>
      <c r="E41" s="237" t="s">
        <v>360</v>
      </c>
      <c r="F41" s="237" t="s">
        <v>361</v>
      </c>
      <c r="G41" s="237" t="s">
        <v>362</v>
      </c>
      <c r="H41" s="237" t="s">
        <v>363</v>
      </c>
      <c r="I41" s="237" t="s">
        <v>364</v>
      </c>
      <c r="J41" s="237" t="s">
        <v>365</v>
      </c>
      <c r="K41" s="237" t="s">
        <v>366</v>
      </c>
      <c r="L41" s="237" t="s">
        <v>341</v>
      </c>
      <c r="Q41" s="264"/>
      <c r="R41" s="264"/>
      <c r="S41" s="1013"/>
      <c r="T41" s="962"/>
      <c r="U41" s="275"/>
      <c r="V41" s="987"/>
      <c r="W41" s="1010"/>
      <c r="X41" s="65" t="s">
        <v>367</v>
      </c>
      <c r="Y41" s="65" t="s">
        <v>368</v>
      </c>
      <c r="Z41" s="65" t="s">
        <v>369</v>
      </c>
      <c r="AA41" s="967" t="s">
        <v>370</v>
      </c>
      <c r="AB41" s="981"/>
      <c r="AC41" s="1019"/>
      <c r="AD41" s="987"/>
      <c r="AE41" s="1010"/>
      <c r="AF41" s="65" t="s">
        <v>367</v>
      </c>
      <c r="AG41" s="65" t="s">
        <v>368</v>
      </c>
      <c r="AH41" s="65" t="s">
        <v>369</v>
      </c>
      <c r="AI41" s="967" t="s">
        <v>370</v>
      </c>
      <c r="AJ41" s="981"/>
      <c r="AK41" s="1019"/>
      <c r="AL41" s="1022"/>
      <c r="AM41" s="894"/>
      <c r="AS41" s="3">
        <v>34</v>
      </c>
    </row>
    <row r="42" spans="1:45" ht="11.25" hidden="1" customHeight="1">
      <c r="Q42" s="278"/>
      <c r="R42" s="279">
        <v>1</v>
      </c>
      <c r="S42" s="280" t="s">
        <v>31</v>
      </c>
      <c r="T42" s="281" t="s">
        <v>39</v>
      </c>
      <c r="U42" s="282" t="str">
        <f ca="1">OFFSET(U42,0,-1)</f>
        <v>2</v>
      </c>
      <c r="V42" s="283">
        <f ca="1">OFFSET(V42,0,-1)+1</f>
        <v>3</v>
      </c>
      <c r="W42" s="283"/>
      <c r="X42" s="283">
        <f ca="1">OFFSET(X42,0,-1)+1</f>
        <v>1</v>
      </c>
      <c r="Y42" s="283">
        <f ca="1">OFFSET(Y42,0,-1)+1</f>
        <v>2</v>
      </c>
      <c r="Z42" s="283">
        <f ca="1">OFFSET(Z42,0,-1)+1</f>
        <v>3</v>
      </c>
      <c r="AA42" s="1011">
        <f ca="1">OFFSET(AA42,0,-1)+1</f>
        <v>4</v>
      </c>
      <c r="AB42" s="1011"/>
      <c r="AC42" s="283">
        <f ca="1">OFFSET(AC42,0,-2)+1</f>
        <v>5</v>
      </c>
      <c r="AD42" s="283">
        <f ca="1">OFFSET(AD42,0,-1)+1</f>
        <v>6</v>
      </c>
      <c r="AE42" s="283"/>
      <c r="AF42" s="283">
        <f ca="1">OFFSET(AF42,0,-1)+1</f>
        <v>1</v>
      </c>
      <c r="AG42" s="283">
        <f ca="1">OFFSET(AG42,0,-1)+1</f>
        <v>2</v>
      </c>
      <c r="AH42" s="283">
        <f ca="1">OFFSET(AH42,0,-1)+1</f>
        <v>3</v>
      </c>
      <c r="AI42" s="1011">
        <f ca="1">OFFSET(AI42,0,-1)+1</f>
        <v>4</v>
      </c>
      <c r="AJ42" s="1011"/>
      <c r="AK42" s="283">
        <f ca="1">OFFSET(AK42,0,-2)+1</f>
        <v>5</v>
      </c>
      <c r="AL42" s="282">
        <f ca="1">OFFSET(AL42,0,-1)</f>
        <v>5</v>
      </c>
      <c r="AM42" s="283">
        <f ca="1">OFFSET(AM42,0,-1)+1</f>
        <v>6</v>
      </c>
      <c r="AS42" s="189">
        <v>0</v>
      </c>
    </row>
    <row r="43" spans="1:45" ht="21.95" customHeight="1">
      <c r="A43" s="284" t="s">
        <v>86</v>
      </c>
      <c r="E43" s="1000">
        <v>1</v>
      </c>
      <c r="R43" s="225"/>
      <c r="S43" s="226">
        <f>INDEX(PT_DIFFERENTIATION_NUM_NTAR,MATCH(A43,PT_DIFFERENTIATION_NTAR_ID,0))</f>
        <v>0</v>
      </c>
      <c r="T43" s="227" t="s">
        <v>48</v>
      </c>
      <c r="U43" s="228"/>
      <c r="V43" s="995"/>
      <c r="W43" s="996"/>
      <c r="X43" s="996"/>
      <c r="Y43" s="996"/>
      <c r="Z43" s="996"/>
      <c r="AA43" s="996"/>
      <c r="AB43" s="996"/>
      <c r="AC43" s="997"/>
      <c r="AD43" s="995" t="str">
        <f>INDEX(PT_DIFFERENTIATION_NTAR,MATCH(A43,PT_DIFFERENTIATION_NTAR_ID,0))</f>
        <v/>
      </c>
      <c r="AE43" s="996"/>
      <c r="AF43" s="996"/>
      <c r="AG43" s="996"/>
      <c r="AH43" s="996"/>
      <c r="AI43" s="996"/>
      <c r="AJ43" s="996"/>
      <c r="AK43" s="996"/>
      <c r="AL43" s="997"/>
      <c r="AM43" s="2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P43" s="29" t="str">
        <f t="shared" ref="AP43:AP57" si="1">IF(T43="","",T43)</f>
        <v>Наименование тарифа</v>
      </c>
      <c r="AS43" s="3">
        <v>21</v>
      </c>
    </row>
    <row r="44" spans="1:45" ht="21.95" customHeight="1">
      <c r="A44" s="284" t="s">
        <v>86</v>
      </c>
      <c r="B44" s="284" t="s">
        <v>87</v>
      </c>
      <c r="E44" s="1001"/>
      <c r="F44" s="1000">
        <v>1</v>
      </c>
      <c r="Q44" s="231"/>
      <c r="R44" s="232"/>
      <c r="S44" s="226" t="str">
        <f>INDEX(PT_DIFFERENTIATION_NUM_TER,MATCH(B44,PT_DIFFERENTIATION_TER_ID,0))</f>
        <v>.</v>
      </c>
      <c r="T44" s="233" t="s">
        <v>320</v>
      </c>
      <c r="U44" s="228"/>
      <c r="V44" s="995"/>
      <c r="W44" s="996"/>
      <c r="X44" s="996"/>
      <c r="Y44" s="996"/>
      <c r="Z44" s="996"/>
      <c r="AA44" s="996"/>
      <c r="AB44" s="996"/>
      <c r="AC44" s="997"/>
      <c r="AD44" s="995" t="str">
        <f>INDEX(PT_DIFFERENTIATION_TER,MATCH(B44,PT_DIFFERENTIATION_TER_ID,0))</f>
        <v/>
      </c>
      <c r="AE44" s="996"/>
      <c r="AF44" s="996"/>
      <c r="AG44" s="996"/>
      <c r="AH44" s="996"/>
      <c r="AI44" s="996"/>
      <c r="AJ44" s="996"/>
      <c r="AK44" s="996"/>
      <c r="AL44" s="997"/>
      <c r="AM44" s="230" t="s">
        <v>321</v>
      </c>
      <c r="AP44" s="29" t="str">
        <f t="shared" si="1"/>
        <v>Территория действия тарифа</v>
      </c>
      <c r="AS44" s="3">
        <v>21</v>
      </c>
    </row>
    <row r="45" spans="1:45" ht="24" customHeight="1">
      <c r="A45" s="284" t="s">
        <v>86</v>
      </c>
      <c r="B45" s="284" t="s">
        <v>87</v>
      </c>
      <c r="C45" s="284" t="s">
        <v>88</v>
      </c>
      <c r="E45" s="1001"/>
      <c r="F45" s="1001"/>
      <c r="G45" s="1000">
        <v>1</v>
      </c>
      <c r="Q45" s="231"/>
      <c r="R45" s="232"/>
      <c r="S45" s="226" t="str">
        <f>INDEX(PT_DIFFERENTIATION_NUM_CS,MATCH(C45,PT_DIFFERENTIATION_CS_ID,0))</f>
        <v>..</v>
      </c>
      <c r="T45" s="234" t="s">
        <v>322</v>
      </c>
      <c r="U45" s="228"/>
      <c r="V45" s="995"/>
      <c r="W45" s="996"/>
      <c r="X45" s="996"/>
      <c r="Y45" s="996"/>
      <c r="Z45" s="996"/>
      <c r="AA45" s="996"/>
      <c r="AB45" s="996"/>
      <c r="AC45" s="997"/>
      <c r="AD45" s="995" t="str">
        <f>INDEX(PT_DIFFERENTIATION_CS,MATCH(C45,PT_DIFFERENTIATION_CS_ID,0))</f>
        <v/>
      </c>
      <c r="AE45" s="996"/>
      <c r="AF45" s="996"/>
      <c r="AG45" s="996"/>
      <c r="AH45" s="996"/>
      <c r="AI45" s="996"/>
      <c r="AJ45" s="996"/>
      <c r="AK45" s="996"/>
      <c r="AL45" s="997"/>
      <c r="AM45" s="230" t="s">
        <v>323</v>
      </c>
      <c r="AP45" s="29" t="str">
        <f t="shared" si="1"/>
        <v xml:space="preserve">Наименование системы теплоснабжения </v>
      </c>
      <c r="AS45" s="3">
        <v>23</v>
      </c>
    </row>
    <row r="46" spans="1:45" ht="21.95" customHeight="1">
      <c r="A46" s="284" t="s">
        <v>86</v>
      </c>
      <c r="B46" s="284" t="s">
        <v>87</v>
      </c>
      <c r="C46" s="284" t="s">
        <v>88</v>
      </c>
      <c r="D46" s="284" t="s">
        <v>89</v>
      </c>
      <c r="E46" s="1001"/>
      <c r="F46" s="1001"/>
      <c r="G46" s="1001"/>
      <c r="H46" s="1000">
        <v>1</v>
      </c>
      <c r="Q46" s="231"/>
      <c r="R46" s="232"/>
      <c r="S46" s="226" t="str">
        <f>INDEX(PT_DIFFERENTIATION_NUM_IST_TE,MATCH(D46,PT_DIFFERENTIATION_IST_TE_ID,0))</f>
        <v>...</v>
      </c>
      <c r="T46" s="235" t="s">
        <v>324</v>
      </c>
      <c r="U46" s="228"/>
      <c r="V46" s="995"/>
      <c r="W46" s="996"/>
      <c r="X46" s="996"/>
      <c r="Y46" s="996"/>
      <c r="Z46" s="996"/>
      <c r="AA46" s="996"/>
      <c r="AB46" s="996"/>
      <c r="AC46" s="997"/>
      <c r="AD46" s="995" t="str">
        <f>INDEX(PT_DIFFERENTIATION_IST_TE,MATCH(D46,PT_DIFFERENTIATION_IST_TE_ID,0))</f>
        <v/>
      </c>
      <c r="AE46" s="996"/>
      <c r="AF46" s="996"/>
      <c r="AG46" s="996"/>
      <c r="AH46" s="996"/>
      <c r="AI46" s="996"/>
      <c r="AJ46" s="996"/>
      <c r="AK46" s="996"/>
      <c r="AL46" s="997"/>
      <c r="AM46" s="230" t="s">
        <v>325</v>
      </c>
      <c r="AP46" s="29" t="str">
        <f t="shared" si="1"/>
        <v xml:space="preserve">Источник тепловой энергии  </v>
      </c>
      <c r="AS46" s="3">
        <v>21</v>
      </c>
    </row>
    <row r="47" spans="1:45" ht="49.5" customHeight="1">
      <c r="A47" s="284" t="s">
        <v>86</v>
      </c>
      <c r="B47" s="284" t="s">
        <v>87</v>
      </c>
      <c r="C47" s="284" t="s">
        <v>88</v>
      </c>
      <c r="D47" s="284" t="s">
        <v>89</v>
      </c>
      <c r="E47" s="1001"/>
      <c r="F47" s="1001"/>
      <c r="G47" s="1001"/>
      <c r="H47" s="1001"/>
      <c r="I47" s="1002" t="str">
        <f>S46&amp;".1"</f>
        <v>....1</v>
      </c>
      <c r="L47" s="237" t="s">
        <v>326</v>
      </c>
      <c r="P47" s="1004">
        <v>1</v>
      </c>
      <c r="R47" s="238"/>
      <c r="S47" s="226" t="str">
        <f>$I47</f>
        <v>....1</v>
      </c>
      <c r="T47" s="239" t="s">
        <v>327</v>
      </c>
      <c r="U47" s="228"/>
      <c r="V47" s="989"/>
      <c r="W47" s="990"/>
      <c r="X47" s="990"/>
      <c r="Y47" s="990"/>
      <c r="Z47" s="990"/>
      <c r="AA47" s="990"/>
      <c r="AB47" s="990"/>
      <c r="AC47" s="991"/>
      <c r="AD47" s="989"/>
      <c r="AE47" s="990"/>
      <c r="AF47" s="990"/>
      <c r="AG47" s="990"/>
      <c r="AH47" s="990"/>
      <c r="AI47" s="990"/>
      <c r="AJ47" s="990"/>
      <c r="AK47" s="990"/>
      <c r="AL47" s="991"/>
      <c r="AM47" s="230" t="s">
        <v>328</v>
      </c>
      <c r="AP47" s="29" t="str">
        <f t="shared" si="1"/>
        <v>Схема подключения теплопотребляющей установки к коллектору источника тепловой энергии</v>
      </c>
      <c r="AS47" s="3">
        <v>47</v>
      </c>
    </row>
    <row r="48" spans="1:45" ht="21.95" customHeight="1">
      <c r="A48" s="284" t="s">
        <v>86</v>
      </c>
      <c r="B48" s="284" t="s">
        <v>87</v>
      </c>
      <c r="C48" s="284" t="s">
        <v>88</v>
      </c>
      <c r="D48" s="284" t="s">
        <v>89</v>
      </c>
      <c r="E48" s="1001"/>
      <c r="F48" s="1001"/>
      <c r="G48" s="1001"/>
      <c r="H48" s="1001"/>
      <c r="I48" s="1003"/>
      <c r="J48" s="1002" t="str">
        <f>I47&amp;".1"</f>
        <v>....1.1</v>
      </c>
      <c r="L48" s="237" t="s">
        <v>329</v>
      </c>
      <c r="P48" s="885"/>
      <c r="Q48" s="1004">
        <v>1</v>
      </c>
      <c r="R48" s="240"/>
      <c r="S48" s="226" t="str">
        <f>$J48</f>
        <v>....1.1</v>
      </c>
      <c r="T48" s="241" t="s">
        <v>330</v>
      </c>
      <c r="U48" s="228"/>
      <c r="V48" s="989"/>
      <c r="W48" s="990"/>
      <c r="X48" s="990"/>
      <c r="Y48" s="990"/>
      <c r="Z48" s="990"/>
      <c r="AA48" s="990"/>
      <c r="AB48" s="990"/>
      <c r="AC48" s="991"/>
      <c r="AD48" s="989"/>
      <c r="AE48" s="990"/>
      <c r="AF48" s="990"/>
      <c r="AG48" s="990"/>
      <c r="AH48" s="990"/>
      <c r="AI48" s="990"/>
      <c r="AJ48" s="990"/>
      <c r="AK48" s="990"/>
      <c r="AL48" s="991"/>
      <c r="AM48" s="230" t="s">
        <v>331</v>
      </c>
      <c r="AP48" s="29" t="str">
        <f t="shared" si="1"/>
        <v>Группа потребителей</v>
      </c>
      <c r="AS48" s="3">
        <v>21</v>
      </c>
    </row>
    <row r="49" spans="1:45" ht="21.95" customHeight="1">
      <c r="A49" s="284" t="s">
        <v>86</v>
      </c>
      <c r="B49" s="284" t="s">
        <v>87</v>
      </c>
      <c r="C49" s="284" t="s">
        <v>88</v>
      </c>
      <c r="D49" s="284" t="s">
        <v>89</v>
      </c>
      <c r="E49" s="1001"/>
      <c r="F49" s="1001"/>
      <c r="G49" s="1001"/>
      <c r="H49" s="1001"/>
      <c r="I49" s="1003"/>
      <c r="J49" s="1003"/>
      <c r="K49" s="1002" t="str">
        <f>J48&amp;".1"</f>
        <v>....1.1.1</v>
      </c>
      <c r="L49" s="237" t="s">
        <v>332</v>
      </c>
      <c r="P49" s="885"/>
      <c r="Q49" s="885"/>
      <c r="R49" s="240">
        <v>1</v>
      </c>
      <c r="S49" s="226" t="str">
        <f>$K49</f>
        <v>....1.1.1</v>
      </c>
      <c r="T49" s="242"/>
      <c r="U49" s="228"/>
      <c r="V49" s="243"/>
      <c r="W49" s="244"/>
      <c r="X49" s="243"/>
      <c r="Y49" s="245"/>
      <c r="Z49" s="1005"/>
      <c r="AA49" s="895" t="s">
        <v>17</v>
      </c>
      <c r="AB49" s="1005"/>
      <c r="AC49" s="895" t="s">
        <v>17</v>
      </c>
      <c r="AD49" s="243"/>
      <c r="AE49" s="244"/>
      <c r="AF49" s="243"/>
      <c r="AG49" s="245"/>
      <c r="AH49" s="1005"/>
      <c r="AI49" s="895" t="s">
        <v>17</v>
      </c>
      <c r="AJ49" s="1007"/>
      <c r="AK49" s="895" t="s">
        <v>17</v>
      </c>
      <c r="AL49" s="285"/>
      <c r="AM49" s="1023" t="s">
        <v>333</v>
      </c>
      <c r="AN49" s="24" t="e">
        <f ca="1">STRCHECKDATE(V50:AL50)</f>
        <v>#NAME?</v>
      </c>
      <c r="AP49" s="29" t="str">
        <f t="shared" si="1"/>
        <v/>
      </c>
      <c r="AS49" s="3">
        <v>21</v>
      </c>
    </row>
    <row r="50" spans="1:45" ht="1.1499999999999999" customHeight="1">
      <c r="A50" s="284" t="s">
        <v>86</v>
      </c>
      <c r="B50" s="284" t="s">
        <v>87</v>
      </c>
      <c r="C50" s="284" t="s">
        <v>88</v>
      </c>
      <c r="D50" s="284" t="s">
        <v>89</v>
      </c>
      <c r="E50" s="1001"/>
      <c r="F50" s="1001"/>
      <c r="G50" s="1001"/>
      <c r="H50" s="1001"/>
      <c r="I50" s="1003"/>
      <c r="J50" s="1003"/>
      <c r="K50" s="1002"/>
      <c r="P50" s="885"/>
      <c r="Q50" s="885"/>
      <c r="R50" s="240"/>
      <c r="S50" s="209"/>
      <c r="T50" s="228"/>
      <c r="U50" s="228"/>
      <c r="V50" s="244"/>
      <c r="W50" s="244"/>
      <c r="X50" s="244"/>
      <c r="Y50" s="247" t="str">
        <f>Z49&amp;"-"&amp;AB49</f>
        <v>-</v>
      </c>
      <c r="Z50" s="1006"/>
      <c r="AA50" s="895"/>
      <c r="AB50" s="1006"/>
      <c r="AC50" s="895"/>
      <c r="AD50" s="244"/>
      <c r="AE50" s="244"/>
      <c r="AF50" s="244"/>
      <c r="AG50" s="247" t="str">
        <f>AH49&amp;"-"&amp;AJ49</f>
        <v>-</v>
      </c>
      <c r="AH50" s="1006"/>
      <c r="AI50" s="895"/>
      <c r="AJ50" s="1008"/>
      <c r="AK50" s="895"/>
      <c r="AL50" s="286"/>
      <c r="AM50" s="1024"/>
      <c r="AP50" s="29" t="str">
        <f t="shared" si="1"/>
        <v/>
      </c>
      <c r="AS50" s="3">
        <v>1</v>
      </c>
    </row>
    <row r="51" spans="1:45" ht="11.45" customHeight="1">
      <c r="A51" s="284" t="s">
        <v>86</v>
      </c>
      <c r="B51" s="284" t="s">
        <v>87</v>
      </c>
      <c r="C51" s="284" t="s">
        <v>88</v>
      </c>
      <c r="D51" s="284" t="s">
        <v>89</v>
      </c>
      <c r="E51" s="1001"/>
      <c r="F51" s="1001"/>
      <c r="G51" s="1001"/>
      <c r="H51" s="1001"/>
      <c r="I51" s="1003"/>
      <c r="J51" s="1002"/>
      <c r="P51" s="885"/>
      <c r="Q51" s="885"/>
      <c r="R51" s="238"/>
      <c r="S51" s="249"/>
      <c r="T51" s="250" t="s">
        <v>334</v>
      </c>
      <c r="U51" s="54"/>
      <c r="V51" s="54"/>
      <c r="W51" s="54"/>
      <c r="X51" s="54"/>
      <c r="Y51" s="54"/>
      <c r="Z51" s="54"/>
      <c r="AA51" s="54"/>
      <c r="AB51" s="54"/>
      <c r="AC51" s="54"/>
      <c r="AD51" s="54"/>
      <c r="AE51" s="54"/>
      <c r="AF51" s="54"/>
      <c r="AG51" s="54"/>
      <c r="AH51" s="54"/>
      <c r="AI51" s="54"/>
      <c r="AJ51" s="54"/>
      <c r="AK51" s="54"/>
      <c r="AL51" s="251"/>
      <c r="AM51" s="1025"/>
      <c r="AP51" s="29" t="str">
        <f t="shared" si="1"/>
        <v>Добавить вид теплоносителя (параметры теплоносителя)</v>
      </c>
      <c r="AS51" s="3">
        <v>11</v>
      </c>
    </row>
    <row r="52" spans="1:45" ht="11.45" customHeight="1">
      <c r="A52" s="284" t="s">
        <v>86</v>
      </c>
      <c r="B52" s="284" t="s">
        <v>87</v>
      </c>
      <c r="C52" s="284" t="s">
        <v>88</v>
      </c>
      <c r="D52" s="284" t="s">
        <v>89</v>
      </c>
      <c r="E52" s="1001"/>
      <c r="F52" s="1001"/>
      <c r="G52" s="1001"/>
      <c r="H52" s="1001"/>
      <c r="I52" s="1002"/>
      <c r="P52" s="885"/>
      <c r="R52" s="238"/>
      <c r="S52" s="249"/>
      <c r="T52" s="252" t="s">
        <v>335</v>
      </c>
      <c r="U52" s="54"/>
      <c r="V52" s="54"/>
      <c r="W52" s="54"/>
      <c r="X52" s="54"/>
      <c r="Y52" s="54"/>
      <c r="Z52" s="54"/>
      <c r="AA52" s="54"/>
      <c r="AB52" s="54"/>
      <c r="AC52" s="253"/>
      <c r="AD52" s="54"/>
      <c r="AE52" s="54"/>
      <c r="AF52" s="54"/>
      <c r="AG52" s="54"/>
      <c r="AH52" s="54"/>
      <c r="AI52" s="54"/>
      <c r="AJ52" s="54"/>
      <c r="AK52" s="253"/>
      <c r="AL52" s="54"/>
      <c r="AM52" s="254"/>
      <c r="AP52" s="29" t="str">
        <f t="shared" si="1"/>
        <v>Добавить группу потребителей</v>
      </c>
      <c r="AS52" s="3">
        <v>11</v>
      </c>
    </row>
    <row r="53" spans="1:45" ht="14.65" customHeight="1">
      <c r="A53" s="284" t="s">
        <v>86</v>
      </c>
      <c r="B53" s="284" t="s">
        <v>87</v>
      </c>
      <c r="C53" s="284" t="s">
        <v>88</v>
      </c>
      <c r="D53" s="284" t="s">
        <v>89</v>
      </c>
      <c r="E53" s="1001"/>
      <c r="F53" s="1001"/>
      <c r="G53" s="1001"/>
      <c r="H53" s="1000"/>
      <c r="R53" s="225"/>
      <c r="S53" s="249"/>
      <c r="T53" s="255" t="s">
        <v>336</v>
      </c>
      <c r="U53" s="54"/>
      <c r="V53" s="54"/>
      <c r="W53" s="54"/>
      <c r="X53" s="54"/>
      <c r="Y53" s="54"/>
      <c r="Z53" s="54"/>
      <c r="AA53" s="54"/>
      <c r="AB53" s="54"/>
      <c r="AC53" s="253"/>
      <c r="AD53" s="54"/>
      <c r="AE53" s="54"/>
      <c r="AF53" s="54"/>
      <c r="AG53" s="54"/>
      <c r="AH53" s="54"/>
      <c r="AI53" s="54"/>
      <c r="AJ53" s="54"/>
      <c r="AK53" s="253"/>
      <c r="AL53" s="54"/>
      <c r="AM53" s="254"/>
      <c r="AP53" s="29" t="str">
        <f t="shared" si="1"/>
        <v>Добавить схему подключения</v>
      </c>
      <c r="AS53" s="3">
        <v>14</v>
      </c>
    </row>
    <row r="54" spans="1:45" ht="1.1499999999999999" customHeight="1">
      <c r="A54" s="21" t="s">
        <v>86</v>
      </c>
      <c r="B54" s="21" t="s">
        <v>87</v>
      </c>
      <c r="C54" s="21" t="s">
        <v>88</v>
      </c>
      <c r="E54" s="1001"/>
      <c r="F54" s="1001"/>
      <c r="G54" s="1000"/>
      <c r="T54" s="260" t="s">
        <v>337</v>
      </c>
      <c r="AP54" s="29" t="str">
        <f t="shared" si="1"/>
        <v>Добавить источник для дифференциации</v>
      </c>
      <c r="AS54" s="24">
        <v>1</v>
      </c>
    </row>
    <row r="55" spans="1:45" ht="1.1499999999999999" customHeight="1">
      <c r="A55" s="21" t="s">
        <v>86</v>
      </c>
      <c r="B55" s="21" t="s">
        <v>87</v>
      </c>
      <c r="E55" s="1001"/>
      <c r="F55" s="1000"/>
      <c r="T55" s="260" t="s">
        <v>338</v>
      </c>
      <c r="AP55" s="29" t="str">
        <f t="shared" si="1"/>
        <v>Добавить централизованную систему для дифференциации</v>
      </c>
      <c r="AS55" s="24">
        <v>1</v>
      </c>
    </row>
    <row r="56" spans="1:45" ht="1.1499999999999999" customHeight="1">
      <c r="A56" s="21" t="s">
        <v>86</v>
      </c>
      <c r="E56" s="1000"/>
      <c r="T56" s="260" t="s">
        <v>339</v>
      </c>
      <c r="AP56" s="29" t="str">
        <f t="shared" si="1"/>
        <v>Добавить территорию для дифференциации</v>
      </c>
      <c r="AS56" s="24">
        <v>1</v>
      </c>
    </row>
    <row r="57" spans="1:45" ht="1.1499999999999999" customHeight="1">
      <c r="T57" s="260" t="s">
        <v>371</v>
      </c>
      <c r="AP57" s="29" t="str">
        <f t="shared" si="1"/>
        <v>Добавить наименование тарифа</v>
      </c>
      <c r="AS57" s="24">
        <v>1</v>
      </c>
    </row>
    <row r="58" spans="1:45" ht="11.45" customHeight="1">
      <c r="AS58" s="3">
        <v>11</v>
      </c>
    </row>
    <row r="59" spans="1:45" ht="28.5" customHeight="1">
      <c r="T59" s="885"/>
      <c r="U59" s="885"/>
      <c r="V59" s="885"/>
      <c r="W59" s="885"/>
      <c r="X59" s="885"/>
      <c r="Y59" s="885"/>
      <c r="Z59" s="885"/>
      <c r="AA59" s="885"/>
      <c r="AB59" s="885"/>
      <c r="AC59" s="885"/>
      <c r="AD59" s="885"/>
      <c r="AE59" s="885"/>
      <c r="AF59" s="885"/>
      <c r="AG59" s="885"/>
      <c r="AH59" s="885"/>
      <c r="AI59" s="885"/>
      <c r="AJ59" s="885"/>
      <c r="AK59" s="885"/>
      <c r="AL59" s="885"/>
      <c r="AM59" s="885"/>
      <c r="AS59" s="3">
        <v>27</v>
      </c>
    </row>
    <row r="60" spans="1:45" ht="65.25" customHeight="1">
      <c r="T60" s="885"/>
      <c r="U60" s="885"/>
      <c r="V60" s="885"/>
      <c r="W60" s="885"/>
      <c r="X60" s="885"/>
      <c r="Y60" s="885"/>
      <c r="Z60" s="885"/>
      <c r="AA60" s="885"/>
      <c r="AB60" s="885"/>
      <c r="AC60" s="885"/>
      <c r="AD60" s="885"/>
      <c r="AE60" s="885"/>
      <c r="AF60" s="885"/>
      <c r="AG60" s="885"/>
      <c r="AH60" s="885"/>
      <c r="AI60" s="885"/>
      <c r="AJ60" s="885"/>
      <c r="AK60" s="885"/>
      <c r="AL60" s="885"/>
      <c r="AM60" s="885"/>
      <c r="AS60" s="3">
        <v>62</v>
      </c>
    </row>
    <row r="61" spans="1:45" ht="14.65" customHeight="1">
      <c r="AS61" s="3">
        <v>14</v>
      </c>
    </row>
    <row r="62" spans="1:45" ht="18.75" customHeight="1">
      <c r="T62" s="885"/>
      <c r="U62" s="885"/>
      <c r="V62" s="885"/>
      <c r="W62" s="885"/>
      <c r="X62" s="885"/>
      <c r="Y62" s="885"/>
      <c r="Z62" s="885"/>
      <c r="AA62" s="885"/>
      <c r="AB62" s="885"/>
      <c r="AC62" s="885"/>
      <c r="AD62" s="885"/>
      <c r="AE62" s="885"/>
      <c r="AF62" s="885"/>
      <c r="AG62" s="885"/>
      <c r="AH62" s="885"/>
      <c r="AI62" s="885"/>
      <c r="AJ62" s="885"/>
      <c r="AK62" s="885"/>
      <c r="AL62" s="885"/>
      <c r="AM62" s="885"/>
      <c r="AS62" s="3">
        <v>18</v>
      </c>
    </row>
    <row r="63" spans="1:45" ht="18.75" customHeight="1">
      <c r="T63" s="885"/>
      <c r="U63" s="885"/>
      <c r="V63" s="885"/>
      <c r="W63" s="885"/>
      <c r="X63" s="885"/>
      <c r="Y63" s="885"/>
      <c r="Z63" s="885"/>
      <c r="AA63" s="885"/>
      <c r="AB63" s="885"/>
      <c r="AC63" s="885"/>
      <c r="AD63" s="885"/>
      <c r="AE63" s="885"/>
      <c r="AF63" s="885"/>
      <c r="AG63" s="885"/>
      <c r="AH63" s="885"/>
      <c r="AI63" s="885"/>
      <c r="AJ63" s="885"/>
      <c r="AK63" s="885"/>
      <c r="AL63" s="885"/>
      <c r="AM63" s="885"/>
      <c r="AS63" s="3">
        <v>18</v>
      </c>
    </row>
    <row r="64" spans="1:45" ht="29.25" customHeight="1">
      <c r="T64" s="885"/>
      <c r="U64" s="885"/>
      <c r="V64" s="885"/>
      <c r="W64" s="885"/>
      <c r="X64" s="885"/>
      <c r="Y64" s="885"/>
      <c r="Z64" s="885"/>
      <c r="AA64" s="885"/>
      <c r="AB64" s="885"/>
      <c r="AC64" s="885"/>
      <c r="AD64" s="885"/>
      <c r="AE64" s="885"/>
      <c r="AF64" s="885"/>
      <c r="AG64" s="885"/>
      <c r="AH64" s="885"/>
      <c r="AI64" s="885"/>
      <c r="AJ64" s="885"/>
      <c r="AK64" s="885"/>
      <c r="AL64" s="885"/>
      <c r="AM64" s="885"/>
      <c r="AS64" s="3">
        <v>28</v>
      </c>
    </row>
    <row r="65" spans="1:45" ht="22.5" hidden="1" customHeight="1">
      <c r="A65" s="11" t="s">
        <v>18</v>
      </c>
      <c r="B65" s="11">
        <v>0</v>
      </c>
      <c r="C65" s="11">
        <v>0</v>
      </c>
      <c r="D65" s="11">
        <v>0</v>
      </c>
      <c r="E65" s="11">
        <v>0</v>
      </c>
      <c r="F65" s="11">
        <v>0</v>
      </c>
      <c r="G65" s="11">
        <v>0</v>
      </c>
      <c r="H65" s="11">
        <v>0</v>
      </c>
      <c r="I65" s="11">
        <v>0</v>
      </c>
      <c r="J65" s="11">
        <v>0</v>
      </c>
      <c r="K65" s="11">
        <v>0</v>
      </c>
      <c r="L65" s="171">
        <v>0</v>
      </c>
      <c r="M65" s="13">
        <v>0</v>
      </c>
      <c r="N65" s="13">
        <v>0</v>
      </c>
      <c r="O65" s="13">
        <v>0</v>
      </c>
      <c r="P65" s="287">
        <v>3</v>
      </c>
      <c r="Q65" s="288">
        <v>3</v>
      </c>
      <c r="R65" s="288">
        <v>3</v>
      </c>
      <c r="S65" s="9">
        <v>12</v>
      </c>
      <c r="T65" s="3">
        <v>31</v>
      </c>
      <c r="U65" s="3">
        <v>0</v>
      </c>
      <c r="V65" s="3">
        <v>0</v>
      </c>
      <c r="W65" s="3">
        <v>0</v>
      </c>
      <c r="X65" s="3">
        <v>0</v>
      </c>
      <c r="Y65" s="3">
        <v>0</v>
      </c>
      <c r="Z65" s="3">
        <v>0</v>
      </c>
      <c r="AA65" s="3">
        <v>0</v>
      </c>
      <c r="AB65" s="3">
        <v>0</v>
      </c>
      <c r="AC65" s="3">
        <v>0</v>
      </c>
      <c r="AD65" s="3">
        <v>24</v>
      </c>
      <c r="AE65" s="3">
        <v>0</v>
      </c>
      <c r="AF65" s="3">
        <v>24</v>
      </c>
      <c r="AG65" s="3">
        <v>24</v>
      </c>
      <c r="AH65" s="3">
        <v>11</v>
      </c>
      <c r="AI65" s="3">
        <v>3</v>
      </c>
      <c r="AJ65" s="3">
        <v>11</v>
      </c>
      <c r="AK65" s="3">
        <v>0</v>
      </c>
      <c r="AL65" s="3">
        <v>4</v>
      </c>
      <c r="AM65" s="3">
        <v>115</v>
      </c>
      <c r="AN65" s="24">
        <v>10</v>
      </c>
      <c r="AO65" s="24">
        <v>10</v>
      </c>
      <c r="AP65" s="24">
        <v>10</v>
      </c>
      <c r="AQ65" s="24">
        <v>10</v>
      </c>
      <c r="AR65" s="24">
        <v>10</v>
      </c>
      <c r="AS65" s="3">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
  <sheetViews>
    <sheetView showGridLines="0" workbookViewId="0"/>
  </sheetViews>
  <sheetFormatPr defaultColWidth="9.140625" defaultRowHeight="15" customHeight="1"/>
  <cols>
    <col min="1" max="1" width="38.42578125" customWidth="1"/>
  </cols>
  <sheetData>
    <row r="1" spans="1:2" ht="15" customHeight="1">
      <c r="A1" s="875" t="s">
        <v>3441</v>
      </c>
      <c r="B1" s="875" t="s">
        <v>3442</v>
      </c>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3443</v>
      </c>
      <c r="B1" t="b">
        <v>1</v>
      </c>
    </row>
    <row r="2" spans="1:2" ht="11.25" customHeight="1">
      <c r="A2" t="s">
        <v>3444</v>
      </c>
      <c r="B2" t="b">
        <v>0</v>
      </c>
    </row>
    <row r="3" spans="1:2" ht="11.25" customHeight="1">
      <c r="A3" t="s">
        <v>3445</v>
      </c>
      <c r="B3" t="b">
        <v>0</v>
      </c>
    </row>
    <row r="4" spans="1:2" ht="11.25" customHeight="1">
      <c r="A4" t="s">
        <v>3446</v>
      </c>
      <c r="B4" t="b">
        <v>0</v>
      </c>
    </row>
    <row r="5" spans="1:2" ht="11.25" customHeight="1">
      <c r="A5" t="s">
        <v>3447</v>
      </c>
      <c r="B5" t="b">
        <v>0</v>
      </c>
    </row>
    <row r="6" spans="1:2" ht="11.25" customHeight="1">
      <c r="A6" t="s">
        <v>3448</v>
      </c>
      <c r="B6" t="b">
        <v>1</v>
      </c>
    </row>
    <row r="7" spans="1:2" ht="11.25" customHeight="1">
      <c r="A7" t="s">
        <v>3449</v>
      </c>
      <c r="B7" t="b">
        <v>0</v>
      </c>
    </row>
    <row r="8" spans="1:2" ht="11.25" customHeight="1">
      <c r="A8" t="s">
        <v>3450</v>
      </c>
      <c r="B8" t="b">
        <v>0</v>
      </c>
    </row>
    <row r="9" spans="1:2" ht="11.25" customHeight="1">
      <c r="A9" t="s">
        <v>3451</v>
      </c>
      <c r="B9" t="b">
        <v>0</v>
      </c>
    </row>
    <row r="10" spans="1:2" ht="11.25" customHeight="1">
      <c r="A10" t="s">
        <v>3452</v>
      </c>
      <c r="B10" t="b">
        <v>0</v>
      </c>
    </row>
    <row r="11" spans="1:2" ht="11.25" customHeight="1">
      <c r="A11" t="s">
        <v>3453</v>
      </c>
      <c r="B11" t="b">
        <v>1</v>
      </c>
    </row>
    <row r="12" spans="1:2" ht="11.25" customHeight="1">
      <c r="A12" t="s">
        <v>3454</v>
      </c>
      <c r="B12" t="b">
        <v>0</v>
      </c>
    </row>
    <row r="13" spans="1:2" ht="11.25" customHeight="1">
      <c r="A13" t="s">
        <v>3455</v>
      </c>
      <c r="B13" t="b">
        <v>0</v>
      </c>
    </row>
    <row r="14" spans="1:2" ht="11.25" customHeight="1">
      <c r="A14" t="s">
        <v>3456</v>
      </c>
      <c r="B14" t="b">
        <v>0</v>
      </c>
    </row>
    <row r="15" spans="1:2" ht="11.25" customHeight="1">
      <c r="A15" t="s">
        <v>3457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70"/>
  <sheetViews>
    <sheetView showGridLines="0" workbookViewId="0"/>
  </sheetViews>
  <sheetFormatPr defaultColWidth="9.140625" defaultRowHeight="11.25" customHeight="1"/>
  <cols>
    <col min="1" max="1" width="36.28515625" customWidth="1"/>
    <col min="2" max="2" width="21.140625" customWidth="1"/>
  </cols>
  <sheetData>
    <row r="1" spans="1:2" ht="11.25" customHeight="1">
      <c r="A1" s="876" t="s">
        <v>3458</v>
      </c>
      <c r="B1" s="876" t="s">
        <v>3459</v>
      </c>
    </row>
    <row r="2" spans="1:2" ht="11.25" customHeight="1">
      <c r="A2" s="39" t="s">
        <v>3460</v>
      </c>
      <c r="B2" s="39" t="s">
        <v>3461</v>
      </c>
    </row>
    <row r="3" spans="1:2" ht="11.25" customHeight="1">
      <c r="A3" s="39" t="s">
        <v>3462</v>
      </c>
      <c r="B3" s="39" t="s">
        <v>3463</v>
      </c>
    </row>
    <row r="4" spans="1:2" ht="11.25" customHeight="1">
      <c r="A4" s="39" t="s">
        <v>3464</v>
      </c>
      <c r="B4" s="39" t="s">
        <v>3465</v>
      </c>
    </row>
    <row r="5" spans="1:2" ht="11.25" customHeight="1">
      <c r="A5" s="39" t="s">
        <v>3466</v>
      </c>
      <c r="B5" s="39" t="s">
        <v>3467</v>
      </c>
    </row>
    <row r="6" spans="1:2" ht="11.25" customHeight="1">
      <c r="A6" s="39" t="s">
        <v>3468</v>
      </c>
      <c r="B6" s="39" t="s">
        <v>3469</v>
      </c>
    </row>
    <row r="7" spans="1:2" ht="11.25" customHeight="1">
      <c r="A7" s="39" t="s">
        <v>3470</v>
      </c>
      <c r="B7" s="39" t="s">
        <v>3471</v>
      </c>
    </row>
    <row r="8" spans="1:2" ht="11.25" customHeight="1">
      <c r="A8" s="39" t="s">
        <v>3472</v>
      </c>
      <c r="B8" s="39" t="s">
        <v>3473</v>
      </c>
    </row>
    <row r="9" spans="1:2" ht="11.25" customHeight="1">
      <c r="A9" s="39" t="s">
        <v>3474</v>
      </c>
      <c r="B9" s="39" t="s">
        <v>3475</v>
      </c>
    </row>
    <row r="10" spans="1:2" ht="11.25" customHeight="1">
      <c r="A10" s="39" t="s">
        <v>3476</v>
      </c>
      <c r="B10" s="39" t="s">
        <v>3477</v>
      </c>
    </row>
    <row r="11" spans="1:2" ht="11.25" customHeight="1">
      <c r="A11" s="39" t="s">
        <v>3478</v>
      </c>
      <c r="B11" s="39" t="s">
        <v>3479</v>
      </c>
    </row>
    <row r="12" spans="1:2" ht="11.25" customHeight="1">
      <c r="A12" s="39" t="s">
        <v>3480</v>
      </c>
      <c r="B12" s="39" t="s">
        <v>3481</v>
      </c>
    </row>
    <row r="13" spans="1:2" ht="11.25" customHeight="1">
      <c r="A13" s="39" t="s">
        <v>3482</v>
      </c>
      <c r="B13" s="39" t="s">
        <v>3483</v>
      </c>
    </row>
    <row r="14" spans="1:2" ht="11.25" customHeight="1">
      <c r="A14" s="39" t="s">
        <v>3484</v>
      </c>
      <c r="B14" s="39" t="s">
        <v>3485</v>
      </c>
    </row>
    <row r="15" spans="1:2" ht="11.25" customHeight="1">
      <c r="A15" s="39" t="s">
        <v>3486</v>
      </c>
      <c r="B15" s="39" t="s">
        <v>3487</v>
      </c>
    </row>
    <row r="16" spans="1:2" ht="11.25" customHeight="1">
      <c r="A16" s="39" t="s">
        <v>3488</v>
      </c>
      <c r="B16" s="39" t="s">
        <v>3489</v>
      </c>
    </row>
    <row r="17" spans="1:2" ht="11.25" customHeight="1">
      <c r="A17" s="39" t="s">
        <v>3490</v>
      </c>
      <c r="B17" s="39" t="s">
        <v>3491</v>
      </c>
    </row>
    <row r="18" spans="1:2" ht="11.25" customHeight="1">
      <c r="A18" s="39" t="s">
        <v>3492</v>
      </c>
      <c r="B18" s="39" t="s">
        <v>3493</v>
      </c>
    </row>
    <row r="19" spans="1:2" ht="11.25" customHeight="1">
      <c r="A19" s="39" t="s">
        <v>3494</v>
      </c>
      <c r="B19" s="39" t="s">
        <v>3495</v>
      </c>
    </row>
    <row r="20" spans="1:2" ht="11.25" customHeight="1">
      <c r="A20" s="39" t="s">
        <v>3496</v>
      </c>
      <c r="B20" s="39" t="s">
        <v>3497</v>
      </c>
    </row>
    <row r="21" spans="1:2" ht="11.25" customHeight="1">
      <c r="A21" s="39" t="s">
        <v>3498</v>
      </c>
      <c r="B21" s="39" t="s">
        <v>3499</v>
      </c>
    </row>
    <row r="22" spans="1:2" ht="11.25" customHeight="1">
      <c r="A22" s="39" t="s">
        <v>3500</v>
      </c>
      <c r="B22" s="39" t="s">
        <v>3501</v>
      </c>
    </row>
    <row r="23" spans="1:2" ht="11.25" customHeight="1">
      <c r="A23" s="39" t="s">
        <v>3502</v>
      </c>
      <c r="B23" s="39" t="s">
        <v>3503</v>
      </c>
    </row>
    <row r="24" spans="1:2" ht="11.25" customHeight="1">
      <c r="A24" s="39" t="s">
        <v>3504</v>
      </c>
      <c r="B24" s="39" t="s">
        <v>3505</v>
      </c>
    </row>
    <row r="25" spans="1:2" ht="11.25" customHeight="1">
      <c r="A25" s="39" t="s">
        <v>3506</v>
      </c>
      <c r="B25" s="39" t="s">
        <v>3507</v>
      </c>
    </row>
    <row r="26" spans="1:2" ht="11.25" customHeight="1">
      <c r="A26" s="39" t="s">
        <v>3508</v>
      </c>
      <c r="B26" s="39" t="s">
        <v>3509</v>
      </c>
    </row>
    <row r="27" spans="1:2" ht="11.25" customHeight="1">
      <c r="A27" s="39" t="s">
        <v>3510</v>
      </c>
      <c r="B27" s="39" t="s">
        <v>3511</v>
      </c>
    </row>
    <row r="28" spans="1:2" ht="11.25" customHeight="1">
      <c r="A28" s="39" t="s">
        <v>3512</v>
      </c>
      <c r="B28" s="39" t="s">
        <v>3513</v>
      </c>
    </row>
    <row r="29" spans="1:2" ht="11.25" customHeight="1">
      <c r="A29" s="39" t="s">
        <v>3514</v>
      </c>
      <c r="B29" s="39" t="s">
        <v>3515</v>
      </c>
    </row>
    <row r="30" spans="1:2" ht="11.25" customHeight="1">
      <c r="A30" s="39" t="s">
        <v>3516</v>
      </c>
      <c r="B30" s="39" t="s">
        <v>3517</v>
      </c>
    </row>
    <row r="31" spans="1:2" ht="11.25" customHeight="1">
      <c r="A31" s="39" t="s">
        <v>3518</v>
      </c>
      <c r="B31" s="39" t="s">
        <v>3519</v>
      </c>
    </row>
    <row r="32" spans="1:2" ht="11.25" customHeight="1">
      <c r="A32" s="39" t="s">
        <v>3520</v>
      </c>
      <c r="B32" s="39" t="s">
        <v>3521</v>
      </c>
    </row>
    <row r="33" spans="1:2" ht="11.25" customHeight="1">
      <c r="A33" s="39" t="s">
        <v>3522</v>
      </c>
      <c r="B33" s="39" t="s">
        <v>3523</v>
      </c>
    </row>
    <row r="34" spans="1:2" ht="11.25" customHeight="1">
      <c r="A34" s="39" t="s">
        <v>3524</v>
      </c>
      <c r="B34" s="39" t="s">
        <v>3525</v>
      </c>
    </row>
    <row r="35" spans="1:2" ht="11.25" customHeight="1">
      <c r="A35" s="39" t="s">
        <v>3526</v>
      </c>
      <c r="B35" s="39" t="s">
        <v>3527</v>
      </c>
    </row>
    <row r="36" spans="1:2" ht="11.25" customHeight="1">
      <c r="A36" s="39" t="s">
        <v>3528</v>
      </c>
      <c r="B36" s="39" t="s">
        <v>3529</v>
      </c>
    </row>
    <row r="37" spans="1:2" ht="11.25" customHeight="1">
      <c r="A37" s="39" t="s">
        <v>3530</v>
      </c>
      <c r="B37" s="39" t="s">
        <v>3531</v>
      </c>
    </row>
    <row r="38" spans="1:2" ht="11.25" customHeight="1">
      <c r="A38" s="39" t="s">
        <v>3532</v>
      </c>
      <c r="B38" s="39" t="s">
        <v>3533</v>
      </c>
    </row>
    <row r="39" spans="1:2" ht="11.25" customHeight="1">
      <c r="A39" s="39" t="s">
        <v>3534</v>
      </c>
      <c r="B39" s="39" t="s">
        <v>3535</v>
      </c>
    </row>
    <row r="40" spans="1:2" ht="11.25" customHeight="1">
      <c r="A40" s="39" t="s">
        <v>3536</v>
      </c>
      <c r="B40" s="39" t="s">
        <v>3537</v>
      </c>
    </row>
    <row r="41" spans="1:2" ht="11.25" customHeight="1">
      <c r="A41" s="39" t="s">
        <v>3538</v>
      </c>
      <c r="B41" s="39" t="s">
        <v>3539</v>
      </c>
    </row>
    <row r="42" spans="1:2" ht="11.25" customHeight="1">
      <c r="A42" s="39" t="s">
        <v>3540</v>
      </c>
      <c r="B42" s="39" t="s">
        <v>3541</v>
      </c>
    </row>
    <row r="43" spans="1:2" ht="11.25" customHeight="1">
      <c r="A43" s="39" t="s">
        <v>3542</v>
      </c>
      <c r="B43" s="39" t="s">
        <v>3543</v>
      </c>
    </row>
    <row r="44" spans="1:2" ht="11.25" customHeight="1">
      <c r="A44" s="39" t="s">
        <v>3544</v>
      </c>
      <c r="B44" s="39" t="s">
        <v>3545</v>
      </c>
    </row>
    <row r="45" spans="1:2" ht="11.25" customHeight="1">
      <c r="A45" s="39" t="s">
        <v>3546</v>
      </c>
      <c r="B45" s="39" t="s">
        <v>3547</v>
      </c>
    </row>
    <row r="46" spans="1:2" ht="11.25" customHeight="1">
      <c r="A46" s="39" t="s">
        <v>3548</v>
      </c>
      <c r="B46" s="39" t="s">
        <v>3549</v>
      </c>
    </row>
    <row r="47" spans="1:2" ht="11.25" customHeight="1">
      <c r="A47" s="39" t="s">
        <v>3550</v>
      </c>
      <c r="B47" s="39" t="s">
        <v>3551</v>
      </c>
    </row>
    <row r="48" spans="1:2" ht="11.25" customHeight="1">
      <c r="A48" s="39" t="s">
        <v>3552</v>
      </c>
      <c r="B48" s="39" t="s">
        <v>3553</v>
      </c>
    </row>
    <row r="49" spans="1:2" ht="11.25" customHeight="1">
      <c r="A49" s="39" t="s">
        <v>3554</v>
      </c>
      <c r="B49" s="39" t="s">
        <v>3555</v>
      </c>
    </row>
    <row r="50" spans="1:2" ht="11.25" customHeight="1">
      <c r="A50" s="39" t="s">
        <v>3556</v>
      </c>
      <c r="B50" s="39" t="s">
        <v>3557</v>
      </c>
    </row>
    <row r="51" spans="1:2" ht="11.25" customHeight="1">
      <c r="A51" s="39" t="s">
        <v>3558</v>
      </c>
      <c r="B51" s="39" t="s">
        <v>3559</v>
      </c>
    </row>
    <row r="52" spans="1:2" ht="11.25" customHeight="1">
      <c r="A52" s="39" t="s">
        <v>3560</v>
      </c>
      <c r="B52" s="39" t="s">
        <v>3561</v>
      </c>
    </row>
    <row r="53" spans="1:2" ht="11.25" customHeight="1">
      <c r="A53" s="39" t="s">
        <v>3562</v>
      </c>
      <c r="B53" s="39" t="s">
        <v>3563</v>
      </c>
    </row>
    <row r="54" spans="1:2" ht="11.25" customHeight="1">
      <c r="A54" s="39" t="s">
        <v>3564</v>
      </c>
      <c r="B54" s="39" t="s">
        <v>3565</v>
      </c>
    </row>
    <row r="55" spans="1:2" ht="11.25" customHeight="1">
      <c r="A55" s="39" t="s">
        <v>3566</v>
      </c>
      <c r="B55" s="39" t="s">
        <v>3567</v>
      </c>
    </row>
    <row r="56" spans="1:2" ht="11.25" customHeight="1">
      <c r="A56" s="39" t="s">
        <v>3568</v>
      </c>
      <c r="B56" s="39" t="s">
        <v>3569</v>
      </c>
    </row>
    <row r="57" spans="1:2" ht="11.25" customHeight="1">
      <c r="A57" s="39" t="s">
        <v>3570</v>
      </c>
      <c r="B57" s="39" t="s">
        <v>3571</v>
      </c>
    </row>
    <row r="58" spans="1:2" ht="11.25" customHeight="1">
      <c r="A58" s="39" t="s">
        <v>3572</v>
      </c>
      <c r="B58" s="39" t="s">
        <v>3573</v>
      </c>
    </row>
    <row r="59" spans="1:2" ht="11.25" customHeight="1">
      <c r="A59" s="39" t="s">
        <v>3574</v>
      </c>
      <c r="B59" s="39" t="s">
        <v>3575</v>
      </c>
    </row>
    <row r="60" spans="1:2" ht="11.25" customHeight="1">
      <c r="A60" s="39" t="s">
        <v>3576</v>
      </c>
      <c r="B60" s="39" t="s">
        <v>3577</v>
      </c>
    </row>
    <row r="61" spans="1:2" ht="11.25" customHeight="1">
      <c r="B61" s="39" t="s">
        <v>3578</v>
      </c>
    </row>
    <row r="62" spans="1:2" ht="11.25" customHeight="1">
      <c r="B62" s="39" t="s">
        <v>3579</v>
      </c>
    </row>
    <row r="63" spans="1:2" ht="11.25" customHeight="1">
      <c r="B63" s="39" t="s">
        <v>3580</v>
      </c>
    </row>
    <row r="64" spans="1:2" ht="11.25" customHeight="1">
      <c r="B64" s="39" t="s">
        <v>3581</v>
      </c>
    </row>
    <row r="65" spans="2:2" ht="11.25" customHeight="1">
      <c r="B65" s="39" t="s">
        <v>3582</v>
      </c>
    </row>
    <row r="66" spans="2:2" ht="11.25" customHeight="1">
      <c r="B66" s="39" t="s">
        <v>3583</v>
      </c>
    </row>
    <row r="67" spans="2:2" ht="11.25" customHeight="1">
      <c r="B67" s="39" t="s">
        <v>3584</v>
      </c>
    </row>
    <row r="68" spans="2:2" ht="11.25" customHeight="1">
      <c r="B68" s="39" t="s">
        <v>3585</v>
      </c>
    </row>
    <row r="69" spans="2:2" ht="11.25" customHeight="1">
      <c r="B69" s="39" t="s">
        <v>3586</v>
      </c>
    </row>
    <row r="70" spans="2:2" ht="11.25" customHeight="1">
      <c r="B70" s="39" t="s">
        <v>3587</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36"/>
  <sheetViews>
    <sheetView showGridLines="0" workbookViewId="0"/>
  </sheetViews>
  <sheetFormatPr defaultColWidth="9.140625" defaultRowHeight="11.25" customHeight="1"/>
  <cols>
    <col min="1" max="1" width="3.7109375" customWidth="1"/>
    <col min="2" max="2" width="90.7109375" customWidth="1"/>
  </cols>
  <sheetData>
    <row r="1" spans="2:2" ht="11.25" customHeight="1">
      <c r="B1" s="877" t="s">
        <v>3588</v>
      </c>
    </row>
    <row r="2" spans="2:2" ht="90" customHeight="1">
      <c r="B2" s="878" t="s">
        <v>3589</v>
      </c>
    </row>
    <row r="3" spans="2:2" ht="67.5" customHeight="1">
      <c r="B3" s="878" t="s">
        <v>3590</v>
      </c>
    </row>
    <row r="4" spans="2:2" ht="33.75" customHeight="1">
      <c r="B4" s="878" t="s">
        <v>3591</v>
      </c>
    </row>
    <row r="5" spans="2:2" ht="11.25" customHeight="1">
      <c r="B5" s="878" t="s">
        <v>3592</v>
      </c>
    </row>
    <row r="6" spans="2:2" ht="22.5" customHeight="1">
      <c r="B6" s="878" t="s">
        <v>3593</v>
      </c>
    </row>
    <row r="7" spans="2:2" ht="22.5" customHeight="1">
      <c r="B7" s="878" t="s">
        <v>3594</v>
      </c>
    </row>
    <row r="8" spans="2:2" ht="22.5" customHeight="1">
      <c r="B8" s="878" t="s">
        <v>3595</v>
      </c>
    </row>
    <row r="9" spans="2:2" ht="22.5" customHeight="1">
      <c r="B9" s="878" t="s">
        <v>3596</v>
      </c>
    </row>
    <row r="10" spans="2:2" ht="56.25" customHeight="1">
      <c r="B10" s="878" t="s">
        <v>3597</v>
      </c>
    </row>
    <row r="11" spans="2:2" ht="12.75" customHeight="1">
      <c r="B11" s="879" t="s">
        <v>3598</v>
      </c>
    </row>
    <row r="12" spans="2:2" ht="11.25" customHeight="1">
      <c r="B12" s="877" t="s">
        <v>3599</v>
      </c>
    </row>
    <row r="13" spans="2:2" ht="22.5" customHeight="1">
      <c r="B13" s="878" t="s">
        <v>3600</v>
      </c>
    </row>
    <row r="14" spans="2:2" ht="67.5" customHeight="1">
      <c r="B14" s="878" t="s">
        <v>3601</v>
      </c>
    </row>
    <row r="15" spans="2:2" ht="22.5" customHeight="1">
      <c r="B15" s="878" t="s">
        <v>3602</v>
      </c>
    </row>
    <row r="16" spans="2:2" ht="11.25" customHeight="1">
      <c r="B16" s="877" t="s">
        <v>3603</v>
      </c>
    </row>
    <row r="17" spans="2:2" ht="33.75" customHeight="1">
      <c r="B17" s="878" t="s">
        <v>3604</v>
      </c>
    </row>
    <row r="18" spans="2:2" ht="33.75" customHeight="1">
      <c r="B18" s="878" t="s">
        <v>3605</v>
      </c>
    </row>
    <row r="19" spans="2:2" ht="11.25" customHeight="1">
      <c r="B19" s="878" t="s">
        <v>3606</v>
      </c>
    </row>
    <row r="20" spans="2:2" ht="33.75" customHeight="1">
      <c r="B20" s="878" t="s">
        <v>3607</v>
      </c>
    </row>
    <row r="21" spans="2:2" ht="11.25" customHeight="1">
      <c r="B21" s="877" t="s">
        <v>3608</v>
      </c>
    </row>
    <row r="22" spans="2:2" ht="11.25" customHeight="1">
      <c r="B22" s="878" t="s">
        <v>3609</v>
      </c>
    </row>
    <row r="24" spans="2:2" ht="22.5" customHeight="1">
      <c r="B24" s="880" t="s">
        <v>3610</v>
      </c>
    </row>
    <row r="26" spans="2:2" ht="11.25" customHeight="1">
      <c r="B26" s="877" t="s">
        <v>3611</v>
      </c>
    </row>
    <row r="27" spans="2:2" ht="22.5" customHeight="1">
      <c r="B27" s="188" t="s">
        <v>319</v>
      </c>
    </row>
    <row r="28" spans="2:2" ht="56.25" customHeight="1">
      <c r="B28" s="188" t="s">
        <v>3612</v>
      </c>
    </row>
    <row r="29" spans="2:2" ht="11.25" customHeight="1">
      <c r="B29" s="881" t="s">
        <v>3613</v>
      </c>
    </row>
    <row r="30" spans="2:2" ht="22.5" customHeight="1">
      <c r="B30" s="188" t="s">
        <v>3614</v>
      </c>
    </row>
    <row r="32" spans="2:2" ht="11.25" customHeight="1">
      <c r="B32" s="882" t="s">
        <v>3615</v>
      </c>
    </row>
    <row r="33" spans="1:2" ht="14.25" customHeight="1">
      <c r="A33" s="883">
        <v>1</v>
      </c>
      <c r="B33" s="884" t="s">
        <v>3616</v>
      </c>
    </row>
    <row r="34" spans="1:2" ht="14.25" customHeight="1">
      <c r="A34" s="883">
        <v>2</v>
      </c>
      <c r="B34" s="884" t="s">
        <v>3617</v>
      </c>
    </row>
    <row r="35" spans="1:2" ht="11.25" customHeight="1">
      <c r="B35" s="882" t="s">
        <v>3618</v>
      </c>
    </row>
    <row r="36" spans="1:2" ht="11.25" customHeight="1">
      <c r="B36" s="884" t="s">
        <v>3619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8" width="3" customWidth="1"/>
    <col min="19" max="19" width="12" customWidth="1"/>
    <col min="20" max="20" width="31" customWidth="1"/>
    <col min="21" max="21" width="0.140625" customWidth="1"/>
    <col min="22" max="22" width="24.7109375" hidden="1" customWidth="1"/>
    <col min="23" max="23" width="0.140625" hidden="1" customWidth="1"/>
    <col min="24" max="25" width="24.7109375" hidden="1" customWidth="1"/>
    <col min="26" max="26" width="11.7109375" hidden="1" customWidth="1"/>
    <col min="27" max="27" width="3.7109375" hidden="1" customWidth="1"/>
    <col min="28" max="28" width="11.7109375" hidden="1" customWidth="1"/>
    <col min="29" max="29" width="8.5703125" hidden="1" customWidth="1"/>
    <col min="30" max="30" width="24.7109375" customWidth="1"/>
    <col min="31" max="31" width="0.140625" customWidth="1"/>
    <col min="32" max="33" width="24" customWidth="1"/>
    <col min="34" max="34" width="11" customWidth="1"/>
    <col min="35" max="35" width="3.7109375" customWidth="1"/>
    <col min="36" max="36" width="11" customWidth="1"/>
    <col min="37" max="37" width="8.5703125" hidden="1" customWidth="1"/>
    <col min="38" max="38" width="4" customWidth="1"/>
    <col min="39" max="39" width="115" customWidth="1"/>
    <col min="40" max="44" width="10" customWidth="1"/>
    <col min="45" max="45" width="10.5703125" hidden="1"/>
  </cols>
  <sheetData>
    <row r="1" spans="5:45" ht="22.5" hidden="1" customHeight="1">
      <c r="AS1" s="3" t="s">
        <v>1</v>
      </c>
    </row>
    <row r="2" spans="5:45" ht="21" hidden="1" customHeight="1">
      <c r="E2" s="1026">
        <v>1</v>
      </c>
      <c r="R2" s="225"/>
      <c r="S2" s="226" t="e">
        <f>INDEX(PT_DIFFERENTIATION_NUM_NTAR,MATCH(A2,PT_DIFFERENTIATION_NTAR_ID,0))</f>
        <v>#N/A</v>
      </c>
      <c r="T2" s="227" t="s">
        <v>48</v>
      </c>
      <c r="U2" s="228"/>
      <c r="V2" s="995"/>
      <c r="W2" s="996"/>
      <c r="X2" s="996"/>
      <c r="Y2" s="996"/>
      <c r="Z2" s="996"/>
      <c r="AA2" s="996"/>
      <c r="AB2" s="996"/>
      <c r="AC2" s="997"/>
      <c r="AD2" s="995" t="e">
        <f>INDEX(PT_DIFFERENTIATION_NTAR,MATCH(A2,PT_DIFFERENTIATION_NTAR_ID,0))</f>
        <v>#N/A</v>
      </c>
      <c r="AE2" s="996"/>
      <c r="AF2" s="996"/>
      <c r="AG2" s="996"/>
      <c r="AH2" s="996"/>
      <c r="AI2" s="996"/>
      <c r="AJ2" s="996"/>
      <c r="AK2" s="996"/>
      <c r="AL2" s="997"/>
      <c r="AM2" s="230" t="s">
        <v>319</v>
      </c>
      <c r="AP2" s="29" t="str">
        <f t="shared" ref="AP2:AP15" si="0">IF(T2="","",T2)</f>
        <v>Наименование тарифа</v>
      </c>
      <c r="AS2" s="3">
        <v>0</v>
      </c>
    </row>
    <row r="3" spans="5:45" ht="21" hidden="1" customHeight="1">
      <c r="E3" s="1027"/>
      <c r="F3" s="1026">
        <v>1</v>
      </c>
      <c r="Q3" s="231"/>
      <c r="R3" s="232"/>
      <c r="S3" s="226" t="e">
        <f>INDEX(PT_DIFFERENTIATION_NUM_TER,MATCH(B3,PT_DIFFERENTIATION_TER_ID,0))</f>
        <v>#N/A</v>
      </c>
      <c r="T3" s="233" t="s">
        <v>320</v>
      </c>
      <c r="U3" s="228"/>
      <c r="V3" s="995"/>
      <c r="W3" s="996"/>
      <c r="X3" s="996"/>
      <c r="Y3" s="996"/>
      <c r="Z3" s="996"/>
      <c r="AA3" s="996"/>
      <c r="AB3" s="996"/>
      <c r="AC3" s="997"/>
      <c r="AD3" s="995" t="e">
        <f>INDEX(PT_DIFFERENTIATION_TER,MATCH(B3,PT_DIFFERENTIATION_TER_ID,0))</f>
        <v>#N/A</v>
      </c>
      <c r="AE3" s="996"/>
      <c r="AF3" s="996"/>
      <c r="AG3" s="996"/>
      <c r="AH3" s="996"/>
      <c r="AI3" s="996"/>
      <c r="AJ3" s="996"/>
      <c r="AK3" s="996"/>
      <c r="AL3" s="997"/>
      <c r="AM3" s="230" t="s">
        <v>321</v>
      </c>
      <c r="AP3" s="29" t="str">
        <f t="shared" si="0"/>
        <v>Территория действия тарифа</v>
      </c>
      <c r="AS3" s="3">
        <v>0</v>
      </c>
    </row>
    <row r="4" spans="5:45" ht="23.25" hidden="1" customHeight="1">
      <c r="E4" s="1027"/>
      <c r="F4" s="1027"/>
      <c r="G4" s="1026">
        <v>1</v>
      </c>
      <c r="Q4" s="231"/>
      <c r="R4" s="232"/>
      <c r="S4" s="226" t="e">
        <f>INDEX(PT_DIFFERENTIATION_NUM_CS,MATCH(C4,PT_DIFFERENTIATION_CS_ID,0))</f>
        <v>#N/A</v>
      </c>
      <c r="T4" s="234" t="s">
        <v>322</v>
      </c>
      <c r="U4" s="228"/>
      <c r="V4" s="995"/>
      <c r="W4" s="996"/>
      <c r="X4" s="996"/>
      <c r="Y4" s="996"/>
      <c r="Z4" s="996"/>
      <c r="AA4" s="996"/>
      <c r="AB4" s="996"/>
      <c r="AC4" s="997"/>
      <c r="AD4" s="995" t="e">
        <f>INDEX(PT_DIFFERENTIATION_CS,MATCH(C4,PT_DIFFERENTIATION_CS_ID,0))</f>
        <v>#N/A</v>
      </c>
      <c r="AE4" s="996"/>
      <c r="AF4" s="996"/>
      <c r="AG4" s="996"/>
      <c r="AH4" s="996"/>
      <c r="AI4" s="996"/>
      <c r="AJ4" s="996"/>
      <c r="AK4" s="996"/>
      <c r="AL4" s="997"/>
      <c r="AM4" s="230" t="s">
        <v>323</v>
      </c>
      <c r="AP4" s="29" t="str">
        <f t="shared" si="0"/>
        <v xml:space="preserve">Наименование системы теплоснабжения </v>
      </c>
      <c r="AS4" s="3">
        <v>0</v>
      </c>
    </row>
    <row r="5" spans="5:45" ht="21" hidden="1" customHeight="1">
      <c r="E5" s="1027"/>
      <c r="F5" s="1027"/>
      <c r="G5" s="1027"/>
      <c r="H5" s="1026">
        <v>1</v>
      </c>
      <c r="Q5" s="231"/>
      <c r="R5" s="232"/>
      <c r="S5" s="226" t="e">
        <f>INDEX(PT_DIFFERENTIATION_NUM_IST_TE,MATCH(D5,PT_DIFFERENTIATION_IST_TE_ID,0))</f>
        <v>#N/A</v>
      </c>
      <c r="T5" s="235" t="s">
        <v>324</v>
      </c>
      <c r="U5" s="228"/>
      <c r="V5" s="995"/>
      <c r="W5" s="996"/>
      <c r="X5" s="996"/>
      <c r="Y5" s="996"/>
      <c r="Z5" s="996"/>
      <c r="AA5" s="996"/>
      <c r="AB5" s="996"/>
      <c r="AC5" s="997"/>
      <c r="AD5" s="995" t="e">
        <f>INDEX(PT_DIFFERENTIATION_IST_TE,MATCH(D5,PT_DIFFERENTIATION_IST_TE_ID,0))</f>
        <v>#N/A</v>
      </c>
      <c r="AE5" s="996"/>
      <c r="AF5" s="996"/>
      <c r="AG5" s="996"/>
      <c r="AH5" s="996"/>
      <c r="AI5" s="996"/>
      <c r="AJ5" s="996"/>
      <c r="AK5" s="996"/>
      <c r="AL5" s="997"/>
      <c r="AM5" s="230" t="s">
        <v>325</v>
      </c>
      <c r="AP5" s="29" t="str">
        <f t="shared" si="0"/>
        <v xml:space="preserve">Источник тепловой энергии  </v>
      </c>
      <c r="AS5" s="3">
        <v>0</v>
      </c>
    </row>
    <row r="6" spans="5:45" ht="47.25" hidden="1" customHeight="1">
      <c r="E6" s="1027"/>
      <c r="F6" s="1027"/>
      <c r="G6" s="1027"/>
      <c r="H6" s="1027"/>
      <c r="I6" s="894" t="e">
        <f>S5&amp;".1"</f>
        <v>#N/A</v>
      </c>
      <c r="L6" s="289" t="s">
        <v>326</v>
      </c>
      <c r="P6" s="1004">
        <v>1</v>
      </c>
      <c r="R6" s="238"/>
      <c r="S6" s="226" t="e">
        <f>$I6</f>
        <v>#N/A</v>
      </c>
      <c r="T6" s="239" t="s">
        <v>327</v>
      </c>
      <c r="U6" s="228"/>
      <c r="V6" s="989"/>
      <c r="W6" s="990"/>
      <c r="X6" s="990"/>
      <c r="Y6" s="990"/>
      <c r="Z6" s="990"/>
      <c r="AA6" s="990"/>
      <c r="AB6" s="990"/>
      <c r="AC6" s="991"/>
      <c r="AD6" s="989"/>
      <c r="AE6" s="990"/>
      <c r="AF6" s="990"/>
      <c r="AG6" s="990"/>
      <c r="AH6" s="990"/>
      <c r="AI6" s="990"/>
      <c r="AJ6" s="990"/>
      <c r="AK6" s="990"/>
      <c r="AL6" s="991"/>
      <c r="AM6" s="230" t="s">
        <v>328</v>
      </c>
      <c r="AP6" s="29" t="str">
        <f t="shared" si="0"/>
        <v>Схема подключения теплопотребляющей установки к коллектору источника тепловой энергии</v>
      </c>
      <c r="AS6" s="3">
        <v>0</v>
      </c>
    </row>
    <row r="7" spans="5:45" ht="21" hidden="1" customHeight="1">
      <c r="E7" s="1027"/>
      <c r="F7" s="1027"/>
      <c r="G7" s="1027"/>
      <c r="H7" s="1027"/>
      <c r="I7" s="887"/>
      <c r="J7" s="894" t="e">
        <f>I6&amp;".1"</f>
        <v>#N/A</v>
      </c>
      <c r="L7" s="289" t="s">
        <v>329</v>
      </c>
      <c r="P7" s="885"/>
      <c r="Q7" s="1004">
        <v>1</v>
      </c>
      <c r="R7" s="240"/>
      <c r="S7" s="226" t="e">
        <f>$J7</f>
        <v>#N/A</v>
      </c>
      <c r="T7" s="241" t="s">
        <v>330</v>
      </c>
      <c r="U7" s="228"/>
      <c r="V7" s="989"/>
      <c r="W7" s="990"/>
      <c r="X7" s="990"/>
      <c r="Y7" s="990"/>
      <c r="Z7" s="990"/>
      <c r="AA7" s="990"/>
      <c r="AB7" s="990"/>
      <c r="AC7" s="991"/>
      <c r="AD7" s="989"/>
      <c r="AE7" s="990"/>
      <c r="AF7" s="990"/>
      <c r="AG7" s="990"/>
      <c r="AH7" s="990"/>
      <c r="AI7" s="990"/>
      <c r="AJ7" s="990"/>
      <c r="AK7" s="990"/>
      <c r="AL7" s="991"/>
      <c r="AM7" s="230" t="s">
        <v>331</v>
      </c>
      <c r="AP7" s="29" t="str">
        <f t="shared" si="0"/>
        <v>Группа потребителей</v>
      </c>
      <c r="AS7" s="3">
        <v>0</v>
      </c>
    </row>
    <row r="8" spans="5:45" ht="21" hidden="1" customHeight="1">
      <c r="E8" s="1027"/>
      <c r="F8" s="1027"/>
      <c r="G8" s="1027"/>
      <c r="H8" s="1027"/>
      <c r="I8" s="887"/>
      <c r="J8" s="887"/>
      <c r="K8" s="894" t="e">
        <f>J7&amp;".1"</f>
        <v>#N/A</v>
      </c>
      <c r="L8" s="289" t="s">
        <v>332</v>
      </c>
      <c r="P8" s="885"/>
      <c r="Q8" s="885"/>
      <c r="R8" s="240">
        <v>1</v>
      </c>
      <c r="S8" s="226" t="e">
        <f>$K8</f>
        <v>#N/A</v>
      </c>
      <c r="T8" s="242"/>
      <c r="U8" s="228"/>
      <c r="V8" s="243"/>
      <c r="W8" s="244"/>
      <c r="X8" s="243"/>
      <c r="Y8" s="245"/>
      <c r="Z8" s="1005"/>
      <c r="AA8" s="895" t="s">
        <v>17</v>
      </c>
      <c r="AB8" s="1005"/>
      <c r="AC8" s="895" t="s">
        <v>17</v>
      </c>
      <c r="AD8" s="243"/>
      <c r="AE8" s="244"/>
      <c r="AF8" s="243"/>
      <c r="AG8" s="245"/>
      <c r="AH8" s="1005"/>
      <c r="AI8" s="895" t="s">
        <v>17</v>
      </c>
      <c r="AJ8" s="1005"/>
      <c r="AK8" s="895" t="s">
        <v>17</v>
      </c>
      <c r="AL8" s="244"/>
      <c r="AM8" s="1023" t="s">
        <v>333</v>
      </c>
      <c r="AN8" s="24" t="e">
        <f ca="1">STRCHECKDATE(V9:AL9)</f>
        <v>#NAME?</v>
      </c>
      <c r="AP8" s="29" t="str">
        <f t="shared" si="0"/>
        <v/>
      </c>
      <c r="AS8" s="3">
        <v>0</v>
      </c>
    </row>
    <row r="9" spans="5:45" ht="0.75" hidden="1" customHeight="1">
      <c r="E9" s="1027"/>
      <c r="F9" s="1027"/>
      <c r="G9" s="1027"/>
      <c r="H9" s="1027"/>
      <c r="I9" s="887"/>
      <c r="J9" s="887"/>
      <c r="K9" s="894"/>
      <c r="P9" s="885"/>
      <c r="Q9" s="885"/>
      <c r="R9" s="240"/>
      <c r="S9" s="209"/>
      <c r="T9" s="228"/>
      <c r="U9" s="228"/>
      <c r="V9" s="244"/>
      <c r="W9" s="244"/>
      <c r="X9" s="244"/>
      <c r="Y9" s="247" t="str">
        <f>Z8&amp;"-"&amp;AB8</f>
        <v>-</v>
      </c>
      <c r="Z9" s="1006"/>
      <c r="AA9" s="895"/>
      <c r="AB9" s="1006"/>
      <c r="AC9" s="895"/>
      <c r="AD9" s="244"/>
      <c r="AE9" s="244"/>
      <c r="AF9" s="244"/>
      <c r="AG9" s="247" t="str">
        <f>AH8&amp;"-"&amp;AJ8</f>
        <v>-</v>
      </c>
      <c r="AH9" s="1006"/>
      <c r="AI9" s="895"/>
      <c r="AJ9" s="1006"/>
      <c r="AK9" s="895"/>
      <c r="AL9" s="244"/>
      <c r="AM9" s="1024"/>
      <c r="AP9" s="29" t="str">
        <f t="shared" si="0"/>
        <v/>
      </c>
      <c r="AS9" s="3">
        <v>0</v>
      </c>
    </row>
    <row r="10" spans="5:45" ht="15" hidden="1" customHeight="1">
      <c r="E10" s="1027"/>
      <c r="F10" s="1027"/>
      <c r="G10" s="1027"/>
      <c r="H10" s="1027"/>
      <c r="I10" s="887"/>
      <c r="J10" s="894"/>
      <c r="P10" s="885"/>
      <c r="Q10" s="885"/>
      <c r="R10" s="238"/>
      <c r="S10" s="249"/>
      <c r="T10" s="250" t="s">
        <v>334</v>
      </c>
      <c r="U10" s="54"/>
      <c r="V10" s="54"/>
      <c r="W10" s="54"/>
      <c r="X10" s="54"/>
      <c r="Y10" s="54"/>
      <c r="Z10" s="54"/>
      <c r="AA10" s="54"/>
      <c r="AB10" s="54"/>
      <c r="AC10" s="54"/>
      <c r="AD10" s="54"/>
      <c r="AE10" s="54"/>
      <c r="AF10" s="54"/>
      <c r="AG10" s="54"/>
      <c r="AH10" s="54"/>
      <c r="AI10" s="54"/>
      <c r="AJ10" s="54"/>
      <c r="AK10" s="54"/>
      <c r="AL10" s="251"/>
      <c r="AM10" s="1025"/>
      <c r="AP10" s="29" t="str">
        <f t="shared" si="0"/>
        <v>Добавить вид теплоносителя (параметры теплоносителя)</v>
      </c>
      <c r="AS10" s="3">
        <v>0</v>
      </c>
    </row>
    <row r="11" spans="5:45" ht="15" hidden="1" customHeight="1">
      <c r="E11" s="1027"/>
      <c r="F11" s="1027"/>
      <c r="G11" s="1027"/>
      <c r="H11" s="1027"/>
      <c r="I11" s="894"/>
      <c r="P11" s="885"/>
      <c r="R11" s="238"/>
      <c r="S11" s="249"/>
      <c r="T11" s="252" t="s">
        <v>335</v>
      </c>
      <c r="U11" s="54"/>
      <c r="V11" s="54"/>
      <c r="W11" s="54"/>
      <c r="X11" s="54"/>
      <c r="Y11" s="54"/>
      <c r="Z11" s="54"/>
      <c r="AA11" s="54"/>
      <c r="AB11" s="54"/>
      <c r="AC11" s="253"/>
      <c r="AD11" s="54"/>
      <c r="AE11" s="54"/>
      <c r="AF11" s="54"/>
      <c r="AG11" s="54"/>
      <c r="AH11" s="54"/>
      <c r="AI11" s="54"/>
      <c r="AJ11" s="54"/>
      <c r="AK11" s="253"/>
      <c r="AL11" s="54"/>
      <c r="AM11" s="254"/>
      <c r="AP11" s="29" t="str">
        <f t="shared" si="0"/>
        <v>Добавить группу потребителей</v>
      </c>
      <c r="AS11" s="3">
        <v>0</v>
      </c>
    </row>
    <row r="12" spans="5:45" ht="14.25" hidden="1" customHeight="1">
      <c r="E12" s="1027"/>
      <c r="F12" s="1027"/>
      <c r="G12" s="1027"/>
      <c r="H12" s="1026"/>
      <c r="R12" s="225"/>
      <c r="S12" s="249"/>
      <c r="T12" s="255" t="s">
        <v>336</v>
      </c>
      <c r="U12" s="54"/>
      <c r="V12" s="54"/>
      <c r="W12" s="54"/>
      <c r="X12" s="54"/>
      <c r="Y12" s="54"/>
      <c r="Z12" s="54"/>
      <c r="AA12" s="54"/>
      <c r="AB12" s="54"/>
      <c r="AC12" s="253"/>
      <c r="AD12" s="54"/>
      <c r="AE12" s="54"/>
      <c r="AF12" s="54"/>
      <c r="AG12" s="54"/>
      <c r="AH12" s="54"/>
      <c r="AI12" s="54"/>
      <c r="AJ12" s="54"/>
      <c r="AK12" s="253"/>
      <c r="AL12" s="54"/>
      <c r="AM12" s="254"/>
      <c r="AP12" s="29" t="str">
        <f t="shared" si="0"/>
        <v>Добавить схему подключения</v>
      </c>
      <c r="AS12" s="3">
        <v>0</v>
      </c>
    </row>
    <row r="13" spans="5:45" ht="0.75" hidden="1" customHeight="1">
      <c r="E13" s="1027"/>
      <c r="F13" s="1027"/>
      <c r="G13" s="1026"/>
      <c r="S13" s="256"/>
      <c r="T13" s="257" t="s">
        <v>337</v>
      </c>
      <c r="U13" s="258"/>
      <c r="V13" s="258"/>
      <c r="W13" s="258"/>
      <c r="X13" s="258"/>
      <c r="Y13" s="258"/>
      <c r="Z13" s="258"/>
      <c r="AA13" s="258"/>
      <c r="AB13" s="258"/>
      <c r="AC13" s="258"/>
      <c r="AD13" s="258"/>
      <c r="AE13" s="258"/>
      <c r="AF13" s="258"/>
      <c r="AG13" s="258"/>
      <c r="AH13" s="258"/>
      <c r="AI13" s="258"/>
      <c r="AJ13" s="258"/>
      <c r="AK13" s="258"/>
      <c r="AL13" s="258"/>
      <c r="AM13" s="258"/>
      <c r="AP13" s="29" t="str">
        <f t="shared" si="0"/>
        <v>Добавить источник для дифференциации</v>
      </c>
      <c r="AS13" s="24">
        <v>0</v>
      </c>
    </row>
    <row r="14" spans="5:45" ht="0.75" hidden="1" customHeight="1">
      <c r="E14" s="1027"/>
      <c r="F14" s="1026"/>
      <c r="T14" s="259" t="s">
        <v>338</v>
      </c>
      <c r="AP14" s="29" t="str">
        <f t="shared" si="0"/>
        <v>Добавить централизованную систему для дифференциации</v>
      </c>
      <c r="AS14" s="24">
        <v>0</v>
      </c>
    </row>
    <row r="15" spans="5:45" ht="0.75" hidden="1" customHeight="1">
      <c r="E15" s="1026"/>
      <c r="T15" s="260" t="s">
        <v>339</v>
      </c>
      <c r="AP15" s="29" t="str">
        <f t="shared" si="0"/>
        <v>Добавить территорию для дифференциации</v>
      </c>
      <c r="AS15" s="24">
        <v>0</v>
      </c>
    </row>
    <row r="16" spans="5:45" ht="14.25" hidden="1" customHeight="1">
      <c r="AS16" s="3">
        <v>0</v>
      </c>
    </row>
    <row r="17" spans="15:45" ht="14.25" hidden="1" customHeight="1">
      <c r="AD17" s="261"/>
      <c r="AE17" s="261"/>
      <c r="AF17" s="261"/>
      <c r="AG17" s="262"/>
      <c r="AH17" s="999"/>
      <c r="AI17" s="998" t="s">
        <v>17</v>
      </c>
      <c r="AJ17" s="999"/>
      <c r="AK17" s="998" t="s">
        <v>17</v>
      </c>
      <c r="AS17" s="3">
        <v>0</v>
      </c>
    </row>
    <row r="18" spans="15:45" ht="14.25" hidden="1" customHeight="1">
      <c r="AD18" s="261"/>
      <c r="AE18" s="261"/>
      <c r="AF18" s="261"/>
      <c r="AG18" s="247" t="str">
        <f>AH17&amp;"-"&amp;AJ17</f>
        <v>-</v>
      </c>
      <c r="AH18" s="998"/>
      <c r="AI18" s="998"/>
      <c r="AJ18" s="998"/>
      <c r="AK18" s="998"/>
      <c r="AS18" s="3">
        <v>0</v>
      </c>
    </row>
    <row r="19" spans="15:45" ht="14.25" hidden="1" customHeight="1">
      <c r="AS19" s="3">
        <v>0</v>
      </c>
    </row>
    <row r="20" spans="15:45" ht="14.25" hidden="1" customHeight="1">
      <c r="O20" s="290" t="s">
        <v>340</v>
      </c>
      <c r="Z20" s="263"/>
      <c r="AB20" s="263"/>
      <c r="AH20" s="263"/>
      <c r="AJ20" s="263"/>
      <c r="AS20" s="11">
        <v>0</v>
      </c>
    </row>
    <row r="21" spans="15:45" ht="14.25" hidden="1" customHeight="1">
      <c r="AS21" s="11">
        <v>0</v>
      </c>
    </row>
    <row r="22" spans="15:45" ht="14.25" hidden="1" customHeight="1">
      <c r="O22" s="289" t="s">
        <v>341</v>
      </c>
      <c r="T22" s="11" t="s">
        <v>342</v>
      </c>
      <c r="AA22" s="60" t="s">
        <v>343</v>
      </c>
      <c r="AC22" s="60" t="s">
        <v>344</v>
      </c>
      <c r="AD22" s="11" t="s">
        <v>342</v>
      </c>
      <c r="AI22" s="60" t="s">
        <v>345</v>
      </c>
      <c r="AK22" s="60" t="s">
        <v>344</v>
      </c>
      <c r="AS22" s="11">
        <v>0</v>
      </c>
    </row>
    <row r="23" spans="15:45" ht="14.25" hidden="1" customHeight="1">
      <c r="AS23" s="3">
        <v>0</v>
      </c>
    </row>
    <row r="24" spans="15:45" ht="14.25" hidden="1" customHeight="1">
      <c r="AS24" s="3">
        <v>0</v>
      </c>
    </row>
    <row r="25" spans="15:45" ht="14.65" customHeight="1">
      <c r="Q25" s="264"/>
      <c r="R25" s="264"/>
      <c r="S25" s="265"/>
      <c r="T25" s="12"/>
      <c r="U25" s="12"/>
      <c r="AS25" s="3">
        <v>14</v>
      </c>
    </row>
    <row r="26" spans="15:45" ht="14.65" customHeight="1">
      <c r="Q26" s="264"/>
      <c r="R26" s="264"/>
      <c r="S26" s="98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982"/>
      <c r="U26" s="982"/>
      <c r="V26" s="982"/>
      <c r="W26" s="982"/>
      <c r="X26" s="982"/>
      <c r="Y26" s="982"/>
      <c r="Z26" s="982"/>
      <c r="AA26" s="982"/>
      <c r="AB26" s="982"/>
      <c r="AC26" s="982"/>
      <c r="AD26" s="982"/>
      <c r="AE26" s="982"/>
      <c r="AF26" s="982"/>
      <c r="AG26" s="982"/>
      <c r="AH26" s="982"/>
      <c r="AI26" s="982"/>
      <c r="AJ26" s="982"/>
      <c r="AS26" s="3">
        <v>14</v>
      </c>
    </row>
    <row r="27" spans="15:45" ht="14.65" customHeight="1">
      <c r="Q27" s="264"/>
      <c r="R27" s="264"/>
      <c r="S27" s="955" t="e">
        <f>IF(org=0,"Не определено",org)</f>
        <v>#REF!</v>
      </c>
      <c r="T27" s="955"/>
      <c r="U27" s="955"/>
      <c r="V27" s="955"/>
      <c r="W27" s="955"/>
      <c r="X27" s="955"/>
      <c r="Y27" s="955"/>
      <c r="Z27" s="955"/>
      <c r="AA27" s="955"/>
      <c r="AB27" s="955"/>
      <c r="AC27" s="955"/>
      <c r="AD27" s="955"/>
      <c r="AE27" s="955"/>
      <c r="AF27" s="955"/>
      <c r="AG27" s="955"/>
      <c r="AH27" s="955"/>
      <c r="AI27" s="955"/>
      <c r="AJ27" s="955"/>
      <c r="AS27" s="3">
        <v>14</v>
      </c>
    </row>
    <row r="28" spans="15:45" ht="14.25" hidden="1" customHeight="1">
      <c r="Q28" s="264"/>
      <c r="R28" s="264"/>
      <c r="S28" s="265"/>
      <c r="T28" s="12"/>
      <c r="U28" s="12"/>
      <c r="V28" s="266"/>
      <c r="W28" s="266"/>
      <c r="X28" s="266"/>
      <c r="Y28" s="266"/>
      <c r="Z28" s="266"/>
      <c r="AA28" s="266"/>
      <c r="AB28" s="266"/>
      <c r="AC28" s="266"/>
      <c r="AD28" s="266"/>
      <c r="AE28" s="266"/>
      <c r="AF28" s="266"/>
      <c r="AG28" s="266"/>
      <c r="AH28" s="266"/>
      <c r="AI28" s="266"/>
      <c r="AJ28" s="266"/>
      <c r="AK28" s="266"/>
      <c r="AS28" s="3">
        <v>0</v>
      </c>
    </row>
    <row r="29" spans="15:45" ht="25.5" hidden="1" customHeight="1">
      <c r="S29" s="992" t="s">
        <v>9</v>
      </c>
      <c r="T29" s="992"/>
      <c r="U29" s="268"/>
      <c r="V29" s="994" t="e">
        <f>IF(TITLE_NAME_OR_PR_CHANGE="",IF(TITLE_NAME_OR_PR="","",TITLE_NAME_OR_PR),TITLE_NAME_OR_PR_CHANGE)</f>
        <v>#REF!</v>
      </c>
      <c r="W29" s="994"/>
      <c r="X29" s="994"/>
      <c r="Y29" s="994"/>
      <c r="Z29" s="994"/>
      <c r="AA29" s="994"/>
      <c r="AB29" s="994"/>
      <c r="AD29" s="994" t="e">
        <f>IF(TITLE_NAME_OR_PR_CHANGE="",IF(TITLE_NAME_OR_PR="","",TITLE_NAME_OR_PR),TITLE_NAME_OR_PR_CHANGE)</f>
        <v>#REF!</v>
      </c>
      <c r="AE29" s="994"/>
      <c r="AF29" s="994"/>
      <c r="AG29" s="994"/>
      <c r="AH29" s="994"/>
      <c r="AI29" s="994"/>
      <c r="AJ29" s="994"/>
      <c r="AS29" s="50">
        <v>0</v>
      </c>
    </row>
    <row r="30" spans="15:45" ht="18.75" hidden="1" customHeight="1">
      <c r="S30" s="992" t="s">
        <v>346</v>
      </c>
      <c r="T30" s="992"/>
      <c r="U30" s="268"/>
      <c r="V30" s="993" t="e">
        <f>IF(TITLE_DATE_PR_CHANGE="",IF(TITLE_DATE_PR="","",TITLE_DATE_PR),TITLE_DATE_PR_CHANGE)</f>
        <v>#REF!</v>
      </c>
      <c r="W30" s="993"/>
      <c r="X30" s="993"/>
      <c r="Y30" s="993"/>
      <c r="Z30" s="993"/>
      <c r="AA30" s="993"/>
      <c r="AB30" s="993"/>
      <c r="AD30" s="993" t="e">
        <f>IF(TITLE_DATE_PR_CHANGE="",IF(TITLE_DATE_PR="","",TITLE_DATE_PR),TITLE_DATE_PR_CHANGE)</f>
        <v>#REF!</v>
      </c>
      <c r="AE30" s="993"/>
      <c r="AF30" s="993"/>
      <c r="AG30" s="993"/>
      <c r="AH30" s="993"/>
      <c r="AI30" s="993"/>
      <c r="AJ30" s="993"/>
      <c r="AS30" s="50">
        <v>0</v>
      </c>
    </row>
    <row r="31" spans="15:45" ht="18.75" hidden="1" customHeight="1">
      <c r="S31" s="992" t="s">
        <v>347</v>
      </c>
      <c r="T31" s="992"/>
      <c r="U31" s="268"/>
      <c r="V31" s="994" t="e">
        <f>IF(TITLE_NUMBER_PR_CHANGE="",IF(TITLE_NUMBER_PR="","",TITLE_NUMBER_PR),TITLE_NUMBER_PR_CHANGE)</f>
        <v>#REF!</v>
      </c>
      <c r="W31" s="994"/>
      <c r="X31" s="994"/>
      <c r="Y31" s="994"/>
      <c r="Z31" s="994"/>
      <c r="AA31" s="994"/>
      <c r="AB31" s="994"/>
      <c r="AD31" s="994" t="e">
        <f>IF(TITLE_NUMBER_PR_CHANGE="",IF(TITLE_NUMBER_PR="","",TITLE_NUMBER_PR),TITLE_NUMBER_PR_CHANGE)</f>
        <v>#REF!</v>
      </c>
      <c r="AE31" s="994"/>
      <c r="AF31" s="994"/>
      <c r="AG31" s="994"/>
      <c r="AH31" s="994"/>
      <c r="AI31" s="994"/>
      <c r="AJ31" s="994"/>
      <c r="AS31" s="50">
        <v>0</v>
      </c>
    </row>
    <row r="32" spans="15:45" ht="18.75" hidden="1" customHeight="1">
      <c r="S32" s="992" t="s">
        <v>10</v>
      </c>
      <c r="T32" s="992"/>
      <c r="U32" s="268"/>
      <c r="V32" s="994" t="e">
        <f>IF(TITLE_IST_PUB_CHANGE="",IF(TITLE_IST_PUB="","",TITLE_IST_PUB),TITLE_IST_PUB_CHANGE)</f>
        <v>#REF!</v>
      </c>
      <c r="W32" s="994"/>
      <c r="X32" s="994"/>
      <c r="Y32" s="994"/>
      <c r="Z32" s="994"/>
      <c r="AA32" s="994"/>
      <c r="AB32" s="994"/>
      <c r="AD32" s="994" t="e">
        <f>IF(TITLE_IST_PUB_CHANGE="",IF(TITLE_IST_PUB="","",TITLE_IST_PUB),TITLE_IST_PUB_CHANGE)</f>
        <v>#REF!</v>
      </c>
      <c r="AE32" s="994"/>
      <c r="AF32" s="994"/>
      <c r="AG32" s="994"/>
      <c r="AH32" s="994"/>
      <c r="AI32" s="994"/>
      <c r="AJ32" s="994"/>
      <c r="AS32" s="50">
        <v>0</v>
      </c>
    </row>
    <row r="33" spans="1:45" ht="14.25" hidden="1" customHeight="1">
      <c r="Q33" s="264"/>
      <c r="R33" s="264"/>
      <c r="S33" s="265"/>
      <c r="T33" s="12"/>
      <c r="U33" s="12"/>
      <c r="V33" s="266"/>
      <c r="W33" s="266"/>
      <c r="X33" s="266"/>
      <c r="Y33" s="266"/>
      <c r="Z33" s="266"/>
      <c r="AA33" s="266"/>
      <c r="AB33" s="266"/>
      <c r="AC33" s="266"/>
      <c r="AD33" s="266"/>
      <c r="AE33" s="266"/>
      <c r="AF33" s="266"/>
      <c r="AG33" s="266"/>
      <c r="AH33" s="266"/>
      <c r="AI33" s="266"/>
      <c r="AJ33" s="266"/>
      <c r="AK33" s="266"/>
      <c r="AS33" s="3">
        <v>0</v>
      </c>
    </row>
    <row r="34" spans="1:45" ht="18.75" hidden="1" customHeight="1">
      <c r="S34" s="992" t="s">
        <v>348</v>
      </c>
      <c r="T34" s="992"/>
      <c r="U34" s="268"/>
      <c r="V34" s="993" t="e">
        <f>IF(TITLE_DATE_PR_CHANGE="",IF(TITLE_DATE_PR="","",TITLE_DATE_PR),TITLE_DATE_PR_CHANGE)</f>
        <v>#REF!</v>
      </c>
      <c r="W34" s="993"/>
      <c r="X34" s="993"/>
      <c r="Y34" s="993"/>
      <c r="Z34" s="993"/>
      <c r="AA34" s="993"/>
      <c r="AB34" s="993"/>
      <c r="AD34" s="993" t="e">
        <f>IF(TITLE_DATE_PR_CHANGE="",IF(TITLE_DATE_PR="","",TITLE_DATE_PR),TITLE_DATE_PR_CHANGE)</f>
        <v>#REF!</v>
      </c>
      <c r="AE34" s="993"/>
      <c r="AF34" s="993"/>
      <c r="AG34" s="993"/>
      <c r="AH34" s="993"/>
      <c r="AI34" s="993"/>
      <c r="AJ34" s="993"/>
      <c r="AS34" s="50">
        <v>0</v>
      </c>
    </row>
    <row r="35" spans="1:45" ht="18.75" hidden="1" customHeight="1">
      <c r="S35" s="992" t="s">
        <v>349</v>
      </c>
      <c r="T35" s="992"/>
      <c r="U35" s="268"/>
      <c r="V35" s="994" t="e">
        <f>IF(TITLE_NUMBER_PR_CHANGE="",IF(TITLE_NUMBER_PR="","",TITLE_NUMBER_PR),TITLE_NUMBER_PR_CHANGE)</f>
        <v>#REF!</v>
      </c>
      <c r="W35" s="994"/>
      <c r="X35" s="994"/>
      <c r="Y35" s="994"/>
      <c r="Z35" s="994"/>
      <c r="AA35" s="994"/>
      <c r="AB35" s="994"/>
      <c r="AD35" s="994" t="e">
        <f>IF(TITLE_NUMBER_PR_CHANGE="",IF(TITLE_NUMBER_PR="","",TITLE_NUMBER_PR),TITLE_NUMBER_PR_CHANGE)</f>
        <v>#REF!</v>
      </c>
      <c r="AE35" s="994"/>
      <c r="AF35" s="994"/>
      <c r="AG35" s="994"/>
      <c r="AH35" s="994"/>
      <c r="AI35" s="994"/>
      <c r="AJ35" s="994"/>
      <c r="AS35" s="50">
        <v>0</v>
      </c>
    </row>
    <row r="36" spans="1:45" ht="0" hidden="1" customHeight="1">
      <c r="AC36" s="24" t="s">
        <v>350</v>
      </c>
      <c r="AK36" s="24" t="s">
        <v>350</v>
      </c>
      <c r="AS36" s="50">
        <v>0</v>
      </c>
    </row>
    <row r="37" spans="1:45" ht="14.65" customHeight="1">
      <c r="Q37" s="264"/>
      <c r="R37" s="264"/>
      <c r="S37" s="265"/>
      <c r="T37" s="12"/>
      <c r="U37" s="270"/>
      <c r="V37" s="1012"/>
      <c r="W37" s="1012"/>
      <c r="X37" s="1012"/>
      <c r="Y37" s="1012"/>
      <c r="Z37" s="1012"/>
      <c r="AA37" s="1012"/>
      <c r="AB37" s="1012"/>
      <c r="AC37" s="1012"/>
      <c r="AD37" s="1012"/>
      <c r="AE37" s="1012"/>
      <c r="AF37" s="1012"/>
      <c r="AG37" s="1012"/>
      <c r="AH37" s="1012"/>
      <c r="AI37" s="1012"/>
      <c r="AJ37" s="1012"/>
      <c r="AK37" s="1012"/>
      <c r="AS37" s="3">
        <v>14</v>
      </c>
    </row>
    <row r="38" spans="1:45" ht="14.65" customHeight="1">
      <c r="Q38" s="264"/>
      <c r="R38" s="264"/>
      <c r="S38" s="894" t="s">
        <v>223</v>
      </c>
      <c r="T38" s="894"/>
      <c r="U38" s="894"/>
      <c r="V38" s="894"/>
      <c r="W38" s="894"/>
      <c r="X38" s="894"/>
      <c r="Y38" s="894"/>
      <c r="Z38" s="894"/>
      <c r="AA38" s="894"/>
      <c r="AB38" s="894"/>
      <c r="AC38" s="894"/>
      <c r="AD38" s="894"/>
      <c r="AE38" s="894"/>
      <c r="AF38" s="894"/>
      <c r="AG38" s="894"/>
      <c r="AH38" s="894"/>
      <c r="AI38" s="894"/>
      <c r="AJ38" s="894"/>
      <c r="AK38" s="894"/>
      <c r="AL38" s="894"/>
      <c r="AM38" s="894" t="s">
        <v>224</v>
      </c>
      <c r="AS38" s="3">
        <v>14</v>
      </c>
    </row>
    <row r="39" spans="1:45" ht="14.65" customHeight="1">
      <c r="Q39" s="264"/>
      <c r="R39" s="264"/>
      <c r="S39" s="1013" t="s">
        <v>24</v>
      </c>
      <c r="T39" s="962" t="s">
        <v>351</v>
      </c>
      <c r="U39" s="272"/>
      <c r="V39" s="1014" t="s">
        <v>352</v>
      </c>
      <c r="W39" s="1015"/>
      <c r="X39" s="1015"/>
      <c r="Y39" s="1015"/>
      <c r="Z39" s="1015"/>
      <c r="AA39" s="1015"/>
      <c r="AB39" s="1016"/>
      <c r="AC39" s="1017" t="s">
        <v>353</v>
      </c>
      <c r="AD39" s="1014" t="s">
        <v>352</v>
      </c>
      <c r="AE39" s="1015"/>
      <c r="AF39" s="1015"/>
      <c r="AG39" s="1015"/>
      <c r="AH39" s="1015"/>
      <c r="AI39" s="1015"/>
      <c r="AJ39" s="1016"/>
      <c r="AK39" s="1017" t="s">
        <v>354</v>
      </c>
      <c r="AL39" s="1020" t="s">
        <v>355</v>
      </c>
      <c r="AM39" s="894"/>
      <c r="AS39" s="3">
        <v>14</v>
      </c>
    </row>
    <row r="40" spans="1:45" ht="35.65" customHeight="1">
      <c r="Q40" s="264"/>
      <c r="R40" s="264"/>
      <c r="S40" s="1013"/>
      <c r="T40" s="962"/>
      <c r="U40" s="274"/>
      <c r="V40" s="935" t="s">
        <v>356</v>
      </c>
      <c r="W40" s="1009" t="s">
        <v>357</v>
      </c>
      <c r="X40" s="887" t="s">
        <v>358</v>
      </c>
      <c r="Y40" s="886"/>
      <c r="Z40" s="887" t="s">
        <v>372</v>
      </c>
      <c r="AA40" s="890"/>
      <c r="AB40" s="886"/>
      <c r="AC40" s="1018"/>
      <c r="AD40" s="935" t="s">
        <v>356</v>
      </c>
      <c r="AE40" s="1009" t="s">
        <v>357</v>
      </c>
      <c r="AF40" s="887" t="s">
        <v>358</v>
      </c>
      <c r="AG40" s="886"/>
      <c r="AH40" s="887" t="s">
        <v>359</v>
      </c>
      <c r="AI40" s="890"/>
      <c r="AJ40" s="886"/>
      <c r="AK40" s="1018"/>
      <c r="AL40" s="1021"/>
      <c r="AM40" s="894"/>
      <c r="AS40" s="3">
        <v>34</v>
      </c>
    </row>
    <row r="41" spans="1:45" ht="35.65" customHeight="1">
      <c r="B41" s="59" t="s">
        <v>60</v>
      </c>
      <c r="C41" s="59" t="s">
        <v>61</v>
      </c>
      <c r="D41" s="59" t="s">
        <v>62</v>
      </c>
      <c r="E41" s="289" t="s">
        <v>360</v>
      </c>
      <c r="F41" s="289" t="s">
        <v>361</v>
      </c>
      <c r="G41" s="289" t="s">
        <v>362</v>
      </c>
      <c r="H41" s="289" t="s">
        <v>363</v>
      </c>
      <c r="I41" s="289" t="s">
        <v>364</v>
      </c>
      <c r="J41" s="289" t="s">
        <v>365</v>
      </c>
      <c r="K41" s="289" t="s">
        <v>366</v>
      </c>
      <c r="L41" s="289" t="s">
        <v>341</v>
      </c>
      <c r="Q41" s="264"/>
      <c r="R41" s="264"/>
      <c r="S41" s="1013"/>
      <c r="T41" s="962"/>
      <c r="U41" s="275"/>
      <c r="V41" s="987"/>
      <c r="W41" s="1010"/>
      <c r="X41" s="65" t="s">
        <v>367</v>
      </c>
      <c r="Y41" s="65" t="s">
        <v>368</v>
      </c>
      <c r="Z41" s="65" t="s">
        <v>369</v>
      </c>
      <c r="AA41" s="967" t="s">
        <v>370</v>
      </c>
      <c r="AB41" s="981"/>
      <c r="AC41" s="1019"/>
      <c r="AD41" s="987"/>
      <c r="AE41" s="1010"/>
      <c r="AF41" s="65" t="s">
        <v>367</v>
      </c>
      <c r="AG41" s="65" t="s">
        <v>368</v>
      </c>
      <c r="AH41" s="65" t="s">
        <v>369</v>
      </c>
      <c r="AI41" s="967" t="s">
        <v>370</v>
      </c>
      <c r="AJ41" s="981"/>
      <c r="AK41" s="1019"/>
      <c r="AL41" s="1022"/>
      <c r="AM41" s="894"/>
      <c r="AS41" s="3">
        <v>34</v>
      </c>
    </row>
    <row r="42" spans="1:45" ht="11.25" hidden="1" customHeight="1">
      <c r="Q42" s="278"/>
      <c r="R42" s="279">
        <v>1</v>
      </c>
      <c r="S42" s="280" t="s">
        <v>31</v>
      </c>
      <c r="T42" s="281" t="s">
        <v>39</v>
      </c>
      <c r="U42" s="282" t="str">
        <f ca="1">OFFSET(U42,0,-1)</f>
        <v>2</v>
      </c>
      <c r="V42" s="283">
        <f ca="1">OFFSET(V42,0,-1)+1</f>
        <v>3</v>
      </c>
      <c r="W42" s="283"/>
      <c r="X42" s="283">
        <f ca="1">OFFSET(X42,0,-1)+1</f>
        <v>1</v>
      </c>
      <c r="Y42" s="283">
        <f ca="1">OFFSET(Y42,0,-1)+1</f>
        <v>2</v>
      </c>
      <c r="Z42" s="283">
        <f ca="1">OFFSET(Z42,0,-1)+1</f>
        <v>3</v>
      </c>
      <c r="AA42" s="1011">
        <f ca="1">OFFSET(AA42,0,-1)+1</f>
        <v>4</v>
      </c>
      <c r="AB42" s="1011"/>
      <c r="AC42" s="283">
        <f ca="1">OFFSET(AC42,0,-2)+1</f>
        <v>5</v>
      </c>
      <c r="AD42" s="283">
        <f ca="1">OFFSET(AD42,0,-1)+1</f>
        <v>6</v>
      </c>
      <c r="AE42" s="283"/>
      <c r="AF42" s="283">
        <f ca="1">OFFSET(AF42,0,-1)+1</f>
        <v>1</v>
      </c>
      <c r="AG42" s="283">
        <f ca="1">OFFSET(AG42,0,-1)+1</f>
        <v>2</v>
      </c>
      <c r="AH42" s="283">
        <f ca="1">OFFSET(AH42,0,-1)+1</f>
        <v>3</v>
      </c>
      <c r="AI42" s="1011">
        <f ca="1">OFFSET(AI42,0,-1)+1</f>
        <v>4</v>
      </c>
      <c r="AJ42" s="1011"/>
      <c r="AK42" s="283">
        <f ca="1">OFFSET(AK42,0,-2)+1</f>
        <v>5</v>
      </c>
      <c r="AL42" s="282">
        <f ca="1">OFFSET(AL42,0,-1)</f>
        <v>5</v>
      </c>
      <c r="AM42" s="283">
        <f ca="1">OFFSET(AM42,0,-1)+1</f>
        <v>6</v>
      </c>
      <c r="AS42" s="189">
        <v>0</v>
      </c>
    </row>
    <row r="43" spans="1:45" ht="21.95" customHeight="1">
      <c r="A43" s="76" t="s">
        <v>135</v>
      </c>
      <c r="E43" s="1026">
        <v>1</v>
      </c>
      <c r="R43" s="225"/>
      <c r="S43" s="226">
        <f>INDEX(PT_DIFFERENTIATION_NUM_NTAR,MATCH(A43,PT_DIFFERENTIATION_NTAR_ID,0))</f>
        <v>0</v>
      </c>
      <c r="T43" s="227" t="s">
        <v>48</v>
      </c>
      <c r="U43" s="228"/>
      <c r="V43" s="995"/>
      <c r="W43" s="996"/>
      <c r="X43" s="996"/>
      <c r="Y43" s="996"/>
      <c r="Z43" s="996"/>
      <c r="AA43" s="996"/>
      <c r="AB43" s="996"/>
      <c r="AC43" s="997"/>
      <c r="AD43" s="995" t="str">
        <f>INDEX(PT_DIFFERENTIATION_NTAR,MATCH(A43,PT_DIFFERENTIATION_NTAR_ID,0))</f>
        <v/>
      </c>
      <c r="AE43" s="996"/>
      <c r="AF43" s="996"/>
      <c r="AG43" s="996"/>
      <c r="AH43" s="996"/>
      <c r="AI43" s="996"/>
      <c r="AJ43" s="996"/>
      <c r="AK43" s="996"/>
      <c r="AL43" s="997"/>
      <c r="AM43" s="2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P43" s="29" t="str">
        <f t="shared" ref="AP43:AP57" si="1">IF(T43="","",T43)</f>
        <v>Наименование тарифа</v>
      </c>
      <c r="AS43" s="3">
        <v>21</v>
      </c>
    </row>
    <row r="44" spans="1:45" ht="21.95" customHeight="1">
      <c r="A44" s="76" t="s">
        <v>135</v>
      </c>
      <c r="B44" s="76" t="s">
        <v>136</v>
      </c>
      <c r="E44" s="1027"/>
      <c r="F44" s="1026">
        <v>1</v>
      </c>
      <c r="Q44" s="231"/>
      <c r="R44" s="232"/>
      <c r="S44" s="226" t="str">
        <f>INDEX(PT_DIFFERENTIATION_NUM_TER,MATCH(B44,PT_DIFFERENTIATION_TER_ID,0))</f>
        <v>.</v>
      </c>
      <c r="T44" s="233" t="s">
        <v>320</v>
      </c>
      <c r="U44" s="228"/>
      <c r="V44" s="995"/>
      <c r="W44" s="996"/>
      <c r="X44" s="996"/>
      <c r="Y44" s="996"/>
      <c r="Z44" s="996"/>
      <c r="AA44" s="996"/>
      <c r="AB44" s="996"/>
      <c r="AC44" s="997"/>
      <c r="AD44" s="995" t="str">
        <f>INDEX(PT_DIFFERENTIATION_TER,MATCH(B44,PT_DIFFERENTIATION_TER_ID,0))</f>
        <v/>
      </c>
      <c r="AE44" s="996"/>
      <c r="AF44" s="996"/>
      <c r="AG44" s="996"/>
      <c r="AH44" s="996"/>
      <c r="AI44" s="996"/>
      <c r="AJ44" s="996"/>
      <c r="AK44" s="996"/>
      <c r="AL44" s="997"/>
      <c r="AM44" s="230" t="s">
        <v>321</v>
      </c>
      <c r="AP44" s="29" t="str">
        <f t="shared" si="1"/>
        <v>Территория действия тарифа</v>
      </c>
      <c r="AS44" s="3">
        <v>21</v>
      </c>
    </row>
    <row r="45" spans="1:45" ht="24" customHeight="1">
      <c r="A45" s="76" t="s">
        <v>135</v>
      </c>
      <c r="B45" s="76" t="s">
        <v>136</v>
      </c>
      <c r="C45" s="76" t="s">
        <v>137</v>
      </c>
      <c r="E45" s="1027"/>
      <c r="F45" s="1027"/>
      <c r="G45" s="1026">
        <v>1</v>
      </c>
      <c r="Q45" s="231"/>
      <c r="R45" s="232"/>
      <c r="S45" s="226" t="str">
        <f>INDEX(PT_DIFFERENTIATION_NUM_CS,MATCH(C45,PT_DIFFERENTIATION_CS_ID,0))</f>
        <v>..</v>
      </c>
      <c r="T45" s="234" t="s">
        <v>322</v>
      </c>
      <c r="U45" s="228"/>
      <c r="V45" s="995"/>
      <c r="W45" s="996"/>
      <c r="X45" s="996"/>
      <c r="Y45" s="996"/>
      <c r="Z45" s="996"/>
      <c r="AA45" s="996"/>
      <c r="AB45" s="996"/>
      <c r="AC45" s="997"/>
      <c r="AD45" s="995" t="str">
        <f>INDEX(PT_DIFFERENTIATION_CS,MATCH(C45,PT_DIFFERENTIATION_CS_ID,0))</f>
        <v/>
      </c>
      <c r="AE45" s="996"/>
      <c r="AF45" s="996"/>
      <c r="AG45" s="996"/>
      <c r="AH45" s="996"/>
      <c r="AI45" s="996"/>
      <c r="AJ45" s="996"/>
      <c r="AK45" s="996"/>
      <c r="AL45" s="997"/>
      <c r="AM45" s="230" t="s">
        <v>323</v>
      </c>
      <c r="AP45" s="29" t="str">
        <f t="shared" si="1"/>
        <v xml:space="preserve">Наименование системы теплоснабжения </v>
      </c>
      <c r="AS45" s="3">
        <v>23</v>
      </c>
    </row>
    <row r="46" spans="1:45" ht="21.95" customHeight="1">
      <c r="A46" s="76" t="s">
        <v>135</v>
      </c>
      <c r="B46" s="76" t="s">
        <v>136</v>
      </c>
      <c r="C46" s="76" t="s">
        <v>137</v>
      </c>
      <c r="D46" s="76" t="s">
        <v>138</v>
      </c>
      <c r="E46" s="1027"/>
      <c r="F46" s="1027"/>
      <c r="G46" s="1027"/>
      <c r="H46" s="1026">
        <v>1</v>
      </c>
      <c r="Q46" s="231"/>
      <c r="R46" s="232"/>
      <c r="S46" s="226" t="str">
        <f>INDEX(PT_DIFFERENTIATION_NUM_IST_TE,MATCH(D46,PT_DIFFERENTIATION_IST_TE_ID,0))</f>
        <v>...</v>
      </c>
      <c r="T46" s="235" t="s">
        <v>324</v>
      </c>
      <c r="U46" s="228"/>
      <c r="V46" s="995"/>
      <c r="W46" s="996"/>
      <c r="X46" s="996"/>
      <c r="Y46" s="996"/>
      <c r="Z46" s="996"/>
      <c r="AA46" s="996"/>
      <c r="AB46" s="996"/>
      <c r="AC46" s="997"/>
      <c r="AD46" s="995" t="str">
        <f>INDEX(PT_DIFFERENTIATION_IST_TE,MATCH(D46,PT_DIFFERENTIATION_IST_TE_ID,0))</f>
        <v/>
      </c>
      <c r="AE46" s="996"/>
      <c r="AF46" s="996"/>
      <c r="AG46" s="996"/>
      <c r="AH46" s="996"/>
      <c r="AI46" s="996"/>
      <c r="AJ46" s="996"/>
      <c r="AK46" s="996"/>
      <c r="AL46" s="997"/>
      <c r="AM46" s="230" t="s">
        <v>325</v>
      </c>
      <c r="AP46" s="29" t="str">
        <f t="shared" si="1"/>
        <v xml:space="preserve">Источник тепловой энергии  </v>
      </c>
      <c r="AS46" s="3">
        <v>21</v>
      </c>
    </row>
    <row r="47" spans="1:45" ht="49.5" customHeight="1">
      <c r="A47" s="76" t="s">
        <v>135</v>
      </c>
      <c r="B47" s="76" t="s">
        <v>136</v>
      </c>
      <c r="C47" s="76" t="s">
        <v>137</v>
      </c>
      <c r="D47" s="76" t="s">
        <v>138</v>
      </c>
      <c r="E47" s="1027"/>
      <c r="F47" s="1027"/>
      <c r="G47" s="1027"/>
      <c r="H47" s="1027"/>
      <c r="I47" s="894" t="str">
        <f>S46&amp;".1"</f>
        <v>....1</v>
      </c>
      <c r="L47" s="289" t="s">
        <v>326</v>
      </c>
      <c r="P47" s="1004">
        <v>1</v>
      </c>
      <c r="R47" s="238"/>
      <c r="S47" s="226" t="str">
        <f>$I47</f>
        <v>....1</v>
      </c>
      <c r="T47" s="239" t="s">
        <v>327</v>
      </c>
      <c r="U47" s="228"/>
      <c r="V47" s="989"/>
      <c r="W47" s="990"/>
      <c r="X47" s="990"/>
      <c r="Y47" s="990"/>
      <c r="Z47" s="990"/>
      <c r="AA47" s="990"/>
      <c r="AB47" s="990"/>
      <c r="AC47" s="991"/>
      <c r="AD47" s="989"/>
      <c r="AE47" s="990"/>
      <c r="AF47" s="990"/>
      <c r="AG47" s="990"/>
      <c r="AH47" s="990"/>
      <c r="AI47" s="990"/>
      <c r="AJ47" s="990"/>
      <c r="AK47" s="990"/>
      <c r="AL47" s="991"/>
      <c r="AM47" s="230" t="s">
        <v>328</v>
      </c>
      <c r="AP47" s="29" t="str">
        <f t="shared" si="1"/>
        <v>Схема подключения теплопотребляющей установки к коллектору источника тепловой энергии</v>
      </c>
      <c r="AS47" s="3">
        <v>47</v>
      </c>
    </row>
    <row r="48" spans="1:45" ht="21.95" customHeight="1">
      <c r="A48" s="76" t="s">
        <v>135</v>
      </c>
      <c r="B48" s="76" t="s">
        <v>136</v>
      </c>
      <c r="C48" s="76" t="s">
        <v>137</v>
      </c>
      <c r="D48" s="76" t="s">
        <v>138</v>
      </c>
      <c r="E48" s="1027"/>
      <c r="F48" s="1027"/>
      <c r="G48" s="1027"/>
      <c r="H48" s="1027"/>
      <c r="I48" s="887"/>
      <c r="J48" s="894" t="str">
        <f>I47&amp;".1"</f>
        <v>....1.1</v>
      </c>
      <c r="L48" s="289" t="s">
        <v>329</v>
      </c>
      <c r="P48" s="885"/>
      <c r="Q48" s="1004">
        <v>1</v>
      </c>
      <c r="R48" s="240"/>
      <c r="S48" s="226" t="str">
        <f>$J48</f>
        <v>....1.1</v>
      </c>
      <c r="T48" s="241" t="s">
        <v>330</v>
      </c>
      <c r="U48" s="228"/>
      <c r="V48" s="989"/>
      <c r="W48" s="990"/>
      <c r="X48" s="990"/>
      <c r="Y48" s="990"/>
      <c r="Z48" s="990"/>
      <c r="AA48" s="990"/>
      <c r="AB48" s="990"/>
      <c r="AC48" s="991"/>
      <c r="AD48" s="989"/>
      <c r="AE48" s="990"/>
      <c r="AF48" s="990"/>
      <c r="AG48" s="990"/>
      <c r="AH48" s="990"/>
      <c r="AI48" s="990"/>
      <c r="AJ48" s="990"/>
      <c r="AK48" s="990"/>
      <c r="AL48" s="991"/>
      <c r="AM48" s="230" t="s">
        <v>331</v>
      </c>
      <c r="AP48" s="29" t="str">
        <f t="shared" si="1"/>
        <v>Группа потребителей</v>
      </c>
      <c r="AS48" s="3">
        <v>21</v>
      </c>
    </row>
    <row r="49" spans="1:45" ht="21.95" customHeight="1">
      <c r="A49" s="76" t="s">
        <v>135</v>
      </c>
      <c r="B49" s="76" t="s">
        <v>136</v>
      </c>
      <c r="C49" s="76" t="s">
        <v>137</v>
      </c>
      <c r="D49" s="76" t="s">
        <v>138</v>
      </c>
      <c r="E49" s="1027"/>
      <c r="F49" s="1027"/>
      <c r="G49" s="1027"/>
      <c r="H49" s="1027"/>
      <c r="I49" s="887"/>
      <c r="J49" s="887"/>
      <c r="K49" s="894" t="str">
        <f>J48&amp;".1"</f>
        <v>....1.1.1</v>
      </c>
      <c r="L49" s="289" t="s">
        <v>332</v>
      </c>
      <c r="P49" s="885"/>
      <c r="Q49" s="885"/>
      <c r="R49" s="240">
        <v>1</v>
      </c>
      <c r="S49" s="226" t="str">
        <f>$K49</f>
        <v>....1.1.1</v>
      </c>
      <c r="T49" s="242"/>
      <c r="U49" s="228"/>
      <c r="V49" s="243"/>
      <c r="W49" s="244"/>
      <c r="X49" s="243"/>
      <c r="Y49" s="245"/>
      <c r="Z49" s="1005"/>
      <c r="AA49" s="895" t="s">
        <v>17</v>
      </c>
      <c r="AB49" s="1005"/>
      <c r="AC49" s="895" t="s">
        <v>17</v>
      </c>
      <c r="AD49" s="243"/>
      <c r="AE49" s="244"/>
      <c r="AF49" s="243"/>
      <c r="AG49" s="245"/>
      <c r="AH49" s="1005"/>
      <c r="AI49" s="895" t="s">
        <v>17</v>
      </c>
      <c r="AJ49" s="1007"/>
      <c r="AK49" s="895" t="s">
        <v>17</v>
      </c>
      <c r="AL49" s="285"/>
      <c r="AM49" s="1023" t="s">
        <v>333</v>
      </c>
      <c r="AN49" s="24" t="e">
        <f ca="1">STRCHECKDATE(V50:AL50)</f>
        <v>#NAME?</v>
      </c>
      <c r="AP49" s="29" t="str">
        <f t="shared" si="1"/>
        <v/>
      </c>
      <c r="AS49" s="3">
        <v>21</v>
      </c>
    </row>
    <row r="50" spans="1:45" ht="1.1499999999999999" customHeight="1">
      <c r="A50" s="76" t="s">
        <v>135</v>
      </c>
      <c r="B50" s="76" t="s">
        <v>136</v>
      </c>
      <c r="C50" s="76" t="s">
        <v>137</v>
      </c>
      <c r="D50" s="76" t="s">
        <v>138</v>
      </c>
      <c r="E50" s="1027"/>
      <c r="F50" s="1027"/>
      <c r="G50" s="1027"/>
      <c r="H50" s="1027"/>
      <c r="I50" s="887"/>
      <c r="J50" s="887"/>
      <c r="K50" s="894"/>
      <c r="P50" s="885"/>
      <c r="Q50" s="885"/>
      <c r="R50" s="240"/>
      <c r="S50" s="209"/>
      <c r="T50" s="228"/>
      <c r="U50" s="228"/>
      <c r="V50" s="244"/>
      <c r="W50" s="244"/>
      <c r="X50" s="244"/>
      <c r="Y50" s="247" t="str">
        <f>Z49&amp;"-"&amp;AB49</f>
        <v>-</v>
      </c>
      <c r="Z50" s="1006"/>
      <c r="AA50" s="895"/>
      <c r="AB50" s="1006"/>
      <c r="AC50" s="895"/>
      <c r="AD50" s="244"/>
      <c r="AE50" s="244"/>
      <c r="AF50" s="244"/>
      <c r="AG50" s="247" t="str">
        <f>AH49&amp;"-"&amp;AJ49</f>
        <v>-</v>
      </c>
      <c r="AH50" s="1006"/>
      <c r="AI50" s="895"/>
      <c r="AJ50" s="1008"/>
      <c r="AK50" s="895"/>
      <c r="AL50" s="286"/>
      <c r="AM50" s="1024"/>
      <c r="AP50" s="29" t="str">
        <f t="shared" si="1"/>
        <v/>
      </c>
      <c r="AS50" s="3">
        <v>1</v>
      </c>
    </row>
    <row r="51" spans="1:45" ht="11.45" customHeight="1">
      <c r="A51" s="76" t="s">
        <v>135</v>
      </c>
      <c r="B51" s="76" t="s">
        <v>136</v>
      </c>
      <c r="C51" s="76" t="s">
        <v>137</v>
      </c>
      <c r="D51" s="76" t="s">
        <v>138</v>
      </c>
      <c r="E51" s="1027"/>
      <c r="F51" s="1027"/>
      <c r="G51" s="1027"/>
      <c r="H51" s="1027"/>
      <c r="I51" s="887"/>
      <c r="J51" s="894"/>
      <c r="P51" s="885"/>
      <c r="Q51" s="885"/>
      <c r="R51" s="238"/>
      <c r="S51" s="249"/>
      <c r="T51" s="250" t="s">
        <v>334</v>
      </c>
      <c r="U51" s="54"/>
      <c r="V51" s="54"/>
      <c r="W51" s="54"/>
      <c r="X51" s="54"/>
      <c r="Y51" s="54"/>
      <c r="Z51" s="54"/>
      <c r="AA51" s="54"/>
      <c r="AB51" s="54"/>
      <c r="AC51" s="54"/>
      <c r="AD51" s="54"/>
      <c r="AE51" s="54"/>
      <c r="AF51" s="54"/>
      <c r="AG51" s="54"/>
      <c r="AH51" s="54"/>
      <c r="AI51" s="54"/>
      <c r="AJ51" s="54"/>
      <c r="AK51" s="54"/>
      <c r="AL51" s="251"/>
      <c r="AM51" s="1025"/>
      <c r="AP51" s="29" t="str">
        <f t="shared" si="1"/>
        <v>Добавить вид теплоносителя (параметры теплоносителя)</v>
      </c>
      <c r="AS51" s="3">
        <v>11</v>
      </c>
    </row>
    <row r="52" spans="1:45" ht="11.45" customHeight="1">
      <c r="A52" s="76" t="s">
        <v>135</v>
      </c>
      <c r="B52" s="76" t="s">
        <v>136</v>
      </c>
      <c r="C52" s="76" t="s">
        <v>137</v>
      </c>
      <c r="D52" s="76" t="s">
        <v>138</v>
      </c>
      <c r="E52" s="1027"/>
      <c r="F52" s="1027"/>
      <c r="G52" s="1027"/>
      <c r="H52" s="1027"/>
      <c r="I52" s="894"/>
      <c r="P52" s="885"/>
      <c r="R52" s="238"/>
      <c r="S52" s="249"/>
      <c r="T52" s="252" t="s">
        <v>335</v>
      </c>
      <c r="U52" s="54"/>
      <c r="V52" s="54"/>
      <c r="W52" s="54"/>
      <c r="X52" s="54"/>
      <c r="Y52" s="54"/>
      <c r="Z52" s="54"/>
      <c r="AA52" s="54"/>
      <c r="AB52" s="54"/>
      <c r="AC52" s="253"/>
      <c r="AD52" s="54"/>
      <c r="AE52" s="54"/>
      <c r="AF52" s="54"/>
      <c r="AG52" s="54"/>
      <c r="AH52" s="54"/>
      <c r="AI52" s="54"/>
      <c r="AJ52" s="54"/>
      <c r="AK52" s="253"/>
      <c r="AL52" s="54"/>
      <c r="AM52" s="254"/>
      <c r="AP52" s="29" t="str">
        <f t="shared" si="1"/>
        <v>Добавить группу потребителей</v>
      </c>
      <c r="AS52" s="3">
        <v>11</v>
      </c>
    </row>
    <row r="53" spans="1:45" ht="14.65" customHeight="1">
      <c r="A53" s="76" t="s">
        <v>135</v>
      </c>
      <c r="B53" s="76" t="s">
        <v>136</v>
      </c>
      <c r="C53" s="76" t="s">
        <v>137</v>
      </c>
      <c r="D53" s="76" t="s">
        <v>138</v>
      </c>
      <c r="E53" s="1027"/>
      <c r="F53" s="1027"/>
      <c r="G53" s="1027"/>
      <c r="H53" s="1026"/>
      <c r="R53" s="225"/>
      <c r="S53" s="249"/>
      <c r="T53" s="255" t="s">
        <v>336</v>
      </c>
      <c r="U53" s="54"/>
      <c r="V53" s="54"/>
      <c r="W53" s="54"/>
      <c r="X53" s="54"/>
      <c r="Y53" s="54"/>
      <c r="Z53" s="54"/>
      <c r="AA53" s="54"/>
      <c r="AB53" s="54"/>
      <c r="AC53" s="253"/>
      <c r="AD53" s="54"/>
      <c r="AE53" s="54"/>
      <c r="AF53" s="54"/>
      <c r="AG53" s="54"/>
      <c r="AH53" s="54"/>
      <c r="AI53" s="54"/>
      <c r="AJ53" s="54"/>
      <c r="AK53" s="253"/>
      <c r="AL53" s="54"/>
      <c r="AM53" s="254"/>
      <c r="AP53" s="29" t="str">
        <f t="shared" si="1"/>
        <v>Добавить схему подключения</v>
      </c>
      <c r="AS53" s="3">
        <v>14</v>
      </c>
    </row>
    <row r="54" spans="1:45" ht="4.1500000000000004" customHeight="1">
      <c r="A54" s="291" t="s">
        <v>135</v>
      </c>
      <c r="B54" s="291" t="s">
        <v>136</v>
      </c>
      <c r="C54" s="291" t="s">
        <v>137</v>
      </c>
      <c r="E54" s="1027"/>
      <c r="F54" s="1027"/>
      <c r="G54" s="1026"/>
      <c r="T54" s="260" t="s">
        <v>337</v>
      </c>
      <c r="AP54" s="29" t="str">
        <f t="shared" si="1"/>
        <v>Добавить источник для дифференциации</v>
      </c>
      <c r="AS54" s="24">
        <v>4</v>
      </c>
    </row>
    <row r="55" spans="1:45" ht="4.1500000000000004" customHeight="1">
      <c r="A55" s="291" t="s">
        <v>135</v>
      </c>
      <c r="B55" s="291" t="s">
        <v>136</v>
      </c>
      <c r="E55" s="1027"/>
      <c r="F55" s="1026"/>
      <c r="T55" s="260" t="s">
        <v>338</v>
      </c>
      <c r="AP55" s="29" t="str">
        <f t="shared" si="1"/>
        <v>Добавить централизованную систему для дифференциации</v>
      </c>
      <c r="AS55" s="24">
        <v>4</v>
      </c>
    </row>
    <row r="56" spans="1:45" ht="4.1500000000000004" customHeight="1">
      <c r="A56" s="291" t="s">
        <v>135</v>
      </c>
      <c r="E56" s="1026"/>
      <c r="T56" s="260" t="s">
        <v>339</v>
      </c>
      <c r="AP56" s="29" t="str">
        <f t="shared" si="1"/>
        <v>Добавить территорию для дифференциации</v>
      </c>
      <c r="AS56" s="24">
        <v>4</v>
      </c>
    </row>
    <row r="57" spans="1:45" ht="4.1500000000000004" customHeight="1">
      <c r="T57" s="260" t="s">
        <v>371</v>
      </c>
      <c r="AP57" s="29" t="str">
        <f t="shared" si="1"/>
        <v>Добавить наименование тарифа</v>
      </c>
      <c r="AS57" s="24">
        <v>4</v>
      </c>
    </row>
    <row r="58" spans="1:45" ht="11.45" customHeight="1">
      <c r="AS58" s="3">
        <v>11</v>
      </c>
    </row>
    <row r="59" spans="1:45" ht="28.5" customHeight="1">
      <c r="T59" s="885"/>
      <c r="U59" s="885"/>
      <c r="V59" s="885"/>
      <c r="W59" s="885"/>
      <c r="X59" s="885"/>
      <c r="Y59" s="885"/>
      <c r="Z59" s="885"/>
      <c r="AA59" s="885"/>
      <c r="AB59" s="885"/>
      <c r="AC59" s="885"/>
      <c r="AD59" s="885"/>
      <c r="AE59" s="885"/>
      <c r="AF59" s="885"/>
      <c r="AG59" s="885"/>
      <c r="AH59" s="885"/>
      <c r="AI59" s="885"/>
      <c r="AJ59" s="885"/>
      <c r="AK59" s="885"/>
      <c r="AL59" s="885"/>
      <c r="AM59" s="885"/>
      <c r="AS59" s="3">
        <v>27</v>
      </c>
    </row>
    <row r="60" spans="1:45" ht="65.25" customHeight="1">
      <c r="T60" s="885"/>
      <c r="U60" s="885"/>
      <c r="V60" s="885"/>
      <c r="W60" s="885"/>
      <c r="X60" s="885"/>
      <c r="Y60" s="885"/>
      <c r="Z60" s="885"/>
      <c r="AA60" s="885"/>
      <c r="AB60" s="885"/>
      <c r="AC60" s="885"/>
      <c r="AD60" s="885"/>
      <c r="AE60" s="885"/>
      <c r="AF60" s="885"/>
      <c r="AG60" s="885"/>
      <c r="AH60" s="885"/>
      <c r="AI60" s="885"/>
      <c r="AJ60" s="885"/>
      <c r="AK60" s="885"/>
      <c r="AL60" s="885"/>
      <c r="AM60" s="885"/>
      <c r="AS60" s="3">
        <v>62</v>
      </c>
    </row>
    <row r="61" spans="1:45" ht="14.65" customHeight="1">
      <c r="AS61" s="3">
        <v>14</v>
      </c>
    </row>
    <row r="62" spans="1:45" ht="18.75" customHeight="1">
      <c r="T62" s="885"/>
      <c r="U62" s="885"/>
      <c r="V62" s="885"/>
      <c r="W62" s="885"/>
      <c r="X62" s="885"/>
      <c r="Y62" s="885"/>
      <c r="Z62" s="885"/>
      <c r="AA62" s="885"/>
      <c r="AB62" s="885"/>
      <c r="AC62" s="885"/>
      <c r="AD62" s="885"/>
      <c r="AE62" s="885"/>
      <c r="AF62" s="885"/>
      <c r="AG62" s="885"/>
      <c r="AH62" s="885"/>
      <c r="AI62" s="885"/>
      <c r="AJ62" s="885"/>
      <c r="AK62" s="885"/>
      <c r="AL62" s="885"/>
      <c r="AM62" s="885"/>
      <c r="AS62" s="3">
        <v>18</v>
      </c>
    </row>
    <row r="63" spans="1:45" ht="18.75" customHeight="1">
      <c r="T63" s="885"/>
      <c r="U63" s="885"/>
      <c r="V63" s="885"/>
      <c r="W63" s="885"/>
      <c r="X63" s="885"/>
      <c r="Y63" s="885"/>
      <c r="Z63" s="885"/>
      <c r="AA63" s="885"/>
      <c r="AB63" s="885"/>
      <c r="AC63" s="885"/>
      <c r="AD63" s="885"/>
      <c r="AE63" s="885"/>
      <c r="AF63" s="885"/>
      <c r="AG63" s="885"/>
      <c r="AH63" s="885"/>
      <c r="AI63" s="885"/>
      <c r="AJ63" s="885"/>
      <c r="AK63" s="885"/>
      <c r="AL63" s="885"/>
      <c r="AM63" s="885"/>
      <c r="AS63" s="3">
        <v>18</v>
      </c>
    </row>
    <row r="64" spans="1:45" ht="29.25" customHeight="1">
      <c r="T64" s="885"/>
      <c r="U64" s="885"/>
      <c r="V64" s="885"/>
      <c r="W64" s="885"/>
      <c r="X64" s="885"/>
      <c r="Y64" s="885"/>
      <c r="Z64" s="885"/>
      <c r="AA64" s="885"/>
      <c r="AB64" s="885"/>
      <c r="AC64" s="885"/>
      <c r="AD64" s="885"/>
      <c r="AE64" s="885"/>
      <c r="AF64" s="885"/>
      <c r="AG64" s="885"/>
      <c r="AH64" s="885"/>
      <c r="AI64" s="885"/>
      <c r="AJ64" s="885"/>
      <c r="AK64" s="885"/>
      <c r="AL64" s="885"/>
      <c r="AM64" s="885"/>
      <c r="AS64" s="3">
        <v>28</v>
      </c>
    </row>
    <row r="65" spans="1:45" ht="22.5" hidden="1" customHeight="1">
      <c r="A65" s="3" t="s">
        <v>18</v>
      </c>
      <c r="B65" s="3">
        <v>0</v>
      </c>
      <c r="C65" s="3">
        <v>0</v>
      </c>
      <c r="D65" s="3">
        <v>0</v>
      </c>
      <c r="E65" s="3">
        <v>0</v>
      </c>
      <c r="F65" s="3">
        <v>0</v>
      </c>
      <c r="G65" s="3">
        <v>0</v>
      </c>
      <c r="H65" s="3">
        <v>0</v>
      </c>
      <c r="I65" s="3">
        <v>0</v>
      </c>
      <c r="J65" s="3">
        <v>0</v>
      </c>
      <c r="K65" s="3">
        <v>0</v>
      </c>
      <c r="L65" s="17">
        <v>0</v>
      </c>
      <c r="M65" s="287">
        <v>0</v>
      </c>
      <c r="N65" s="287">
        <v>0</v>
      </c>
      <c r="O65" s="287">
        <v>0</v>
      </c>
      <c r="P65" s="287">
        <v>3</v>
      </c>
      <c r="Q65" s="288">
        <v>3</v>
      </c>
      <c r="R65" s="288">
        <v>3</v>
      </c>
      <c r="S65" s="9">
        <v>12</v>
      </c>
      <c r="T65" s="3">
        <v>31</v>
      </c>
      <c r="U65" s="3">
        <v>0</v>
      </c>
      <c r="V65" s="3">
        <v>0</v>
      </c>
      <c r="W65" s="3">
        <v>0</v>
      </c>
      <c r="X65" s="3">
        <v>0</v>
      </c>
      <c r="Y65" s="3">
        <v>0</v>
      </c>
      <c r="Z65" s="3">
        <v>0</v>
      </c>
      <c r="AA65" s="3">
        <v>0</v>
      </c>
      <c r="AB65" s="3">
        <v>0</v>
      </c>
      <c r="AC65" s="3">
        <v>0</v>
      </c>
      <c r="AD65" s="3">
        <v>24</v>
      </c>
      <c r="AE65" s="3">
        <v>0</v>
      </c>
      <c r="AF65" s="3">
        <v>24</v>
      </c>
      <c r="AG65" s="3">
        <v>24</v>
      </c>
      <c r="AH65" s="3">
        <v>11</v>
      </c>
      <c r="AI65" s="3">
        <v>3</v>
      </c>
      <c r="AJ65" s="3">
        <v>11</v>
      </c>
      <c r="AK65" s="3">
        <v>0</v>
      </c>
      <c r="AL65" s="3">
        <v>4</v>
      </c>
      <c r="AM65" s="3">
        <v>115</v>
      </c>
      <c r="AN65" s="24">
        <v>10</v>
      </c>
      <c r="AO65" s="24">
        <v>10</v>
      </c>
      <c r="AP65" s="24">
        <v>10</v>
      </c>
      <c r="AQ65" s="24">
        <v>10</v>
      </c>
      <c r="AR65" s="24">
        <v>10</v>
      </c>
      <c r="AS65" s="3">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84</vt:i4>
      </vt:variant>
      <vt:variant>
        <vt:lpstr>Именованные диапазоны</vt:lpstr>
      </vt:variant>
      <vt:variant>
        <vt:i4>2093</vt:i4>
      </vt:variant>
    </vt:vector>
  </HeadingPairs>
  <TitlesOfParts>
    <vt:vector size="2177" baseType="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BLOCK_PRICE_IST_TE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checkCell_List07</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DIFFERENTIATION_ID</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pDel_CHANGE_INFO</vt:lpstr>
      <vt:lpstr>pDel_ED</vt:lpstr>
      <vt:lpstr>pDel_IP_DETAILED_EVENT</vt:lpstr>
      <vt:lpstr>pDel_IP_DETAILED_IST_FIN</vt:lpstr>
      <vt:lpstr>pDel_IP_DETAILED_OBJECT</vt:lpstr>
      <vt:lpstr>pDel_IP_MAIN</vt:lpstr>
      <vt:lpstr>pDel_IP_MAIN_PROPERTY</vt:lpstr>
      <vt:lpstr>pDel_IP_QRE_CLAIM</vt:lpstr>
      <vt:lpstr>pDel_List07</vt:lpstr>
      <vt:lpstr>pDel_ORG_INFO</vt:lpstr>
      <vt:lpstr>pDel_ORG_TERRITORY</vt:lpstr>
      <vt:lpstr>pDel_ORG_VD</vt:lpstr>
      <vt:lpstr>pDel_P_PROCEDURE_TC</vt:lpstr>
      <vt:lpstr>pDel_P_T_TERMS</vt:lpstr>
      <vt:lpstr>pDel_Q_LIMIT</vt:lpstr>
      <vt:lpstr>pDel_Q_TP</vt:lpstr>
      <vt:lpstr>pDel_R_B_Purch</vt:lpstr>
      <vt:lpstr>PeriodIsEmpty</vt:lpstr>
      <vt:lpstr>PeriodIsEmptyList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pIns_ED</vt:lpstr>
      <vt:lpstr>pIns_IP_DETAILED</vt:lpstr>
      <vt:lpstr>pIns_IP_FIN_PLAN</vt:lpstr>
      <vt:lpstr>pIns_IP_MAIN</vt:lpstr>
      <vt:lpstr>pIns_IP_QRE</vt:lpstr>
      <vt:lpstr>pIns_List07</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TERMS_TKO_TRANS_DATA</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Марчкова Анастасия Михайловна</cp:lastModifiedBy>
  <cp:lastPrinted>2013-08-29T08:11:20Z</cp:lastPrinted>
  <dcterms:created xsi:type="dcterms:W3CDTF">2004-05-21T07:18:45Z</dcterms:created>
  <dcterms:modified xsi:type="dcterms:W3CDTF">2026-08-08T12:13:37Z</dcterms:modified>
</cp:coreProperties>
</file>